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ocs\Coding\Blower Coil Dressing\"/>
    </mc:Choice>
  </mc:AlternateContent>
  <xr:revisionPtr revIDLastSave="0" documentId="13_ncr:1_{347A0597-4AD9-4421-9EFD-D9EDF032670D}" xr6:coauthVersionLast="47" xr6:coauthVersionMax="47" xr10:uidLastSave="{00000000-0000-0000-0000-000000000000}"/>
  <bookViews>
    <workbookView xWindow="1572" yWindow="1308" windowWidth="18396" windowHeight="10572" firstSheet="25" activeTab="45" xr2:uid="{00000000-000D-0000-FFFF-FFFF00000000}"/>
  </bookViews>
  <sheets>
    <sheet name="COVER" sheetId="38" r:id="rId1"/>
    <sheet name="Data" sheetId="1" r:id="rId2"/>
    <sheet name="Sheet2" sheetId="42" r:id="rId3"/>
    <sheet name="PACKING LIST" sheetId="44" r:id="rId4"/>
    <sheet name="0" sheetId="40" r:id="rId5"/>
    <sheet name="1" sheetId="2" r:id="rId6"/>
    <sheet name="2" sheetId="4" r:id="rId7"/>
    <sheet name="3" sheetId="5" r:id="rId8"/>
    <sheet name="4" sheetId="6" r:id="rId9"/>
    <sheet name="5" sheetId="7" r:id="rId10"/>
    <sheet name="6" sheetId="8" r:id="rId11"/>
    <sheet name="7" sheetId="9" r:id="rId12"/>
    <sheet name="8" sheetId="10" r:id="rId13"/>
    <sheet name="9" sheetId="11" r:id="rId14"/>
    <sheet name="10" sheetId="12" r:id="rId15"/>
    <sheet name="11" sheetId="13" r:id="rId16"/>
    <sheet name="12" sheetId="14" state="hidden" r:id="rId17"/>
    <sheet name="13" sheetId="15" state="hidden" r:id="rId18"/>
    <sheet name="14" sheetId="16" state="hidden" r:id="rId19"/>
    <sheet name="15" sheetId="17" state="hidden" r:id="rId20"/>
    <sheet name="16" sheetId="18" state="hidden" r:id="rId21"/>
    <sheet name="17" sheetId="19" state="hidden" r:id="rId22"/>
    <sheet name="18" sheetId="20" state="hidden" r:id="rId23"/>
    <sheet name="19" sheetId="21" state="hidden" r:id="rId24"/>
    <sheet name="20" sheetId="22" state="hidden" r:id="rId25"/>
    <sheet name="A1" sheetId="23" r:id="rId26"/>
    <sheet name="B2" sheetId="24" r:id="rId27"/>
    <sheet name="C3" sheetId="25" r:id="rId28"/>
    <sheet name="D4" sheetId="26" r:id="rId29"/>
    <sheet name="E5" sheetId="27" r:id="rId30"/>
    <sheet name="F6" sheetId="28" state="hidden" r:id="rId31"/>
    <sheet name="G7" sheetId="29" state="hidden" r:id="rId32"/>
    <sheet name="H8" sheetId="30" state="hidden" r:id="rId33"/>
    <sheet name="I9" sheetId="31" state="hidden" r:id="rId34"/>
    <sheet name="J10" sheetId="32" state="hidden" r:id="rId35"/>
    <sheet name="K11" sheetId="33" state="hidden" r:id="rId36"/>
    <sheet name="L12" sheetId="34" state="hidden" r:id="rId37"/>
    <sheet name="M13" sheetId="35" state="hidden" r:id="rId38"/>
    <sheet name="N14" sheetId="36" state="hidden" r:id="rId39"/>
    <sheet name="O15" sheetId="37" state="hidden" r:id="rId40"/>
    <sheet name="Sheet1" sheetId="41" state="hidden" r:id="rId41"/>
    <sheet name="HI Data" sheetId="45" r:id="rId42"/>
    <sheet name="HSe" sheetId="47" state="hidden" r:id="rId43"/>
    <sheet name="HSe Data" sheetId="48" r:id="rId44"/>
    <sheet name="CSB Data" sheetId="43" r:id="rId45"/>
    <sheet name="Valve Data" sheetId="46" r:id="rId46"/>
  </sheets>
  <externalReferences>
    <externalReference r:id="rId47"/>
  </externalReferences>
  <definedNames>
    <definedName name="_xlnm._FilterDatabase" localSheetId="1" hidden="1">Data!$A$14:$H$32</definedName>
    <definedName name="_xlnm.Extract" localSheetId="1">Data!$AC$13</definedName>
    <definedName name="_xlnm.Print_Area" localSheetId="5">'1'!$A$1:$J$63</definedName>
    <definedName name="_xlnm.Print_Area" localSheetId="14">'10'!$A$1:$J$63</definedName>
    <definedName name="_xlnm.Print_Area" localSheetId="15">'11'!$A$1:$J$63</definedName>
    <definedName name="_xlnm.Print_Area" localSheetId="16">'12'!$A$1:$J$63</definedName>
    <definedName name="_xlnm.Print_Area" localSheetId="17">'13'!$A$1:$J$63</definedName>
    <definedName name="_xlnm.Print_Area" localSheetId="18">'14'!$A$1:$J$63</definedName>
    <definedName name="_xlnm.Print_Area" localSheetId="20">'16'!$A$1:$J$63</definedName>
    <definedName name="_xlnm.Print_Area" localSheetId="21">'17'!$A$1:$J$63</definedName>
    <definedName name="_xlnm.Print_Area" localSheetId="22">'18'!$A$1:$J$63</definedName>
    <definedName name="_xlnm.Print_Area" localSheetId="23">'19'!$A$1:$J$63</definedName>
    <definedName name="_xlnm.Print_Area" localSheetId="6">'2'!$A$1:$J$63</definedName>
    <definedName name="_xlnm.Print_Area" localSheetId="24">'20'!$A$1:$J$63</definedName>
    <definedName name="_xlnm.Print_Area" localSheetId="7">'3'!$A$1:$J$63</definedName>
    <definedName name="_xlnm.Print_Area" localSheetId="8">'4'!$A$1:$J$63</definedName>
    <definedName name="_xlnm.Print_Area" localSheetId="10">'6'!$A$1:$J$63</definedName>
    <definedName name="_xlnm.Print_Area" localSheetId="11">'7'!$A$1:$J$63</definedName>
    <definedName name="_xlnm.Print_Area" localSheetId="12">'8'!$A$1:$J$63</definedName>
    <definedName name="_xlnm.Print_Area" localSheetId="25">'A1'!$A$1:$J$63</definedName>
    <definedName name="_xlnm.Print_Area" localSheetId="26">'B2'!$A$1:$J$63</definedName>
    <definedName name="_xlnm.Print_Area" localSheetId="0">COVER!$A$1:$N$60</definedName>
    <definedName name="_xlnm.Print_Area" localSheetId="28">'D4'!$A$1:$J$63</definedName>
    <definedName name="_xlnm.Print_Area" localSheetId="1">Data!$A$1:$AD$52</definedName>
    <definedName name="_xlnm.Print_Area" localSheetId="29">'E5'!$A$1:$J$63</definedName>
    <definedName name="_xlnm.Print_Area" localSheetId="30">'F6'!$A$1:$J$63</definedName>
    <definedName name="_xlnm.Print_Area" localSheetId="31">'G7'!$A$1:$J$63</definedName>
    <definedName name="_xlnm.Print_Area" localSheetId="32">'H8'!$A$1:$J$63</definedName>
    <definedName name="_xlnm.Print_Area" localSheetId="33">'I9'!$A$1:$J$63</definedName>
    <definedName name="_xlnm.Print_Area" localSheetId="34">'J10'!$A$1:$J$63</definedName>
    <definedName name="_xlnm.Print_Area" localSheetId="35">'K11'!$A$1:$J$63</definedName>
    <definedName name="_xlnm.Print_Area" localSheetId="36">'L12'!$A$1:$J$63</definedName>
    <definedName name="_xlnm.Print_Area" localSheetId="37">'M13'!$A$1:$J$63</definedName>
    <definedName name="_xlnm.Print_Area" localSheetId="38">'N14'!$A$1:$J$63</definedName>
    <definedName name="_xlnm.Print_Area" localSheetId="39">'O15'!$A$1:$J$63</definedName>
    <definedName name="_xlnm.Print_Area" localSheetId="3">'PACKING LIST'!$A$1:$AI$55</definedName>
    <definedName name="_xlnm.Print_Area" localSheetId="2">Sheet2!$B$1:$M$141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9" i="43" l="1"/>
  <c r="G88" i="43"/>
  <c r="G87" i="43"/>
  <c r="G86" i="43"/>
  <c r="G85" i="43"/>
  <c r="G84" i="43"/>
  <c r="G83" i="43"/>
  <c r="G82" i="43"/>
  <c r="G81" i="43"/>
  <c r="G80" i="43"/>
  <c r="G79" i="43"/>
  <c r="G78" i="43"/>
  <c r="Y51" i="44"/>
  <c r="X51" i="44"/>
  <c r="V51" i="44"/>
  <c r="Q51" i="44"/>
  <c r="O51" i="44"/>
  <c r="K51" i="44"/>
  <c r="E51" i="44"/>
  <c r="B38" i="44"/>
  <c r="C38" i="44"/>
  <c r="D38" i="44"/>
  <c r="E38" i="44"/>
  <c r="G38" i="44" s="1"/>
  <c r="J38" i="44"/>
  <c r="K38" i="44" s="1"/>
  <c r="L38" i="44"/>
  <c r="M38" i="44"/>
  <c r="N38" i="44"/>
  <c r="P38" i="44"/>
  <c r="Q38" i="44"/>
  <c r="R38" i="44"/>
  <c r="S38" i="44"/>
  <c r="T38" i="44"/>
  <c r="U38" i="44"/>
  <c r="V38" i="44"/>
  <c r="W38" i="44"/>
  <c r="X38" i="44"/>
  <c r="Y38" i="44"/>
  <c r="AF38" i="44"/>
  <c r="AG38" i="44"/>
  <c r="A38" i="44"/>
  <c r="D36" i="40"/>
  <c r="Q35" i="44"/>
  <c r="Q36" i="44"/>
  <c r="Q37" i="44"/>
  <c r="Q34" i="44"/>
  <c r="Q13" i="44"/>
  <c r="Q14" i="44"/>
  <c r="Q15" i="44"/>
  <c r="Q16" i="44"/>
  <c r="Q17" i="44"/>
  <c r="Q18" i="44"/>
  <c r="Q19" i="44"/>
  <c r="Q20" i="44"/>
  <c r="Q21" i="44"/>
  <c r="Q22" i="44"/>
  <c r="Q23" i="44"/>
  <c r="Q12" i="44"/>
  <c r="P35" i="44"/>
  <c r="P36" i="44"/>
  <c r="P37" i="44"/>
  <c r="P34" i="44"/>
  <c r="P13" i="44"/>
  <c r="P14" i="44"/>
  <c r="P15" i="44"/>
  <c r="P16" i="44"/>
  <c r="P17" i="44"/>
  <c r="P18" i="44"/>
  <c r="P19" i="44"/>
  <c r="P20" i="44"/>
  <c r="P21" i="44"/>
  <c r="P22" i="44"/>
  <c r="P23" i="44"/>
  <c r="P12" i="44"/>
  <c r="AK126" i="1"/>
  <c r="AK36" i="1"/>
  <c r="AK35" i="1"/>
  <c r="O38" i="44" l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AC37" i="1"/>
  <c r="AC38" i="1"/>
  <c r="AC39" i="1"/>
  <c r="AC40" i="1"/>
  <c r="AB38" i="44" s="1"/>
  <c r="AD38" i="44" s="1"/>
  <c r="AC36" i="1"/>
  <c r="AC25" i="1"/>
  <c r="AC26" i="1"/>
  <c r="AC27" i="1"/>
  <c r="AC28" i="1"/>
  <c r="AC29" i="1"/>
  <c r="AC30" i="1"/>
  <c r="AC31" i="1"/>
  <c r="AC32" i="1"/>
  <c r="AC33" i="1"/>
  <c r="AC34" i="1"/>
  <c r="AC35" i="1"/>
  <c r="N25" i="1"/>
  <c r="N26" i="1"/>
  <c r="N27" i="1"/>
  <c r="N28" i="1"/>
  <c r="N29" i="1"/>
  <c r="N30" i="1"/>
  <c r="N31" i="1"/>
  <c r="N32" i="1"/>
  <c r="N33" i="1"/>
  <c r="N35" i="1"/>
  <c r="N36" i="1"/>
  <c r="N37" i="1"/>
  <c r="N38" i="1"/>
  <c r="N39" i="1"/>
  <c r="N40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K37" i="1"/>
  <c r="K38" i="1"/>
  <c r="K39" i="1"/>
  <c r="K40" i="1"/>
  <c r="K36" i="1"/>
  <c r="K25" i="1"/>
  <c r="K26" i="1"/>
  <c r="K27" i="1"/>
  <c r="K28" i="1"/>
  <c r="K29" i="1"/>
  <c r="K30" i="1"/>
  <c r="K31" i="1"/>
  <c r="K32" i="1"/>
  <c r="K33" i="1"/>
  <c r="K34" i="1"/>
  <c r="K35" i="1"/>
  <c r="AC14" i="1"/>
  <c r="AC15" i="1"/>
  <c r="AC16" i="1"/>
  <c r="AC17" i="1"/>
  <c r="AC18" i="1"/>
  <c r="AC19" i="1"/>
  <c r="AC20" i="1"/>
  <c r="AC21" i="1"/>
  <c r="AC22" i="1"/>
  <c r="AC23" i="1"/>
  <c r="AC24" i="1"/>
  <c r="N14" i="1"/>
  <c r="N15" i="1"/>
  <c r="N16" i="1"/>
  <c r="N17" i="1"/>
  <c r="N18" i="1"/>
  <c r="N19" i="1"/>
  <c r="N20" i="1"/>
  <c r="N21" i="1"/>
  <c r="N22" i="1"/>
  <c r="N23" i="1"/>
  <c r="N24" i="1"/>
  <c r="M14" i="1"/>
  <c r="M15" i="1"/>
  <c r="M16" i="1"/>
  <c r="M17" i="1"/>
  <c r="M18" i="1"/>
  <c r="M19" i="1"/>
  <c r="M20" i="1"/>
  <c r="Q20" i="1" s="1"/>
  <c r="M21" i="1"/>
  <c r="Q21" i="1" s="1"/>
  <c r="M22" i="1"/>
  <c r="Q22" i="1" s="1"/>
  <c r="M23" i="1"/>
  <c r="Q23" i="1" s="1"/>
  <c r="M24" i="1"/>
  <c r="Q24" i="1" s="1"/>
  <c r="K14" i="1"/>
  <c r="K15" i="1"/>
  <c r="K16" i="1"/>
  <c r="K17" i="1"/>
  <c r="K18" i="1"/>
  <c r="K19" i="1"/>
  <c r="K20" i="1"/>
  <c r="K21" i="1"/>
  <c r="K22" i="1"/>
  <c r="K23" i="1"/>
  <c r="K24" i="1"/>
  <c r="AC13" i="1"/>
  <c r="N13" i="1"/>
  <c r="M13" i="1"/>
  <c r="K13" i="1"/>
  <c r="F3" i="44"/>
  <c r="AG35" i="44"/>
  <c r="AG36" i="44"/>
  <c r="AG37" i="44"/>
  <c r="AG34" i="44"/>
  <c r="AF35" i="44"/>
  <c r="AF36" i="44"/>
  <c r="AF37" i="44"/>
  <c r="AF34" i="44"/>
  <c r="X35" i="44"/>
  <c r="X36" i="44"/>
  <c r="X37" i="44"/>
  <c r="X34" i="44"/>
  <c r="W35" i="44"/>
  <c r="Z35" i="44" s="1"/>
  <c r="W36" i="44"/>
  <c r="Z36" i="44" s="1"/>
  <c r="W37" i="44"/>
  <c r="W34" i="44"/>
  <c r="U37" i="44"/>
  <c r="U35" i="44"/>
  <c r="U36" i="44"/>
  <c r="U34" i="44"/>
  <c r="S35" i="44"/>
  <c r="T35" i="44"/>
  <c r="S36" i="44"/>
  <c r="T36" i="44"/>
  <c r="S37" i="44"/>
  <c r="T37" i="44"/>
  <c r="T34" i="44"/>
  <c r="R35" i="44"/>
  <c r="R36" i="44"/>
  <c r="R37" i="44"/>
  <c r="S34" i="44"/>
  <c r="R34" i="44"/>
  <c r="N37" i="44"/>
  <c r="L37" i="44"/>
  <c r="E37" i="44"/>
  <c r="M37" i="44" s="1"/>
  <c r="C37" i="44"/>
  <c r="B37" i="44"/>
  <c r="A37" i="44"/>
  <c r="N36" i="44"/>
  <c r="L36" i="44"/>
  <c r="E36" i="44"/>
  <c r="M36" i="44" s="1"/>
  <c r="C36" i="44"/>
  <c r="B36" i="44"/>
  <c r="A36" i="44"/>
  <c r="N35" i="44"/>
  <c r="L35" i="44"/>
  <c r="E35" i="44"/>
  <c r="M35" i="44" s="1"/>
  <c r="C35" i="44"/>
  <c r="B35" i="44"/>
  <c r="A35" i="44"/>
  <c r="N34" i="44"/>
  <c r="L34" i="44"/>
  <c r="E34" i="44"/>
  <c r="AA34" i="44" s="1"/>
  <c r="C34" i="44"/>
  <c r="B34" i="44"/>
  <c r="A34" i="44"/>
  <c r="AG13" i="44"/>
  <c r="AG14" i="44"/>
  <c r="AG15" i="44"/>
  <c r="AG16" i="44"/>
  <c r="AG17" i="44"/>
  <c r="AG18" i="44"/>
  <c r="AG19" i="44"/>
  <c r="AG20" i="44"/>
  <c r="AG21" i="44"/>
  <c r="AG22" i="44"/>
  <c r="AG23" i="44"/>
  <c r="AG12" i="44"/>
  <c r="AF13" i="44"/>
  <c r="AF14" i="44"/>
  <c r="AF15" i="44"/>
  <c r="AF16" i="44"/>
  <c r="AF17" i="44"/>
  <c r="AF18" i="44"/>
  <c r="AF19" i="44"/>
  <c r="AF20" i="44"/>
  <c r="AF21" i="44"/>
  <c r="AF22" i="44"/>
  <c r="AF23" i="44"/>
  <c r="AF12" i="44"/>
  <c r="X13" i="44"/>
  <c r="X14" i="44"/>
  <c r="X15" i="44"/>
  <c r="X16" i="44"/>
  <c r="X17" i="44"/>
  <c r="X18" i="44"/>
  <c r="X19" i="44"/>
  <c r="X20" i="44"/>
  <c r="X21" i="44"/>
  <c r="X22" i="44"/>
  <c r="X23" i="44"/>
  <c r="X12" i="44"/>
  <c r="W23" i="44"/>
  <c r="W13" i="44"/>
  <c r="W14" i="44"/>
  <c r="W15" i="44"/>
  <c r="W16" i="44"/>
  <c r="W17" i="44"/>
  <c r="W18" i="44"/>
  <c r="W19" i="44"/>
  <c r="W20" i="44"/>
  <c r="W21" i="44"/>
  <c r="W22" i="44"/>
  <c r="W12" i="44"/>
  <c r="U13" i="44"/>
  <c r="U14" i="44"/>
  <c r="U15" i="44"/>
  <c r="U16" i="44"/>
  <c r="U17" i="44"/>
  <c r="U18" i="44"/>
  <c r="U19" i="44"/>
  <c r="U20" i="44"/>
  <c r="U21" i="44"/>
  <c r="U22" i="44"/>
  <c r="U23" i="44"/>
  <c r="U12" i="44"/>
  <c r="T13" i="44"/>
  <c r="T14" i="44"/>
  <c r="T15" i="44"/>
  <c r="T16" i="44"/>
  <c r="T17" i="44"/>
  <c r="T18" i="44"/>
  <c r="T19" i="44"/>
  <c r="T20" i="44"/>
  <c r="T21" i="44"/>
  <c r="T22" i="44"/>
  <c r="T23" i="44"/>
  <c r="T12" i="44"/>
  <c r="S13" i="44"/>
  <c r="S14" i="44"/>
  <c r="S15" i="44"/>
  <c r="S16" i="44"/>
  <c r="S17" i="44"/>
  <c r="S18" i="44"/>
  <c r="S19" i="44"/>
  <c r="S20" i="44"/>
  <c r="S21" i="44"/>
  <c r="S22" i="44"/>
  <c r="S23" i="44"/>
  <c r="S12" i="44"/>
  <c r="R13" i="44"/>
  <c r="R14" i="44"/>
  <c r="R15" i="44"/>
  <c r="R16" i="44"/>
  <c r="R17" i="44"/>
  <c r="R18" i="44"/>
  <c r="R19" i="44"/>
  <c r="R20" i="44"/>
  <c r="R21" i="44"/>
  <c r="R22" i="44"/>
  <c r="R23" i="44"/>
  <c r="R12" i="44"/>
  <c r="A13" i="44"/>
  <c r="B13" i="44"/>
  <c r="C13" i="44"/>
  <c r="E13" i="44"/>
  <c r="G13" i="44" s="1"/>
  <c r="L13" i="44"/>
  <c r="N13" i="44"/>
  <c r="A14" i="44"/>
  <c r="B14" i="44"/>
  <c r="C14" i="44"/>
  <c r="E14" i="44"/>
  <c r="G14" i="44" s="1"/>
  <c r="L14" i="44"/>
  <c r="M14" i="44"/>
  <c r="AE14" i="44" s="1"/>
  <c r="N14" i="44"/>
  <c r="A15" i="44"/>
  <c r="B15" i="44"/>
  <c r="C15" i="44"/>
  <c r="E15" i="44"/>
  <c r="G15" i="44" s="1"/>
  <c r="L15" i="44"/>
  <c r="N15" i="44"/>
  <c r="O15" i="44"/>
  <c r="A16" i="44"/>
  <c r="B16" i="44"/>
  <c r="C16" i="44"/>
  <c r="E16" i="44"/>
  <c r="V16" i="44" s="1"/>
  <c r="L16" i="44"/>
  <c r="N16" i="44"/>
  <c r="A17" i="44"/>
  <c r="B17" i="44"/>
  <c r="C17" i="44"/>
  <c r="E17" i="44"/>
  <c r="O17" i="44" s="1"/>
  <c r="L17" i="44"/>
  <c r="N17" i="44"/>
  <c r="A18" i="44"/>
  <c r="B18" i="44"/>
  <c r="C18" i="44"/>
  <c r="E18" i="44"/>
  <c r="G18" i="44" s="1"/>
  <c r="L18" i="44"/>
  <c r="N18" i="44"/>
  <c r="A19" i="44"/>
  <c r="B19" i="44"/>
  <c r="C19" i="44"/>
  <c r="E19" i="44"/>
  <c r="G19" i="44" s="1"/>
  <c r="L19" i="44"/>
  <c r="N19" i="44"/>
  <c r="A20" i="44"/>
  <c r="B20" i="44"/>
  <c r="C20" i="44"/>
  <c r="E20" i="44"/>
  <c r="V20" i="44" s="1"/>
  <c r="L20" i="44"/>
  <c r="N20" i="44"/>
  <c r="A21" i="44"/>
  <c r="B21" i="44"/>
  <c r="C21" i="44"/>
  <c r="E21" i="44"/>
  <c r="V21" i="44" s="1"/>
  <c r="G21" i="44"/>
  <c r="L21" i="44"/>
  <c r="N21" i="44"/>
  <c r="O21" i="44"/>
  <c r="A22" i="44"/>
  <c r="B22" i="44"/>
  <c r="C22" i="44"/>
  <c r="E22" i="44"/>
  <c r="G22" i="44" s="1"/>
  <c r="L22" i="44"/>
  <c r="N22" i="44"/>
  <c r="A23" i="44"/>
  <c r="B23" i="44"/>
  <c r="C23" i="44"/>
  <c r="E23" i="44"/>
  <c r="G23" i="44" s="1"/>
  <c r="L23" i="44"/>
  <c r="N23" i="44"/>
  <c r="A24" i="44"/>
  <c r="B24" i="44"/>
  <c r="C24" i="44"/>
  <c r="D24" i="44"/>
  <c r="E24" i="44"/>
  <c r="G24" i="44" s="1"/>
  <c r="F24" i="44"/>
  <c r="L24" i="44"/>
  <c r="N24" i="44"/>
  <c r="A25" i="44"/>
  <c r="B25" i="44"/>
  <c r="C25" i="44"/>
  <c r="D25" i="44"/>
  <c r="E25" i="44"/>
  <c r="G25" i="44" s="1"/>
  <c r="F25" i="44"/>
  <c r="L25" i="44"/>
  <c r="M25" i="44"/>
  <c r="N25" i="44"/>
  <c r="A26" i="44"/>
  <c r="B26" i="44"/>
  <c r="C26" i="44"/>
  <c r="D26" i="44"/>
  <c r="E26" i="44"/>
  <c r="G26" i="44" s="1"/>
  <c r="F26" i="44"/>
  <c r="L26" i="44"/>
  <c r="N26" i="44"/>
  <c r="A27" i="44"/>
  <c r="B27" i="44"/>
  <c r="C27" i="44"/>
  <c r="D27" i="44"/>
  <c r="E27" i="44"/>
  <c r="G27" i="44" s="1"/>
  <c r="F27" i="44"/>
  <c r="L27" i="44"/>
  <c r="N27" i="44"/>
  <c r="A28" i="44"/>
  <c r="B28" i="44"/>
  <c r="C28" i="44"/>
  <c r="D28" i="44"/>
  <c r="E28" i="44"/>
  <c r="G28" i="44" s="1"/>
  <c r="F28" i="44"/>
  <c r="L28" i="44"/>
  <c r="N28" i="44"/>
  <c r="A29" i="44"/>
  <c r="B29" i="44"/>
  <c r="C29" i="44"/>
  <c r="D29" i="44"/>
  <c r="E29" i="44"/>
  <c r="G29" i="44" s="1"/>
  <c r="F29" i="44"/>
  <c r="L29" i="44"/>
  <c r="M29" i="44"/>
  <c r="N29" i="44"/>
  <c r="A30" i="44"/>
  <c r="B30" i="44"/>
  <c r="C30" i="44"/>
  <c r="D30" i="44"/>
  <c r="E30" i="44"/>
  <c r="G30" i="44" s="1"/>
  <c r="F30" i="44"/>
  <c r="L30" i="44"/>
  <c r="N30" i="44"/>
  <c r="N12" i="44"/>
  <c r="L12" i="44"/>
  <c r="E12" i="44"/>
  <c r="O12" i="44" s="1"/>
  <c r="C12" i="44"/>
  <c r="B12" i="44"/>
  <c r="A12" i="44"/>
  <c r="AC50" i="44"/>
  <c r="AB48" i="44"/>
  <c r="AD48" i="44" s="1"/>
  <c r="Z48" i="44"/>
  <c r="X48" i="44"/>
  <c r="W48" i="44"/>
  <c r="U48" i="44"/>
  <c r="S48" i="44"/>
  <c r="R48" i="44"/>
  <c r="Q48" i="44"/>
  <c r="P48" i="44"/>
  <c r="N48" i="44"/>
  <c r="L48" i="44"/>
  <c r="J48" i="44"/>
  <c r="H48" i="44"/>
  <c r="F48" i="44"/>
  <c r="E48" i="44"/>
  <c r="Y48" i="44" s="1"/>
  <c r="D48" i="44"/>
  <c r="C48" i="44"/>
  <c r="B48" i="44"/>
  <c r="A48" i="44"/>
  <c r="AB47" i="44"/>
  <c r="AD47" i="44" s="1"/>
  <c r="Z47" i="44"/>
  <c r="X47" i="44"/>
  <c r="W47" i="44"/>
  <c r="U47" i="44"/>
  <c r="S47" i="44"/>
  <c r="R47" i="44"/>
  <c r="Q47" i="44"/>
  <c r="P47" i="44"/>
  <c r="N47" i="44"/>
  <c r="L47" i="44"/>
  <c r="J47" i="44"/>
  <c r="H47" i="44"/>
  <c r="F47" i="44"/>
  <c r="E47" i="44"/>
  <c r="V47" i="44" s="1"/>
  <c r="D47" i="44"/>
  <c r="C47" i="44"/>
  <c r="B47" i="44"/>
  <c r="A47" i="44"/>
  <c r="AB46" i="44"/>
  <c r="AD46" i="44" s="1"/>
  <c r="Z46" i="44"/>
  <c r="X46" i="44"/>
  <c r="W46" i="44"/>
  <c r="U46" i="44"/>
  <c r="S46" i="44"/>
  <c r="R46" i="44"/>
  <c r="Q46" i="44"/>
  <c r="P46" i="44"/>
  <c r="N46" i="44"/>
  <c r="L46" i="44"/>
  <c r="J46" i="44"/>
  <c r="K46" i="44" s="1"/>
  <c r="H46" i="44"/>
  <c r="I46" i="44" s="1"/>
  <c r="F46" i="44"/>
  <c r="E46" i="44"/>
  <c r="V46" i="44" s="1"/>
  <c r="D46" i="44"/>
  <c r="C46" i="44"/>
  <c r="B46" i="44"/>
  <c r="A46" i="44"/>
  <c r="AD45" i="44"/>
  <c r="AB45" i="44"/>
  <c r="Z45" i="44"/>
  <c r="X45" i="44"/>
  <c r="W45" i="44"/>
  <c r="U45" i="44"/>
  <c r="S45" i="44"/>
  <c r="R45" i="44"/>
  <c r="Q45" i="44"/>
  <c r="P45" i="44"/>
  <c r="N45" i="44"/>
  <c r="L45" i="44"/>
  <c r="K45" i="44"/>
  <c r="J45" i="44"/>
  <c r="H45" i="44"/>
  <c r="I45" i="44" s="1"/>
  <c r="G45" i="44"/>
  <c r="F45" i="44"/>
  <c r="E45" i="44"/>
  <c r="AA45" i="44" s="1"/>
  <c r="D45" i="44"/>
  <c r="C45" i="44"/>
  <c r="B45" i="44"/>
  <c r="A45" i="44"/>
  <c r="AB44" i="44"/>
  <c r="AD44" i="44" s="1"/>
  <c r="Z44" i="44"/>
  <c r="X44" i="44"/>
  <c r="W44" i="44"/>
  <c r="U44" i="44"/>
  <c r="S44" i="44"/>
  <c r="R44" i="44"/>
  <c r="Q44" i="44"/>
  <c r="P44" i="44"/>
  <c r="N44" i="44"/>
  <c r="L44" i="44"/>
  <c r="J44" i="44"/>
  <c r="H44" i="44"/>
  <c r="I44" i="44" s="1"/>
  <c r="F44" i="44"/>
  <c r="E44" i="44"/>
  <c r="M44" i="44" s="1"/>
  <c r="AE44" i="44" s="1"/>
  <c r="D44" i="44"/>
  <c r="C44" i="44"/>
  <c r="B44" i="44"/>
  <c r="A44" i="44"/>
  <c r="AB43" i="44"/>
  <c r="AD43" i="44" s="1"/>
  <c r="Z43" i="44"/>
  <c r="X43" i="44"/>
  <c r="W43" i="44"/>
  <c r="U43" i="44"/>
  <c r="S43" i="44"/>
  <c r="R43" i="44"/>
  <c r="Q43" i="44"/>
  <c r="P43" i="44"/>
  <c r="N43" i="44"/>
  <c r="L43" i="44"/>
  <c r="J43" i="44"/>
  <c r="K43" i="44" s="1"/>
  <c r="H43" i="44"/>
  <c r="F43" i="44"/>
  <c r="E43" i="44"/>
  <c r="V43" i="44" s="1"/>
  <c r="D43" i="44"/>
  <c r="C43" i="44"/>
  <c r="B43" i="44"/>
  <c r="A43" i="44"/>
  <c r="AB42" i="44"/>
  <c r="Z42" i="44"/>
  <c r="X42" i="44"/>
  <c r="W42" i="44"/>
  <c r="U42" i="44"/>
  <c r="S42" i="44"/>
  <c r="R42" i="44"/>
  <c r="Q42" i="44"/>
  <c r="P42" i="44"/>
  <c r="N42" i="44"/>
  <c r="L42" i="44"/>
  <c r="J42" i="44"/>
  <c r="H42" i="44"/>
  <c r="F42" i="44"/>
  <c r="E42" i="44"/>
  <c r="V42" i="44" s="1"/>
  <c r="D42" i="44"/>
  <c r="C42" i="44"/>
  <c r="B42" i="44"/>
  <c r="A42" i="44"/>
  <c r="AB41" i="44"/>
  <c r="AD41" i="44" s="1"/>
  <c r="Z41" i="44"/>
  <c r="X41" i="44"/>
  <c r="W41" i="44"/>
  <c r="U41" i="44"/>
  <c r="S41" i="44"/>
  <c r="R41" i="44"/>
  <c r="Q41" i="44"/>
  <c r="P41" i="44"/>
  <c r="N41" i="44"/>
  <c r="L41" i="44"/>
  <c r="J41" i="44"/>
  <c r="K41" i="44" s="1"/>
  <c r="H41" i="44"/>
  <c r="F41" i="44"/>
  <c r="E41" i="44"/>
  <c r="AA41" i="44" s="1"/>
  <c r="D41" i="44"/>
  <c r="C41" i="44"/>
  <c r="B41" i="44"/>
  <c r="A41" i="44"/>
  <c r="AB40" i="44"/>
  <c r="AD40" i="44" s="1"/>
  <c r="Z40" i="44"/>
  <c r="X40" i="44"/>
  <c r="W40" i="44"/>
  <c r="U40" i="44"/>
  <c r="S40" i="44"/>
  <c r="R40" i="44"/>
  <c r="Q40" i="44"/>
  <c r="P40" i="44"/>
  <c r="N40" i="44"/>
  <c r="L40" i="44"/>
  <c r="J40" i="44"/>
  <c r="H40" i="44"/>
  <c r="F40" i="44"/>
  <c r="E40" i="44"/>
  <c r="D40" i="44"/>
  <c r="C40" i="44"/>
  <c r="B40" i="44"/>
  <c r="A40" i="44"/>
  <c r="AB39" i="44"/>
  <c r="AD39" i="44" s="1"/>
  <c r="Z39" i="44"/>
  <c r="X39" i="44"/>
  <c r="W39" i="44"/>
  <c r="U39" i="44"/>
  <c r="S39" i="44"/>
  <c r="R39" i="44"/>
  <c r="Q39" i="44"/>
  <c r="P39" i="44"/>
  <c r="N39" i="44"/>
  <c r="L39" i="44"/>
  <c r="J39" i="44"/>
  <c r="H39" i="44"/>
  <c r="I39" i="44" s="1"/>
  <c r="F39" i="44"/>
  <c r="E39" i="44"/>
  <c r="M39" i="44" s="1"/>
  <c r="D39" i="44"/>
  <c r="C39" i="44"/>
  <c r="B39" i="44"/>
  <c r="A39" i="44"/>
  <c r="Z34" i="44"/>
  <c r="Q31" i="44"/>
  <c r="P31" i="44"/>
  <c r="K31" i="44"/>
  <c r="G31" i="44"/>
  <c r="M31" i="44"/>
  <c r="Q30" i="44"/>
  <c r="P30" i="44"/>
  <c r="Q29" i="44"/>
  <c r="P29" i="44"/>
  <c r="Q28" i="44"/>
  <c r="P28" i="44"/>
  <c r="Q27" i="44"/>
  <c r="P27" i="44"/>
  <c r="Q26" i="44"/>
  <c r="P26" i="44"/>
  <c r="Q25" i="44"/>
  <c r="P25" i="44"/>
  <c r="Q24" i="44"/>
  <c r="P24" i="44"/>
  <c r="AI74" i="1"/>
  <c r="AK73" i="1"/>
  <c r="AK72" i="1"/>
  <c r="AK71" i="1"/>
  <c r="AA46" i="44" l="1"/>
  <c r="Q50" i="44"/>
  <c r="I40" i="44"/>
  <c r="K42" i="44"/>
  <c r="G46" i="44"/>
  <c r="M24" i="44"/>
  <c r="M28" i="44"/>
  <c r="M18" i="44"/>
  <c r="AE18" i="44" s="1"/>
  <c r="M27" i="44"/>
  <c r="M15" i="44"/>
  <c r="O28" i="44"/>
  <c r="O24" i="44"/>
  <c r="M30" i="44"/>
  <c r="O29" i="44"/>
  <c r="M26" i="44"/>
  <c r="O25" i="44"/>
  <c r="M20" i="44"/>
  <c r="AE20" i="44" s="1"/>
  <c r="G16" i="44"/>
  <c r="V36" i="44"/>
  <c r="O20" i="44"/>
  <c r="G20" i="44"/>
  <c r="AA35" i="44"/>
  <c r="G34" i="44"/>
  <c r="M23" i="44"/>
  <c r="AE23" i="44" s="1"/>
  <c r="V23" i="44"/>
  <c r="Y22" i="44"/>
  <c r="M21" i="44"/>
  <c r="AE21" i="44" s="1"/>
  <c r="M19" i="44"/>
  <c r="AE19" i="44" s="1"/>
  <c r="V19" i="44"/>
  <c r="Y18" i="44"/>
  <c r="V15" i="44"/>
  <c r="Y14" i="44"/>
  <c r="O13" i="44"/>
  <c r="O41" i="44"/>
  <c r="Y41" i="44"/>
  <c r="O42" i="44"/>
  <c r="R50" i="44"/>
  <c r="V37" i="44"/>
  <c r="AA42" i="44"/>
  <c r="AA43" i="44"/>
  <c r="O45" i="44"/>
  <c r="Y45" i="44"/>
  <c r="O46" i="44"/>
  <c r="M17" i="44"/>
  <c r="AE17" i="44" s="1"/>
  <c r="O16" i="44"/>
  <c r="V22" i="44"/>
  <c r="V18" i="44"/>
  <c r="V14" i="44"/>
  <c r="Y21" i="44"/>
  <c r="Y17" i="44"/>
  <c r="Y13" i="44"/>
  <c r="Y37" i="44"/>
  <c r="V39" i="44"/>
  <c r="G41" i="44"/>
  <c r="G42" i="44"/>
  <c r="AA47" i="44"/>
  <c r="G17" i="44"/>
  <c r="M13" i="44"/>
  <c r="V17" i="44"/>
  <c r="V13" i="44"/>
  <c r="Y20" i="44"/>
  <c r="Y16" i="44"/>
  <c r="O34" i="44"/>
  <c r="G37" i="44"/>
  <c r="Y36" i="44"/>
  <c r="I41" i="44"/>
  <c r="I42" i="44"/>
  <c r="K47" i="44"/>
  <c r="K48" i="44"/>
  <c r="M22" i="44"/>
  <c r="AE22" i="44" s="1"/>
  <c r="M16" i="44"/>
  <c r="AE16" i="44" s="1"/>
  <c r="Y23" i="44"/>
  <c r="Y19" i="44"/>
  <c r="Y15" i="44"/>
  <c r="O37" i="44"/>
  <c r="Y35" i="44"/>
  <c r="I31" i="44"/>
  <c r="O31" i="44"/>
  <c r="T50" i="44"/>
  <c r="M34" i="44"/>
  <c r="G36" i="44"/>
  <c r="O36" i="44"/>
  <c r="V34" i="44"/>
  <c r="AA36" i="44"/>
  <c r="G35" i="44"/>
  <c r="O35" i="44"/>
  <c r="AF50" i="44"/>
  <c r="X50" i="44"/>
  <c r="O30" i="44"/>
  <c r="O26" i="44"/>
  <c r="O22" i="44"/>
  <c r="O18" i="44"/>
  <c r="O14" i="44"/>
  <c r="O27" i="44"/>
  <c r="O23" i="44"/>
  <c r="O19" i="44"/>
  <c r="M12" i="44"/>
  <c r="AE12" i="44" s="1"/>
  <c r="G12" i="44"/>
  <c r="M40" i="44"/>
  <c r="AE40" i="44" s="1"/>
  <c r="AD42" i="44"/>
  <c r="E32" i="44"/>
  <c r="Y44" i="44"/>
  <c r="O44" i="44"/>
  <c r="G44" i="44"/>
  <c r="AA44" i="44"/>
  <c r="V44" i="44"/>
  <c r="K44" i="44"/>
  <c r="Y40" i="44"/>
  <c r="O40" i="44"/>
  <c r="G40" i="44"/>
  <c r="AA40" i="44"/>
  <c r="K40" i="44"/>
  <c r="S50" i="44"/>
  <c r="AG50" i="44"/>
  <c r="Y39" i="44"/>
  <c r="O39" i="44"/>
  <c r="G39" i="44"/>
  <c r="AA39" i="44"/>
  <c r="K39" i="44"/>
  <c r="V40" i="44"/>
  <c r="I48" i="44"/>
  <c r="M48" i="44"/>
  <c r="AE48" i="44" s="1"/>
  <c r="V48" i="44"/>
  <c r="Y12" i="44"/>
  <c r="AE13" i="44"/>
  <c r="V35" i="44"/>
  <c r="M41" i="44"/>
  <c r="AE41" i="44" s="1"/>
  <c r="V41" i="44"/>
  <c r="Y42" i="44"/>
  <c r="G43" i="44"/>
  <c r="O43" i="44"/>
  <c r="M45" i="44"/>
  <c r="AE45" i="44" s="1"/>
  <c r="V45" i="44"/>
  <c r="Y46" i="44"/>
  <c r="G47" i="44"/>
  <c r="O47" i="44"/>
  <c r="AA48" i="44"/>
  <c r="E49" i="44"/>
  <c r="V12" i="44"/>
  <c r="Y34" i="44"/>
  <c r="M42" i="44"/>
  <c r="AE42" i="44" s="1"/>
  <c r="Y43" i="44"/>
  <c r="M46" i="44"/>
  <c r="AE46" i="44" s="1"/>
  <c r="Y47" i="44"/>
  <c r="G48" i="44"/>
  <c r="O48" i="44"/>
  <c r="E50" i="44"/>
  <c r="AE15" i="44"/>
  <c r="I43" i="44"/>
  <c r="M43" i="44"/>
  <c r="AE43" i="44" s="1"/>
  <c r="I47" i="44"/>
  <c r="M47" i="44"/>
  <c r="AE47" i="44" s="1"/>
  <c r="AA50" i="44" l="1"/>
  <c r="AA51" i="44" s="1"/>
  <c r="V50" i="44"/>
  <c r="Y50" i="44"/>
  <c r="O50" i="44"/>
  <c r="M50" i="44"/>
  <c r="G50" i="44"/>
  <c r="AE50" i="44"/>
  <c r="AM73" i="1"/>
  <c r="AK30" i="1"/>
  <c r="AK29" i="1"/>
  <c r="D38" i="13"/>
  <c r="I34" i="13"/>
  <c r="I32" i="13"/>
  <c r="I30" i="13"/>
  <c r="I28" i="13"/>
  <c r="F18" i="13"/>
  <c r="F14" i="13"/>
  <c r="F12" i="13"/>
  <c r="F10" i="13"/>
  <c r="Z24" i="1"/>
  <c r="D36" i="13" s="1"/>
  <c r="R24" i="1"/>
  <c r="J24" i="1"/>
  <c r="H24" i="1"/>
  <c r="AC41" i="1"/>
  <c r="AC42" i="1"/>
  <c r="AC43" i="1"/>
  <c r="AC44" i="1"/>
  <c r="AC45" i="1"/>
  <c r="AC46" i="1"/>
  <c r="AC47" i="1"/>
  <c r="AC48" i="1"/>
  <c r="AC49" i="1"/>
  <c r="AC50" i="1"/>
  <c r="N41" i="1"/>
  <c r="N42" i="1"/>
  <c r="N43" i="1"/>
  <c r="N44" i="1"/>
  <c r="N45" i="1"/>
  <c r="N46" i="1"/>
  <c r="N47" i="1"/>
  <c r="N48" i="1"/>
  <c r="N49" i="1"/>
  <c r="N50" i="1"/>
  <c r="M41" i="1"/>
  <c r="M42" i="1"/>
  <c r="M43" i="1"/>
  <c r="M44" i="1"/>
  <c r="M45" i="1"/>
  <c r="M46" i="1"/>
  <c r="M47" i="1"/>
  <c r="M48" i="1"/>
  <c r="M49" i="1"/>
  <c r="M50" i="1"/>
  <c r="D34" i="13" l="1"/>
  <c r="J23" i="44"/>
  <c r="K23" i="44" s="1"/>
  <c r="F20" i="13"/>
  <c r="D23" i="44"/>
  <c r="F16" i="13"/>
  <c r="D28" i="13"/>
  <c r="AD24" i="1"/>
  <c r="AB23" i="44" s="1"/>
  <c r="AD23" i="44" s="1"/>
  <c r="F22" i="13"/>
  <c r="K41" i="1"/>
  <c r="K42" i="1"/>
  <c r="K43" i="1"/>
  <c r="K44" i="1"/>
  <c r="K45" i="1"/>
  <c r="K46" i="1"/>
  <c r="K47" i="1"/>
  <c r="K48" i="1"/>
  <c r="K49" i="1"/>
  <c r="K50" i="1"/>
  <c r="P24" i="1" l="1"/>
  <c r="H23" i="44"/>
  <c r="I23" i="44" s="1"/>
  <c r="G101" i="43"/>
  <c r="G100" i="43"/>
  <c r="G99" i="43"/>
  <c r="G98" i="43"/>
  <c r="G97" i="43"/>
  <c r="G96" i="43"/>
  <c r="G95" i="43"/>
  <c r="G94" i="43"/>
  <c r="G93" i="43"/>
  <c r="G92" i="43"/>
  <c r="G91" i="43"/>
  <c r="G90" i="43"/>
  <c r="D32" i="13" l="1"/>
  <c r="AB24" i="1"/>
  <c r="D30" i="13"/>
  <c r="F23" i="44"/>
  <c r="M2" i="1"/>
  <c r="J13" i="1"/>
  <c r="H19" i="1"/>
  <c r="D18" i="44" s="1"/>
  <c r="H20" i="1"/>
  <c r="D19" i="44" s="1"/>
  <c r="H21" i="1"/>
  <c r="D20" i="44" s="1"/>
  <c r="H22" i="1"/>
  <c r="D21" i="44" s="1"/>
  <c r="H23" i="1"/>
  <c r="D22" i="44" s="1"/>
  <c r="H37" i="1"/>
  <c r="D35" i="44" s="1"/>
  <c r="H38" i="1"/>
  <c r="D36" i="44" s="1"/>
  <c r="H39" i="1"/>
  <c r="D37" i="44" s="1"/>
  <c r="H40" i="1"/>
  <c r="H41" i="1"/>
  <c r="H42" i="1"/>
  <c r="H43" i="1"/>
  <c r="H44" i="1"/>
  <c r="H45" i="1"/>
  <c r="H46" i="1"/>
  <c r="H47" i="1"/>
  <c r="H48" i="1"/>
  <c r="H49" i="1"/>
  <c r="H50" i="1"/>
  <c r="AB36" i="44" l="1"/>
  <c r="AD36" i="44" s="1"/>
  <c r="AB35" i="44"/>
  <c r="AD35" i="44" s="1"/>
  <c r="AB37" i="44"/>
  <c r="AD37" i="44" s="1"/>
  <c r="AD40" i="1"/>
  <c r="AD41" i="1"/>
  <c r="AD42" i="1"/>
  <c r="AD43" i="1"/>
  <c r="AD44" i="1"/>
  <c r="AD45" i="1"/>
  <c r="AD46" i="1"/>
  <c r="AD47" i="1"/>
  <c r="AD48" i="1"/>
  <c r="AD49" i="1"/>
  <c r="AD50" i="1"/>
  <c r="AD25" i="1"/>
  <c r="AD26" i="1"/>
  <c r="AD27" i="1"/>
  <c r="AD28" i="1"/>
  <c r="AD29" i="1"/>
  <c r="AD30" i="1"/>
  <c r="AD31" i="1"/>
  <c r="AD32" i="1"/>
  <c r="R13" i="1" l="1"/>
  <c r="J12" i="44" s="1"/>
  <c r="K12" i="44" s="1"/>
  <c r="AK107" i="1" l="1"/>
  <c r="AK104" i="1"/>
  <c r="H31" i="1"/>
  <c r="H13" i="1"/>
  <c r="D12" i="44" s="1"/>
  <c r="H14" i="1"/>
  <c r="H15" i="1"/>
  <c r="D14" i="44" s="1"/>
  <c r="H16" i="1"/>
  <c r="D15" i="44" s="1"/>
  <c r="H17" i="1"/>
  <c r="D16" i="44" s="1"/>
  <c r="H18" i="1"/>
  <c r="D17" i="44" s="1"/>
  <c r="H25" i="1"/>
  <c r="H26" i="1"/>
  <c r="H27" i="1"/>
  <c r="H28" i="1"/>
  <c r="H29" i="1"/>
  <c r="H30" i="1"/>
  <c r="H36" i="1"/>
  <c r="D34" i="44" s="1"/>
  <c r="D13" i="44" l="1"/>
  <c r="AB34" i="44"/>
  <c r="AA41" i="1"/>
  <c r="AA42" i="1"/>
  <c r="AA43" i="1"/>
  <c r="AA44" i="1"/>
  <c r="AA45" i="1"/>
  <c r="AA46" i="1"/>
  <c r="AA47" i="1"/>
  <c r="AA48" i="1"/>
  <c r="AA49" i="1"/>
  <c r="AA50" i="1"/>
  <c r="Z14" i="1"/>
  <c r="Z15" i="1"/>
  <c r="Z16" i="1"/>
  <c r="Z17" i="1"/>
  <c r="Z18" i="1"/>
  <c r="Z19" i="1"/>
  <c r="Z20" i="1"/>
  <c r="Z21" i="1"/>
  <c r="Z22" i="1"/>
  <c r="Z23" i="1"/>
  <c r="Z25" i="1"/>
  <c r="Z26" i="1"/>
  <c r="Z27" i="1"/>
  <c r="Z28" i="1"/>
  <c r="Z29" i="1"/>
  <c r="Z30" i="1"/>
  <c r="Z31" i="1"/>
  <c r="Z32" i="1"/>
  <c r="AD34" i="44" l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Z37" i="1"/>
  <c r="Z38" i="1"/>
  <c r="Z39" i="1"/>
  <c r="Y40" i="1"/>
  <c r="Z40" i="1"/>
  <c r="Y41" i="1"/>
  <c r="Z41" i="1"/>
  <c r="Y42" i="1"/>
  <c r="Z42" i="1"/>
  <c r="Y43" i="1"/>
  <c r="Z43" i="1"/>
  <c r="R37" i="1"/>
  <c r="J35" i="44" s="1"/>
  <c r="K35" i="44" s="1"/>
  <c r="R38" i="1"/>
  <c r="J36" i="44" s="1"/>
  <c r="K36" i="44" s="1"/>
  <c r="R39" i="1"/>
  <c r="J37" i="44" s="1"/>
  <c r="K37" i="44" s="1"/>
  <c r="R40" i="1"/>
  <c r="R41" i="1"/>
  <c r="Q42" i="1" a="1"/>
  <c r="Q42" i="1" s="1"/>
  <c r="R42" i="1"/>
  <c r="Q43" i="1" a="1"/>
  <c r="Q43" i="1" s="1"/>
  <c r="R43" i="1"/>
  <c r="Q44" i="1" a="1"/>
  <c r="Q44" i="1" s="1"/>
  <c r="R44" i="1"/>
  <c r="Q45" i="1" a="1"/>
  <c r="Q45" i="1" s="1"/>
  <c r="R45" i="1"/>
  <c r="Q46" i="1" a="1"/>
  <c r="Q46" i="1" s="1"/>
  <c r="R46" i="1"/>
  <c r="Q47" i="1" a="1"/>
  <c r="Q47" i="1" s="1"/>
  <c r="R47" i="1"/>
  <c r="Q48" i="1" a="1"/>
  <c r="Q48" i="1" s="1"/>
  <c r="R48" i="1"/>
  <c r="Q49" i="1" a="1"/>
  <c r="Q49" i="1" s="1"/>
  <c r="R49" i="1"/>
  <c r="Q50" i="1" a="1"/>
  <c r="Q50" i="1" s="1"/>
  <c r="R50" i="1"/>
  <c r="P42" i="1"/>
  <c r="P43" i="1"/>
  <c r="P44" i="1"/>
  <c r="P45" i="1"/>
  <c r="P46" i="1"/>
  <c r="P47" i="1"/>
  <c r="P48" i="1"/>
  <c r="P49" i="1"/>
  <c r="P50" i="1"/>
  <c r="J37" i="1"/>
  <c r="AD37" i="1" s="1"/>
  <c r="J38" i="1"/>
  <c r="J39" i="1"/>
  <c r="AD39" i="1" s="1"/>
  <c r="J40" i="1"/>
  <c r="J41" i="1"/>
  <c r="J42" i="1"/>
  <c r="J43" i="1"/>
  <c r="J44" i="1"/>
  <c r="J45" i="1"/>
  <c r="J46" i="1"/>
  <c r="J47" i="1"/>
  <c r="J48" i="1"/>
  <c r="J49" i="1"/>
  <c r="J50" i="1"/>
  <c r="P38" i="1" l="1"/>
  <c r="F36" i="44" s="1"/>
  <c r="P37" i="1"/>
  <c r="F35" i="44" s="1"/>
  <c r="AD38" i="1"/>
  <c r="P39" i="1"/>
  <c r="F37" i="44" s="1"/>
  <c r="P41" i="1"/>
  <c r="P40" i="1"/>
  <c r="F38" i="44" s="1"/>
  <c r="Q40" i="1" a="1"/>
  <c r="Q40" i="1" s="1"/>
  <c r="H38" i="44" s="1"/>
  <c r="I38" i="44" s="1"/>
  <c r="Q41" i="1" a="1"/>
  <c r="Q41" i="1" s="1"/>
  <c r="AB42" i="1"/>
  <c r="AB43" i="1"/>
  <c r="AB44" i="1"/>
  <c r="AB45" i="1"/>
  <c r="AB46" i="1"/>
  <c r="AB47" i="1"/>
  <c r="AB48" i="1"/>
  <c r="AB49" i="1"/>
  <c r="AB50" i="1"/>
  <c r="J36" i="1"/>
  <c r="J14" i="1"/>
  <c r="AD14" i="1" s="1"/>
  <c r="AB13" i="44" s="1"/>
  <c r="AD13" i="44" s="1"/>
  <c r="J15" i="1"/>
  <c r="AD15" i="1" s="1"/>
  <c r="AB14" i="44" s="1"/>
  <c r="AD14" i="44" s="1"/>
  <c r="J16" i="1"/>
  <c r="J17" i="1"/>
  <c r="AD17" i="1" s="1"/>
  <c r="AB16" i="44" s="1"/>
  <c r="AD16" i="44" s="1"/>
  <c r="J18" i="1"/>
  <c r="AD18" i="1" s="1"/>
  <c r="AB17" i="44" s="1"/>
  <c r="AD17" i="44" s="1"/>
  <c r="J19" i="1"/>
  <c r="AD19" i="1" s="1"/>
  <c r="AB18" i="44" s="1"/>
  <c r="AD18" i="44" s="1"/>
  <c r="J20" i="1"/>
  <c r="AD20" i="1" s="1"/>
  <c r="AB19" i="44" s="1"/>
  <c r="AD19" i="44" s="1"/>
  <c r="J21" i="1"/>
  <c r="AD21" i="1" s="1"/>
  <c r="AB20" i="44" s="1"/>
  <c r="AD20" i="44" s="1"/>
  <c r="J22" i="1"/>
  <c r="AD22" i="1" s="1"/>
  <c r="AB21" i="44" s="1"/>
  <c r="AD21" i="44" s="1"/>
  <c r="J23" i="1"/>
  <c r="AD23" i="1" s="1"/>
  <c r="AB22" i="44" s="1"/>
  <c r="AD22" i="44" s="1"/>
  <c r="J25" i="1"/>
  <c r="J26" i="1"/>
  <c r="J27" i="1"/>
  <c r="J28" i="1"/>
  <c r="J29" i="1"/>
  <c r="J30" i="1"/>
  <c r="J31" i="1"/>
  <c r="J32" i="1"/>
  <c r="J33" i="1"/>
  <c r="J34" i="1"/>
  <c r="J35" i="1"/>
  <c r="H32" i="1"/>
  <c r="Q38" i="1" l="1" a="1"/>
  <c r="Q38" i="1" s="1"/>
  <c r="Q37" i="1" a="1"/>
  <c r="Q37" i="1" s="1"/>
  <c r="Q39" i="1" a="1"/>
  <c r="Q39" i="1" s="1"/>
  <c r="P36" i="1"/>
  <c r="F34" i="44" s="1"/>
  <c r="AB40" i="1"/>
  <c r="AB41" i="1"/>
  <c r="AD36" i="1"/>
  <c r="AD13" i="1"/>
  <c r="AB12" i="44" s="1"/>
  <c r="Q13" i="1"/>
  <c r="AD16" i="1"/>
  <c r="AB15" i="44" s="1"/>
  <c r="AD15" i="44" s="1"/>
  <c r="AD12" i="44" l="1"/>
  <c r="AD50" i="44" s="1"/>
  <c r="AB50" i="44"/>
  <c r="AB39" i="1"/>
  <c r="H37" i="44"/>
  <c r="I37" i="44" s="1"/>
  <c r="AB37" i="1"/>
  <c r="H35" i="44"/>
  <c r="I35" i="44" s="1"/>
  <c r="H12" i="44"/>
  <c r="I12" i="44" s="1"/>
  <c r="AB38" i="1"/>
  <c r="H36" i="44"/>
  <c r="I36" i="44" s="1"/>
  <c r="AK137" i="1"/>
  <c r="AK138" i="1" s="1"/>
  <c r="AK66" i="1"/>
  <c r="AK65" i="1"/>
  <c r="AK64" i="1"/>
  <c r="AK63" i="1"/>
  <c r="AK62" i="1"/>
  <c r="AK48" i="1"/>
  <c r="AK61" i="1"/>
  <c r="AK60" i="1"/>
  <c r="Q19" i="1" l="1"/>
  <c r="Q25" i="1"/>
  <c r="Q26" i="1"/>
  <c r="Q27" i="1"/>
  <c r="Q28" i="1"/>
  <c r="Q29" i="1"/>
  <c r="Q30" i="1"/>
  <c r="Q31" i="1"/>
  <c r="Q32" i="1"/>
  <c r="AB32" i="1" s="1"/>
  <c r="AB33" i="1"/>
  <c r="AB34" i="1"/>
  <c r="AB35" i="1"/>
  <c r="AB51" i="1"/>
  <c r="AB23" i="1" l="1"/>
  <c r="H22" i="44"/>
  <c r="I22" i="44" s="1"/>
  <c r="AB20" i="1"/>
  <c r="H19" i="44"/>
  <c r="I19" i="44" s="1"/>
  <c r="AB28" i="1"/>
  <c r="H27" i="44"/>
  <c r="I27" i="44" s="1"/>
  <c r="AB31" i="1"/>
  <c r="H30" i="44"/>
  <c r="I30" i="44" s="1"/>
  <c r="AB27" i="1"/>
  <c r="H26" i="44"/>
  <c r="I26" i="44" s="1"/>
  <c r="AB22" i="1"/>
  <c r="H21" i="44"/>
  <c r="I21" i="44" s="1"/>
  <c r="AB30" i="1"/>
  <c r="H29" i="44"/>
  <c r="I29" i="44" s="1"/>
  <c r="AB26" i="1"/>
  <c r="H25" i="44"/>
  <c r="I25" i="44" s="1"/>
  <c r="AB29" i="1"/>
  <c r="H28" i="44"/>
  <c r="I28" i="44" s="1"/>
  <c r="AB25" i="1"/>
  <c r="H24" i="44"/>
  <c r="I24" i="44" s="1"/>
  <c r="AB19" i="1"/>
  <c r="H18" i="44"/>
  <c r="I18" i="44" s="1"/>
  <c r="H14" i="38"/>
  <c r="AK113" i="1" l="1"/>
  <c r="AK114" i="1"/>
  <c r="AK115" i="1"/>
  <c r="AK116" i="1"/>
  <c r="AK117" i="1"/>
  <c r="AK118" i="1"/>
  <c r="AK119" i="1"/>
  <c r="AK120" i="1"/>
  <c r="AK121" i="1"/>
  <c r="AK112" i="1"/>
  <c r="AK105" i="1"/>
  <c r="AK106" i="1"/>
  <c r="R20" i="1"/>
  <c r="J19" i="44" s="1"/>
  <c r="K19" i="44" s="1"/>
  <c r="R21" i="1"/>
  <c r="J20" i="44" s="1"/>
  <c r="K20" i="44" s="1"/>
  <c r="R22" i="1"/>
  <c r="J21" i="44" s="1"/>
  <c r="K21" i="44" s="1"/>
  <c r="R23" i="1"/>
  <c r="J22" i="44" s="1"/>
  <c r="K22" i="44" s="1"/>
  <c r="R25" i="1"/>
  <c r="J24" i="44" s="1"/>
  <c r="K24" i="44" s="1"/>
  <c r="R26" i="1"/>
  <c r="J25" i="44" s="1"/>
  <c r="K25" i="44" s="1"/>
  <c r="R27" i="1"/>
  <c r="J26" i="44" s="1"/>
  <c r="K26" i="44" s="1"/>
  <c r="R28" i="1"/>
  <c r="J27" i="44" s="1"/>
  <c r="K27" i="44" s="1"/>
  <c r="R29" i="1"/>
  <c r="J28" i="44" s="1"/>
  <c r="K28" i="44" s="1"/>
  <c r="R30" i="1"/>
  <c r="J29" i="44" s="1"/>
  <c r="K29" i="44" s="1"/>
  <c r="R31" i="1"/>
  <c r="J30" i="44" s="1"/>
  <c r="K30" i="44" s="1"/>
  <c r="R32" i="1"/>
  <c r="AK108" i="1" l="1"/>
  <c r="M51" i="44" s="1"/>
  <c r="R36" i="1"/>
  <c r="J34" i="44" s="1"/>
  <c r="K34" i="44" s="1"/>
  <c r="R14" i="1"/>
  <c r="J13" i="44" s="1"/>
  <c r="K13" i="44" s="1"/>
  <c r="R15" i="1"/>
  <c r="J14" i="44" s="1"/>
  <c r="K14" i="44" s="1"/>
  <c r="R16" i="1"/>
  <c r="J15" i="44" s="1"/>
  <c r="K15" i="44" s="1"/>
  <c r="R17" i="1"/>
  <c r="J16" i="44" s="1"/>
  <c r="K16" i="44" s="1"/>
  <c r="R18" i="1"/>
  <c r="J17" i="44" s="1"/>
  <c r="K17" i="44" s="1"/>
  <c r="R19" i="1"/>
  <c r="J18" i="44" s="1"/>
  <c r="K18" i="44" s="1"/>
  <c r="AI7" i="1"/>
  <c r="Z36" i="1"/>
  <c r="AA26" i="1"/>
  <c r="AA27" i="1"/>
  <c r="AA28" i="1"/>
  <c r="AA29" i="1"/>
  <c r="AA30" i="1"/>
  <c r="AA31" i="1"/>
  <c r="AA32" i="1"/>
  <c r="D38" i="40"/>
  <c r="Z13" i="1"/>
  <c r="I34" i="40"/>
  <c r="K50" i="44" l="1"/>
  <c r="AK17" i="1"/>
  <c r="AK21" i="1"/>
  <c r="AK20" i="1"/>
  <c r="AK18" i="1"/>
  <c r="Q36" i="1" a="1"/>
  <c r="Q36" i="1" s="1"/>
  <c r="P23" i="1"/>
  <c r="F22" i="44" s="1"/>
  <c r="P25" i="1"/>
  <c r="P26" i="1"/>
  <c r="P27" i="1"/>
  <c r="P28" i="1"/>
  <c r="P29" i="1"/>
  <c r="P30" i="1"/>
  <c r="P31" i="1"/>
  <c r="P32" i="1"/>
  <c r="K2" i="1"/>
  <c r="AB36" i="1" l="1"/>
  <c r="H34" i="44"/>
  <c r="I34" i="44" s="1"/>
  <c r="P22" i="1"/>
  <c r="F21" i="44" s="1"/>
  <c r="H20" i="44"/>
  <c r="I20" i="44" s="1"/>
  <c r="Q14" i="1"/>
  <c r="AB13" i="1"/>
  <c r="Q17" i="1"/>
  <c r="Q18" i="1"/>
  <c r="Q16" i="1"/>
  <c r="Q15" i="1"/>
  <c r="AH6" i="1"/>
  <c r="AB17" i="1" l="1"/>
  <c r="H16" i="44"/>
  <c r="I16" i="44" s="1"/>
  <c r="AB18" i="1"/>
  <c r="H17" i="44"/>
  <c r="I17" i="44" s="1"/>
  <c r="AB15" i="1"/>
  <c r="AK79" i="1" s="1"/>
  <c r="H14" i="44"/>
  <c r="I14" i="44" s="1"/>
  <c r="AI75" i="1" a="1"/>
  <c r="AI75" i="1" s="1"/>
  <c r="AI76" i="1" s="1" a="1"/>
  <c r="AI76" i="1" s="1"/>
  <c r="AK76" i="1" s="1"/>
  <c r="AB16" i="1"/>
  <c r="H15" i="44"/>
  <c r="I15" i="44" s="1"/>
  <c r="AB14" i="1"/>
  <c r="AK78" i="1" s="1"/>
  <c r="H13" i="44"/>
  <c r="I13" i="44" s="1"/>
  <c r="AB21" i="1"/>
  <c r="AM82" i="1"/>
  <c r="P21" i="1"/>
  <c r="F20" i="44" s="1"/>
  <c r="P19" i="1"/>
  <c r="F18" i="44" s="1"/>
  <c r="P14" i="1"/>
  <c r="F13" i="44" s="1"/>
  <c r="P20" i="1"/>
  <c r="F19" i="44" s="1"/>
  <c r="P13" i="1"/>
  <c r="F12" i="44" s="1"/>
  <c r="P17" i="1"/>
  <c r="F16" i="44" s="1"/>
  <c r="P18" i="1"/>
  <c r="F17" i="44" s="1"/>
  <c r="P15" i="1"/>
  <c r="F14" i="44" s="1"/>
  <c r="P16" i="1"/>
  <c r="F15" i="44" s="1"/>
  <c r="AI77" i="1" l="1" a="1"/>
  <c r="AI77" i="1" s="1"/>
  <c r="AK77" i="1" s="1"/>
  <c r="I50" i="44"/>
  <c r="AK75" i="1"/>
  <c r="AK123" i="1"/>
  <c r="AI80" i="1" l="1" a="1"/>
  <c r="AI80" i="1" s="1"/>
  <c r="AI81" i="1" s="1" a="1"/>
  <c r="AI81" i="1" s="1"/>
  <c r="I32" i="40"/>
  <c r="AK47" i="1"/>
  <c r="AK37" i="1"/>
  <c r="AK31" i="1"/>
  <c r="F14" i="29" l="1"/>
  <c r="F14" i="28"/>
  <c r="F14" i="27"/>
  <c r="F14" i="26"/>
  <c r="F14" i="25"/>
  <c r="F14" i="24"/>
  <c r="I30" i="6"/>
  <c r="D38" i="6"/>
  <c r="D36" i="6"/>
  <c r="F14" i="6"/>
  <c r="F12" i="6"/>
  <c r="I32" i="5"/>
  <c r="I30" i="5"/>
  <c r="D38" i="5"/>
  <c r="D36" i="5"/>
  <c r="D28" i="5"/>
  <c r="F22" i="5"/>
  <c r="F20" i="5"/>
  <c r="F18" i="5"/>
  <c r="F16" i="5"/>
  <c r="F14" i="5"/>
  <c r="F12" i="5"/>
  <c r="F10" i="5"/>
  <c r="I34" i="4"/>
  <c r="I32" i="4"/>
  <c r="I30" i="4"/>
  <c r="I28" i="4"/>
  <c r="D38" i="4"/>
  <c r="D36" i="4"/>
  <c r="D28" i="4"/>
  <c r="F22" i="4"/>
  <c r="F20" i="4"/>
  <c r="F18" i="4"/>
  <c r="F16" i="4"/>
  <c r="F14" i="4"/>
  <c r="F12" i="4"/>
  <c r="F10" i="4"/>
  <c r="I34" i="2"/>
  <c r="I32" i="2"/>
  <c r="I30" i="2"/>
  <c r="I28" i="2"/>
  <c r="D38" i="2"/>
  <c r="D36" i="2"/>
  <c r="D28" i="2"/>
  <c r="F22" i="2"/>
  <c r="F20" i="2"/>
  <c r="F18" i="2"/>
  <c r="I30" i="40"/>
  <c r="I28" i="40"/>
  <c r="D28" i="40"/>
  <c r="F22" i="40"/>
  <c r="F20" i="40"/>
  <c r="F18" i="40"/>
  <c r="F16" i="40"/>
  <c r="F14" i="40"/>
  <c r="F12" i="40"/>
  <c r="F10" i="40"/>
  <c r="C2" i="40"/>
  <c r="F14" i="10"/>
  <c r="F14" i="9"/>
  <c r="AK80" i="1" l="1"/>
  <c r="AK53" i="1"/>
  <c r="AK52" i="1"/>
  <c r="AK49" i="1"/>
  <c r="AK50" i="1"/>
  <c r="AK51" i="1"/>
  <c r="AK81" i="1" l="1"/>
  <c r="AK82" i="1" s="1"/>
  <c r="I51" i="44" s="1"/>
  <c r="D30" i="4"/>
  <c r="D30" i="2"/>
  <c r="D30" i="40"/>
  <c r="D32" i="4"/>
  <c r="D34" i="4"/>
  <c r="D32" i="2"/>
  <c r="D34" i="2"/>
  <c r="D32" i="40"/>
  <c r="D34" i="40"/>
  <c r="D32" i="6"/>
  <c r="D32" i="5"/>
  <c r="AK54" i="1"/>
  <c r="AK67" i="1"/>
  <c r="C2" i="37"/>
  <c r="C2" i="36"/>
  <c r="C2" i="35"/>
  <c r="C2" i="34"/>
  <c r="C2" i="33"/>
  <c r="C2" i="32"/>
  <c r="C2" i="31"/>
  <c r="C2" i="30"/>
  <c r="C2" i="29"/>
  <c r="C2" i="28"/>
  <c r="C2" i="27"/>
  <c r="C2" i="26"/>
  <c r="C2" i="25"/>
  <c r="C2" i="24"/>
  <c r="C2" i="23"/>
  <c r="C2" i="22"/>
  <c r="C2" i="21"/>
  <c r="C2" i="20"/>
  <c r="C2" i="19"/>
  <c r="C2" i="18"/>
  <c r="C2" i="17"/>
  <c r="C2" i="16"/>
  <c r="C2" i="15"/>
  <c r="C2" i="14"/>
  <c r="C2" i="13"/>
  <c r="C2" i="12"/>
  <c r="C2" i="11"/>
  <c r="C2" i="10"/>
  <c r="C2" i="9"/>
  <c r="C2" i="8"/>
  <c r="C2" i="7"/>
  <c r="C2" i="6"/>
  <c r="C2" i="5"/>
  <c r="C2" i="4"/>
  <c r="C2" i="2"/>
  <c r="L51" i="1"/>
  <c r="AI10" i="1" s="1"/>
  <c r="L33" i="1"/>
  <c r="I34" i="37"/>
  <c r="I32" i="37"/>
  <c r="I30" i="37"/>
  <c r="I28" i="37"/>
  <c r="D38" i="37"/>
  <c r="D36" i="37"/>
  <c r="D34" i="37"/>
  <c r="D32" i="37"/>
  <c r="D30" i="37"/>
  <c r="D28" i="37"/>
  <c r="F22" i="37"/>
  <c r="F20" i="37"/>
  <c r="F18" i="37"/>
  <c r="F16" i="37"/>
  <c r="F14" i="37"/>
  <c r="F12" i="37"/>
  <c r="F10" i="37"/>
  <c r="I34" i="36"/>
  <c r="I32" i="36"/>
  <c r="I30" i="36"/>
  <c r="I28" i="36"/>
  <c r="D38" i="36"/>
  <c r="D36" i="36"/>
  <c r="D34" i="36"/>
  <c r="D32" i="36"/>
  <c r="D30" i="36"/>
  <c r="D28" i="36"/>
  <c r="F22" i="36"/>
  <c r="F20" i="36"/>
  <c r="F18" i="36"/>
  <c r="F16" i="36"/>
  <c r="F14" i="36"/>
  <c r="F12" i="36"/>
  <c r="F10" i="36"/>
  <c r="I34" i="35"/>
  <c r="I32" i="35"/>
  <c r="I30" i="35"/>
  <c r="I28" i="35"/>
  <c r="D38" i="35"/>
  <c r="D36" i="35"/>
  <c r="D34" i="35"/>
  <c r="D32" i="35"/>
  <c r="D30" i="35"/>
  <c r="D28" i="35"/>
  <c r="F22" i="35"/>
  <c r="F20" i="35"/>
  <c r="F18" i="35"/>
  <c r="F16" i="35"/>
  <c r="F14" i="35"/>
  <c r="F12" i="35"/>
  <c r="F10" i="35"/>
  <c r="I34" i="34"/>
  <c r="I32" i="34"/>
  <c r="I30" i="34"/>
  <c r="I28" i="34"/>
  <c r="D38" i="34"/>
  <c r="D36" i="34"/>
  <c r="D34" i="34"/>
  <c r="D32" i="34"/>
  <c r="D30" i="34"/>
  <c r="D28" i="34"/>
  <c r="F22" i="34"/>
  <c r="F20" i="34"/>
  <c r="F18" i="34"/>
  <c r="F16" i="34"/>
  <c r="F14" i="34"/>
  <c r="F12" i="34"/>
  <c r="F10" i="34"/>
  <c r="I34" i="33"/>
  <c r="I32" i="33"/>
  <c r="I30" i="33"/>
  <c r="I28" i="33"/>
  <c r="D38" i="33"/>
  <c r="D36" i="33"/>
  <c r="D34" i="33"/>
  <c r="D32" i="33"/>
  <c r="D30" i="33"/>
  <c r="D28" i="33"/>
  <c r="F22" i="33"/>
  <c r="F20" i="33"/>
  <c r="F18" i="33"/>
  <c r="F16" i="33"/>
  <c r="F14" i="33"/>
  <c r="F12" i="33"/>
  <c r="F10" i="33"/>
  <c r="I34" i="32"/>
  <c r="I32" i="32"/>
  <c r="I30" i="32"/>
  <c r="I28" i="32"/>
  <c r="D38" i="32"/>
  <c r="D36" i="32"/>
  <c r="D34" i="32"/>
  <c r="D32" i="32"/>
  <c r="D30" i="32"/>
  <c r="D28" i="32"/>
  <c r="F22" i="32"/>
  <c r="F20" i="32"/>
  <c r="F18" i="32"/>
  <c r="F16" i="32"/>
  <c r="F14" i="32"/>
  <c r="F12" i="32"/>
  <c r="F10" i="32"/>
  <c r="I34" i="31"/>
  <c r="I32" i="31"/>
  <c r="I30" i="31"/>
  <c r="I28" i="31"/>
  <c r="D38" i="31"/>
  <c r="D36" i="31"/>
  <c r="D34" i="31"/>
  <c r="D32" i="31"/>
  <c r="D30" i="31"/>
  <c r="D28" i="31"/>
  <c r="F22" i="31"/>
  <c r="F20" i="31"/>
  <c r="F18" i="31"/>
  <c r="F16" i="31"/>
  <c r="F14" i="31"/>
  <c r="F12" i="31"/>
  <c r="F10" i="31"/>
  <c r="I34" i="30"/>
  <c r="I32" i="30"/>
  <c r="I30" i="30"/>
  <c r="I28" i="30"/>
  <c r="D38" i="30"/>
  <c r="D36" i="30"/>
  <c r="D34" i="30"/>
  <c r="D32" i="30"/>
  <c r="D30" i="30"/>
  <c r="D28" i="30"/>
  <c r="F22" i="30"/>
  <c r="F20" i="30"/>
  <c r="F18" i="30"/>
  <c r="F16" i="30"/>
  <c r="F14" i="30"/>
  <c r="F12" i="30"/>
  <c r="F10" i="30"/>
  <c r="I34" i="29"/>
  <c r="I32" i="29"/>
  <c r="I30" i="29"/>
  <c r="I28" i="29"/>
  <c r="D38" i="29"/>
  <c r="D36" i="29"/>
  <c r="D34" i="29"/>
  <c r="D32" i="29"/>
  <c r="D30" i="29"/>
  <c r="D28" i="29"/>
  <c r="F22" i="29"/>
  <c r="F20" i="29"/>
  <c r="F18" i="29"/>
  <c r="F16" i="29"/>
  <c r="F12" i="29"/>
  <c r="F10" i="29"/>
  <c r="I34" i="28"/>
  <c r="I32" i="28"/>
  <c r="I30" i="28"/>
  <c r="I28" i="28"/>
  <c r="D38" i="28"/>
  <c r="D36" i="28"/>
  <c r="D32" i="28"/>
  <c r="D28" i="28"/>
  <c r="F22" i="28"/>
  <c r="F20" i="28"/>
  <c r="F18" i="28"/>
  <c r="F16" i="28"/>
  <c r="F12" i="28"/>
  <c r="F10" i="28"/>
  <c r="I34" i="27"/>
  <c r="I32" i="27"/>
  <c r="I30" i="27"/>
  <c r="I28" i="27"/>
  <c r="D38" i="27"/>
  <c r="D36" i="27"/>
  <c r="D32" i="27"/>
  <c r="D28" i="27"/>
  <c r="F22" i="27"/>
  <c r="F20" i="27"/>
  <c r="F18" i="27"/>
  <c r="F16" i="27"/>
  <c r="F12" i="27"/>
  <c r="F10" i="27"/>
  <c r="I34" i="26"/>
  <c r="I32" i="26"/>
  <c r="I30" i="26"/>
  <c r="I28" i="26"/>
  <c r="D38" i="26"/>
  <c r="D36" i="26"/>
  <c r="D32" i="26"/>
  <c r="D28" i="26"/>
  <c r="F22" i="26"/>
  <c r="F20" i="26"/>
  <c r="F18" i="26"/>
  <c r="F16" i="26"/>
  <c r="F12" i="26"/>
  <c r="F10" i="26"/>
  <c r="I34" i="25"/>
  <c r="I32" i="25"/>
  <c r="I30" i="25"/>
  <c r="I28" i="25"/>
  <c r="D38" i="25"/>
  <c r="D36" i="25"/>
  <c r="D32" i="25"/>
  <c r="D28" i="25"/>
  <c r="F22" i="25"/>
  <c r="F20" i="25"/>
  <c r="F18" i="25"/>
  <c r="F16" i="25"/>
  <c r="F12" i="25"/>
  <c r="F10" i="25"/>
  <c r="I34" i="24"/>
  <c r="I32" i="24"/>
  <c r="I30" i="24"/>
  <c r="I28" i="24"/>
  <c r="D38" i="24"/>
  <c r="D36" i="24"/>
  <c r="D32" i="24"/>
  <c r="D28" i="24"/>
  <c r="F22" i="24"/>
  <c r="F20" i="24"/>
  <c r="F18" i="24"/>
  <c r="F16" i="24"/>
  <c r="F12" i="24"/>
  <c r="F10" i="24"/>
  <c r="I34" i="23"/>
  <c r="I32" i="23"/>
  <c r="I30" i="23"/>
  <c r="I28" i="23"/>
  <c r="D38" i="23"/>
  <c r="D36" i="23"/>
  <c r="D32" i="23"/>
  <c r="D28" i="23"/>
  <c r="F22" i="23"/>
  <c r="F20" i="23"/>
  <c r="F18" i="23"/>
  <c r="F16" i="23"/>
  <c r="F14" i="23"/>
  <c r="F12" i="23"/>
  <c r="F10" i="23"/>
  <c r="I34" i="22"/>
  <c r="I32" i="22"/>
  <c r="I30" i="22"/>
  <c r="I28" i="22"/>
  <c r="D38" i="22"/>
  <c r="D36" i="22"/>
  <c r="D34" i="22"/>
  <c r="D32" i="22"/>
  <c r="D30" i="22"/>
  <c r="D28" i="22"/>
  <c r="F22" i="22"/>
  <c r="F20" i="22"/>
  <c r="F18" i="22"/>
  <c r="F16" i="22"/>
  <c r="F14" i="22"/>
  <c r="F12" i="22"/>
  <c r="F10" i="22"/>
  <c r="I34" i="21"/>
  <c r="I32" i="21"/>
  <c r="I30" i="21"/>
  <c r="I28" i="21"/>
  <c r="D38" i="21"/>
  <c r="D36" i="21"/>
  <c r="D34" i="21"/>
  <c r="D32" i="21"/>
  <c r="D30" i="21"/>
  <c r="D28" i="21"/>
  <c r="F22" i="21"/>
  <c r="F20" i="21"/>
  <c r="F18" i="21"/>
  <c r="F16" i="21"/>
  <c r="F14" i="21"/>
  <c r="F12" i="21"/>
  <c r="F10" i="21"/>
  <c r="I34" i="20"/>
  <c r="I32" i="20"/>
  <c r="I30" i="20"/>
  <c r="I28" i="20"/>
  <c r="D38" i="20"/>
  <c r="D36" i="20"/>
  <c r="D34" i="20"/>
  <c r="D32" i="20"/>
  <c r="D30" i="20"/>
  <c r="D28" i="20"/>
  <c r="F22" i="20"/>
  <c r="F20" i="20"/>
  <c r="F18" i="20"/>
  <c r="F16" i="20"/>
  <c r="F14" i="20"/>
  <c r="F12" i="20"/>
  <c r="F10" i="20"/>
  <c r="I34" i="19"/>
  <c r="I32" i="19"/>
  <c r="I30" i="19"/>
  <c r="I28" i="19"/>
  <c r="D38" i="19"/>
  <c r="D36" i="19"/>
  <c r="D34" i="19"/>
  <c r="D32" i="19"/>
  <c r="D30" i="19"/>
  <c r="D28" i="19"/>
  <c r="F22" i="19"/>
  <c r="F20" i="19"/>
  <c r="F18" i="19"/>
  <c r="F16" i="19"/>
  <c r="F14" i="19"/>
  <c r="F12" i="19"/>
  <c r="F10" i="19"/>
  <c r="I34" i="18"/>
  <c r="I32" i="18"/>
  <c r="I30" i="18"/>
  <c r="I28" i="18"/>
  <c r="D38" i="18"/>
  <c r="D36" i="18"/>
  <c r="D34" i="18"/>
  <c r="D32" i="18"/>
  <c r="D30" i="18"/>
  <c r="D28" i="18"/>
  <c r="F22" i="18"/>
  <c r="F20" i="18"/>
  <c r="F18" i="18"/>
  <c r="F16" i="18"/>
  <c r="F14" i="18"/>
  <c r="F12" i="18"/>
  <c r="F10" i="18"/>
  <c r="I34" i="17"/>
  <c r="I32" i="17"/>
  <c r="I30" i="17"/>
  <c r="I28" i="17"/>
  <c r="D38" i="17"/>
  <c r="D36" i="17"/>
  <c r="D34" i="17"/>
  <c r="D32" i="17"/>
  <c r="D30" i="17"/>
  <c r="D28" i="17"/>
  <c r="F22" i="17"/>
  <c r="F20" i="17"/>
  <c r="F18" i="17"/>
  <c r="F16" i="17"/>
  <c r="F14" i="17"/>
  <c r="F12" i="17"/>
  <c r="F10" i="17"/>
  <c r="I34" i="16"/>
  <c r="I32" i="16"/>
  <c r="I30" i="16"/>
  <c r="I28" i="16"/>
  <c r="D38" i="16"/>
  <c r="D36" i="16"/>
  <c r="D34" i="16"/>
  <c r="D32" i="16"/>
  <c r="D30" i="16"/>
  <c r="D28" i="16"/>
  <c r="F22" i="16"/>
  <c r="F20" i="16"/>
  <c r="F18" i="16"/>
  <c r="F16" i="16"/>
  <c r="F14" i="16"/>
  <c r="F12" i="16"/>
  <c r="F10" i="16"/>
  <c r="I34" i="15"/>
  <c r="I32" i="15"/>
  <c r="I30" i="15"/>
  <c r="I28" i="15"/>
  <c r="D38" i="15"/>
  <c r="D36" i="15"/>
  <c r="D34" i="15"/>
  <c r="D32" i="15"/>
  <c r="D30" i="15"/>
  <c r="D28" i="15"/>
  <c r="F22" i="15"/>
  <c r="F20" i="15"/>
  <c r="F18" i="15"/>
  <c r="F16" i="15"/>
  <c r="F14" i="15"/>
  <c r="F12" i="15"/>
  <c r="F10" i="15"/>
  <c r="I34" i="14"/>
  <c r="I32" i="14"/>
  <c r="I30" i="14"/>
  <c r="I28" i="14"/>
  <c r="D38" i="14"/>
  <c r="D36" i="14"/>
  <c r="D34" i="14"/>
  <c r="D32" i="14"/>
  <c r="D30" i="14"/>
  <c r="D28" i="14"/>
  <c r="F22" i="14"/>
  <c r="F20" i="14"/>
  <c r="F18" i="14"/>
  <c r="F16" i="14"/>
  <c r="F14" i="14"/>
  <c r="F12" i="14"/>
  <c r="F10" i="14"/>
  <c r="I34" i="12"/>
  <c r="I32" i="12"/>
  <c r="I30" i="12"/>
  <c r="I28" i="12"/>
  <c r="D38" i="12"/>
  <c r="D36" i="12"/>
  <c r="D34" i="12"/>
  <c r="D32" i="12"/>
  <c r="D28" i="12"/>
  <c r="F22" i="12"/>
  <c r="F20" i="12"/>
  <c r="F18" i="12"/>
  <c r="F16" i="12"/>
  <c r="F14" i="12"/>
  <c r="F12" i="12"/>
  <c r="F10" i="12"/>
  <c r="I34" i="11"/>
  <c r="I32" i="11"/>
  <c r="I30" i="11"/>
  <c r="I28" i="11"/>
  <c r="D38" i="11"/>
  <c r="D36" i="11"/>
  <c r="D32" i="11"/>
  <c r="D28" i="11"/>
  <c r="F22" i="11"/>
  <c r="F20" i="11"/>
  <c r="F18" i="11"/>
  <c r="F16" i="11"/>
  <c r="F14" i="11"/>
  <c r="F12" i="11"/>
  <c r="F10" i="11"/>
  <c r="I34" i="10"/>
  <c r="I32" i="10"/>
  <c r="I30" i="10"/>
  <c r="I28" i="10"/>
  <c r="D38" i="10"/>
  <c r="D36" i="10"/>
  <c r="D32" i="10"/>
  <c r="D28" i="10"/>
  <c r="F22" i="10"/>
  <c r="F20" i="10"/>
  <c r="F18" i="10"/>
  <c r="F16" i="10"/>
  <c r="F12" i="10"/>
  <c r="F10" i="10"/>
  <c r="I34" i="9"/>
  <c r="I32" i="9"/>
  <c r="I30" i="9"/>
  <c r="I28" i="9"/>
  <c r="D38" i="9"/>
  <c r="D36" i="9"/>
  <c r="D32" i="9"/>
  <c r="D28" i="9"/>
  <c r="F22" i="9"/>
  <c r="F20" i="9"/>
  <c r="F18" i="9"/>
  <c r="F16" i="9"/>
  <c r="F12" i="9"/>
  <c r="F10" i="9"/>
  <c r="I34" i="8"/>
  <c r="I32" i="8"/>
  <c r="I30" i="8"/>
  <c r="I28" i="8"/>
  <c r="D38" i="8"/>
  <c r="D36" i="8"/>
  <c r="D32" i="8"/>
  <c r="D28" i="8"/>
  <c r="F22" i="8"/>
  <c r="F20" i="8"/>
  <c r="F18" i="8"/>
  <c r="F16" i="8"/>
  <c r="F14" i="8"/>
  <c r="F12" i="8"/>
  <c r="F10" i="8"/>
  <c r="I34" i="7"/>
  <c r="I32" i="7"/>
  <c r="I30" i="7"/>
  <c r="I28" i="7"/>
  <c r="D38" i="7"/>
  <c r="D36" i="7"/>
  <c r="D32" i="7"/>
  <c r="D28" i="7"/>
  <c r="F22" i="7"/>
  <c r="F20" i="7"/>
  <c r="F18" i="7"/>
  <c r="F16" i="7"/>
  <c r="F14" i="7"/>
  <c r="F12" i="7"/>
  <c r="F10" i="7"/>
  <c r="I34" i="6"/>
  <c r="I32" i="6"/>
  <c r="I28" i="6"/>
  <c r="D28" i="6"/>
  <c r="F22" i="6"/>
  <c r="F20" i="6"/>
  <c r="F18" i="6"/>
  <c r="F16" i="6"/>
  <c r="F10" i="6"/>
  <c r="I34" i="5"/>
  <c r="I28" i="5"/>
  <c r="F14" i="2"/>
  <c r="F16" i="2"/>
  <c r="F12" i="2"/>
  <c r="F10" i="2"/>
  <c r="AK130" i="1" l="1"/>
  <c r="AI9" i="1"/>
  <c r="D34" i="28"/>
  <c r="D34" i="23"/>
  <c r="D30" i="28"/>
  <c r="D30" i="23"/>
  <c r="D30" i="27" l="1"/>
  <c r="D30" i="25"/>
  <c r="D30" i="26"/>
  <c r="D34" i="7"/>
  <c r="D30" i="10"/>
  <c r="D30" i="11"/>
  <c r="D30" i="9"/>
  <c r="AI11" i="1"/>
  <c r="D34" i="27"/>
  <c r="D34" i="26"/>
  <c r="D34" i="25"/>
  <c r="D34" i="24"/>
  <c r="D34" i="10"/>
  <c r="D34" i="9"/>
  <c r="D34" i="8"/>
  <c r="D34" i="6"/>
  <c r="D34" i="5"/>
  <c r="D30" i="8"/>
  <c r="D30" i="7"/>
  <c r="D30" i="6"/>
  <c r="D30" i="5"/>
  <c r="D30" i="12"/>
  <c r="AK92" i="1"/>
  <c r="D30" i="24"/>
  <c r="AK91" i="1"/>
  <c r="AK90" i="1"/>
  <c r="AK89" i="1"/>
  <c r="AK87" i="1"/>
  <c r="AK86" i="1"/>
  <c r="AK88" i="1"/>
  <c r="AK22" i="1"/>
  <c r="AK19" i="1"/>
  <c r="AK23" i="1"/>
  <c r="D34" i="11"/>
  <c r="AK93" i="1" l="1"/>
  <c r="G51" i="44" s="1"/>
  <c r="AK25" i="1"/>
</calcChain>
</file>

<file path=xl/sharedStrings.xml><?xml version="1.0" encoding="utf-8"?>
<sst xmlns="http://schemas.openxmlformats.org/spreadsheetml/2006/main" count="5201" uniqueCount="662">
  <si>
    <t>Coil Model Number</t>
  </si>
  <si>
    <t>Description</t>
  </si>
  <si>
    <t>Valve</t>
  </si>
  <si>
    <t>Solonoid</t>
  </si>
  <si>
    <t>1/2"</t>
  </si>
  <si>
    <t>TES 2</t>
  </si>
  <si>
    <t>System</t>
  </si>
  <si>
    <t>BAKERY COLD ROOM</t>
  </si>
  <si>
    <t>Room</t>
  </si>
  <si>
    <t>GENERAL COLD ROOM</t>
  </si>
  <si>
    <t>HSR-302-4R-4F-E</t>
  </si>
  <si>
    <t>BUTCHERY FREEZER ROOM</t>
  </si>
  <si>
    <t>GENERAL FREEZER ROOM</t>
  </si>
  <si>
    <t>P-Trap Size</t>
  </si>
  <si>
    <t>Coil Suction Pipe Size</t>
  </si>
  <si>
    <t>Coil Liquid Pipe Size</t>
  </si>
  <si>
    <t>Coil / System Data</t>
  </si>
  <si>
    <t>Construction Data</t>
  </si>
  <si>
    <t>Red Probe</t>
  </si>
  <si>
    <t>Blue Probe</t>
  </si>
  <si>
    <t>Suction Elbow Size</t>
  </si>
  <si>
    <t>Suction Reduser Size</t>
  </si>
  <si>
    <t>MAIN Suction Size</t>
  </si>
  <si>
    <t>MAIN Liquid Size</t>
  </si>
  <si>
    <t>FREEZERS ROOM COILS</t>
  </si>
  <si>
    <t>COLD ROOM COILS</t>
  </si>
  <si>
    <t>BLOWER COIL DRESSING / LABLES</t>
  </si>
  <si>
    <t>OrIfice</t>
  </si>
  <si>
    <t>BUILD SHEET</t>
  </si>
  <si>
    <t>SYSTEM NO.</t>
  </si>
  <si>
    <t>ROOM NO.</t>
  </si>
  <si>
    <t>COIL MODEL NUMBER:</t>
  </si>
  <si>
    <t>NUMBER OF COILS IN SYSTEM:</t>
  </si>
  <si>
    <t>COIL SUCTION SIZE:</t>
  </si>
  <si>
    <t>COIL LIQUID SIZE:</t>
  </si>
  <si>
    <t>CONSTRUCTION</t>
  </si>
  <si>
    <t>MAIN SUCTION LINE:</t>
  </si>
  <si>
    <t>SUCTION ELBOW:</t>
  </si>
  <si>
    <t>SUCTION REDUCER:</t>
  </si>
  <si>
    <t>P-TRAP SIZE:</t>
  </si>
  <si>
    <t>MAIN LIQUID LINE:</t>
  </si>
  <si>
    <t>EXPANSION VALVE MODEL:</t>
  </si>
  <si>
    <t>ORIFICE SIZE:</t>
  </si>
  <si>
    <t>RED PROBE (DEFROST)</t>
  </si>
  <si>
    <t>BLUE PROBE (AIR TEMP)</t>
  </si>
  <si>
    <t>QUALITY CHECK</t>
  </si>
  <si>
    <t>PRESSURE TEST TO 5 BAR</t>
  </si>
  <si>
    <t>LEAK LOCK ON EXPANSION VALVE FLARE NUT</t>
  </si>
  <si>
    <t>LIQUID LINE FILTER DRIER FITTED CORRECT</t>
  </si>
  <si>
    <t>SUCTION LINE ARMAFLEX FITTED CORRECT</t>
  </si>
  <si>
    <t>EXPANSION VALVE FITTED CORRECT</t>
  </si>
  <si>
    <t>RED PROBE FITTED TO TOP OF FINNS</t>
  </si>
  <si>
    <t>BLUE PROBE FITTED TO CORRECT LOCATION</t>
  </si>
  <si>
    <t>SIDE COVER PLATED FITTED</t>
  </si>
  <si>
    <t>YES    /    NO</t>
  </si>
  <si>
    <t>NOTES:</t>
  </si>
  <si>
    <t>DRESSING DONE BY:</t>
  </si>
  <si>
    <t>QUALITY CHECK BY:</t>
  </si>
  <si>
    <t>DATE:</t>
  </si>
  <si>
    <t>DESCRIPTION:</t>
  </si>
  <si>
    <t>SOLENOID VALVE MODEL:</t>
  </si>
  <si>
    <t>SHROUDED CAP REPLACED AFTER PRESSURE TEST</t>
  </si>
  <si>
    <t>EXPANSION VALVE BULB FIXED CORRECTLY</t>
  </si>
  <si>
    <t>IDENTIFICATION STICKER APPLIED TO TOP OF COIL</t>
  </si>
  <si>
    <t>SOLENOID SECURED TO COIL WITH BRACKET</t>
  </si>
  <si>
    <t>IDENTIFICATION STICKER APPLIED TO CARDBOARD BOX</t>
  </si>
  <si>
    <t>SOLENOID DIRECTION CORRECT</t>
  </si>
  <si>
    <t>COIL PACKED AND WRAPPED IN CARDBOARD BOX</t>
  </si>
  <si>
    <t>SOLENOID COIL FITTED CORRECT POSITION</t>
  </si>
  <si>
    <t>SOLENOID WIRE FIXED CORRECT</t>
  </si>
  <si>
    <t>SOLENOID ASSEMBLED CORRECT</t>
  </si>
  <si>
    <t>ALL PROBES, CABLE, CABLE TIED CORRECT</t>
  </si>
  <si>
    <t>STORE NAME:</t>
  </si>
  <si>
    <t>COIL SUPPLIER</t>
  </si>
  <si>
    <t>AMOUNT OF MT COILS</t>
  </si>
  <si>
    <t>AMOUNT OF LT COILS</t>
  </si>
  <si>
    <t>TOTAL AMOUNT OF COILS</t>
  </si>
  <si>
    <t>HSR-352-6R-6F-E</t>
  </si>
  <si>
    <t xml:space="preserve">  &gt;  </t>
  </si>
  <si>
    <t>HSR-303-4R-4F-E</t>
  </si>
  <si>
    <t>MT coils</t>
  </si>
  <si>
    <t>LT coils</t>
  </si>
  <si>
    <t>P Trap</t>
  </si>
  <si>
    <t>Size</t>
  </si>
  <si>
    <t>unit</t>
  </si>
  <si>
    <t>qty</t>
  </si>
  <si>
    <t>1/2</t>
  </si>
  <si>
    <t>ea</t>
  </si>
  <si>
    <t>5/8</t>
  </si>
  <si>
    <t>3/4</t>
  </si>
  <si>
    <t>7/8</t>
  </si>
  <si>
    <t>1-1/8</t>
  </si>
  <si>
    <t>1-3/8</t>
  </si>
  <si>
    <t>1-5/8</t>
  </si>
  <si>
    <t>2-1/8</t>
  </si>
  <si>
    <t>184 sweat on driers</t>
  </si>
  <si>
    <t>Castel Solonoid Valves - sweat on</t>
  </si>
  <si>
    <t>1/4"</t>
  </si>
  <si>
    <t>roll</t>
  </si>
  <si>
    <t>3/4 Wall Armaflex</t>
  </si>
  <si>
    <t>length</t>
  </si>
  <si>
    <t>1"Wall Armaflex</t>
  </si>
  <si>
    <t>Copper Reducing coupling</t>
  </si>
  <si>
    <t>Copper Elbows</t>
  </si>
  <si>
    <t>White 0.75mm 3 core cabtyre</t>
  </si>
  <si>
    <t>0.75</t>
  </si>
  <si>
    <t>0</t>
  </si>
  <si>
    <t>1</t>
  </si>
  <si>
    <t>2</t>
  </si>
  <si>
    <t>3</t>
  </si>
  <si>
    <t>4</t>
  </si>
  <si>
    <t>5</t>
  </si>
  <si>
    <t>6</t>
  </si>
  <si>
    <t>QTY</t>
  </si>
  <si>
    <t>OrIfice #</t>
  </si>
  <si>
    <t>BLOWER DRESSING PACKING CHECK LIST</t>
  </si>
  <si>
    <t>ARMAFLEX -1" THICK</t>
  </si>
  <si>
    <t>HSR-351-4R-6F-E</t>
  </si>
  <si>
    <t>HSR-302-3R-6F-E</t>
  </si>
  <si>
    <t>HSR-304-3R-6F</t>
  </si>
  <si>
    <t>HSR-354-4R-6F</t>
  </si>
  <si>
    <t>HSR-302-5R-6F-E</t>
  </si>
  <si>
    <t>HDR-303-5R-6F</t>
  </si>
  <si>
    <t>HSR-352-6R-4F-E</t>
  </si>
  <si>
    <t>ARMA FLEX -3/4" THICK</t>
  </si>
  <si>
    <t>Drier</t>
  </si>
  <si>
    <t>HSR-303-3R-6F-E</t>
  </si>
  <si>
    <t>HSR-305-4R-6F</t>
  </si>
  <si>
    <t>HSR-303-3R-6F</t>
  </si>
  <si>
    <t>HSR-353-4R-6F-E</t>
  </si>
  <si>
    <t>HSR-354-6R-6F-E</t>
  </si>
  <si>
    <t>HSR-301-3R-6F</t>
  </si>
  <si>
    <t>HSR-301-4R-6F</t>
  </si>
  <si>
    <t>HSR-301-5R-6F</t>
  </si>
  <si>
    <t>HSR-301-3R-4F</t>
  </si>
  <si>
    <t>HSR-301-4R-4F</t>
  </si>
  <si>
    <t>HSR-301-5R-4F</t>
  </si>
  <si>
    <t>HSR-302-3R-6F</t>
  </si>
  <si>
    <t>HSR-302-4R-6F</t>
  </si>
  <si>
    <t>HSR-302-5R-6F</t>
  </si>
  <si>
    <t>HSR-302-4R-4F</t>
  </si>
  <si>
    <t>HSR-302-5R-4F</t>
  </si>
  <si>
    <t>HSR-303-4R-6F</t>
  </si>
  <si>
    <t>HSR-303-5R-6F</t>
  </si>
  <si>
    <t>HSR-303-3R-4F</t>
  </si>
  <si>
    <t>HSR-303-4R-4F</t>
  </si>
  <si>
    <t>HSR-303-5R-4F</t>
  </si>
  <si>
    <t>HSR-304-4R-6F</t>
  </si>
  <si>
    <t>HSR-304-5R-6F</t>
  </si>
  <si>
    <t>HSR-304-3R-4F</t>
  </si>
  <si>
    <t>HSR-304-4R-4F</t>
  </si>
  <si>
    <t>HSR-304-5R-4F</t>
  </si>
  <si>
    <t>HSR-305-3R-6F</t>
  </si>
  <si>
    <t>HSR-305-5R-6F</t>
  </si>
  <si>
    <t>HSR-305-3R-4F</t>
  </si>
  <si>
    <t>HSR-305-4R-4F</t>
  </si>
  <si>
    <t>HSR-305-5R-4F</t>
  </si>
  <si>
    <t>HSR-351-4R-6F</t>
  </si>
  <si>
    <t>HSR-351-6R-6F</t>
  </si>
  <si>
    <t>HSR-351-4R-4F</t>
  </si>
  <si>
    <t>HSR-351-6R-4F</t>
  </si>
  <si>
    <t>HSR-352-4R-6F</t>
  </si>
  <si>
    <t>HSR-352-6R-6F</t>
  </si>
  <si>
    <t>HSR-352-4R-4F</t>
  </si>
  <si>
    <t>HSR-352-6R-4F</t>
  </si>
  <si>
    <t>HSR-353-4R-6F</t>
  </si>
  <si>
    <t>HSR-353-6R-6F</t>
  </si>
  <si>
    <t>HSR-353-4R-4F</t>
  </si>
  <si>
    <t>HSR-353-6R-4F</t>
  </si>
  <si>
    <t>HSR-354-6R-6F</t>
  </si>
  <si>
    <t>HSR-354-4R-4F</t>
  </si>
  <si>
    <t>HSR-354-6R-4F</t>
  </si>
  <si>
    <t>HSR-501-4R-6F</t>
  </si>
  <si>
    <t>HSR-501-6R-6F</t>
  </si>
  <si>
    <t>HSR-501-4R-4F</t>
  </si>
  <si>
    <t>HSR-501-6R-4F</t>
  </si>
  <si>
    <t>HSR-502-4R-6F</t>
  </si>
  <si>
    <t>HSR-502-6R-6F</t>
  </si>
  <si>
    <t>HSR-502-4R-4F</t>
  </si>
  <si>
    <t>HSR-502-6R-4F</t>
  </si>
  <si>
    <t>HSR-503-4R-6F</t>
  </si>
  <si>
    <t>HSR-503-6R-6F</t>
  </si>
  <si>
    <t>HSR-503-4R-4F</t>
  </si>
  <si>
    <t>HSR-503-6R-4F</t>
  </si>
  <si>
    <t>HDR-301-3R-6F</t>
  </si>
  <si>
    <t>HDR-301-5R-6F</t>
  </si>
  <si>
    <t>HDR-301-3R-4F</t>
  </si>
  <si>
    <t>HDR-301-5R-4F</t>
  </si>
  <si>
    <t>HDR-302-3R-6F</t>
  </si>
  <si>
    <t>HDR-302-5R-6F</t>
  </si>
  <si>
    <t>HDR-302-3R-4F</t>
  </si>
  <si>
    <t>HDR-302-5R-4F</t>
  </si>
  <si>
    <t>HDR-303-3R-6F</t>
  </si>
  <si>
    <t>HDR-303-3R-4F</t>
  </si>
  <si>
    <t>HDR-303-5R-4F</t>
  </si>
  <si>
    <t>HDR-304-3R-6F</t>
  </si>
  <si>
    <t>HDR-304-5R-6F</t>
  </si>
  <si>
    <t>HDR-304-3R-4F</t>
  </si>
  <si>
    <t>HDR-304-5R-4F</t>
  </si>
  <si>
    <t>HSR-302-3R-4F-E</t>
  </si>
  <si>
    <t>HSR-303-3R-4F-E</t>
  </si>
  <si>
    <t>HSR-352-4R-4F-E</t>
  </si>
  <si>
    <t>HSR-353-4R-4F-E</t>
  </si>
  <si>
    <t>HSR-301-3R-6F-E</t>
  </si>
  <si>
    <t>HSR-301-4R-6F-E</t>
  </si>
  <si>
    <t>HSR-301-5R-6F-E</t>
  </si>
  <si>
    <t>HSR-301-3R-4F-E</t>
  </si>
  <si>
    <t>HSR-301-4R-4F-E</t>
  </si>
  <si>
    <t>HSR-301-5R-4F-E</t>
  </si>
  <si>
    <t>HSR-302-4R-6F-E</t>
  </si>
  <si>
    <t>HSR-302-5R-4F-E</t>
  </si>
  <si>
    <t>HSR-303-4R-6F-E</t>
  </si>
  <si>
    <t>HSR-303-5R-6F-E</t>
  </si>
  <si>
    <t>HSR-303-5R-4F-E</t>
  </si>
  <si>
    <t>HSR-304-3R-6F-E</t>
  </si>
  <si>
    <t>HSR-304-4R-6F-E</t>
  </si>
  <si>
    <t>HSR-304-5R-6F-E</t>
  </si>
  <si>
    <t>HSR-304-3R-4F-E</t>
  </si>
  <si>
    <t>HSR-304-4R-4F-E</t>
  </si>
  <si>
    <t>HSR-304-5R-4F-E</t>
  </si>
  <si>
    <t>HSR-305-3R-6F-E</t>
  </si>
  <si>
    <t>HSR-305-4R-6F-E</t>
  </si>
  <si>
    <t>HSR-305-5R-6F-E</t>
  </si>
  <si>
    <t>HSR-305-3R-4F-E</t>
  </si>
  <si>
    <t>HSR-305-4R-4F-E</t>
  </si>
  <si>
    <t>HSR-305-5R-4F-E</t>
  </si>
  <si>
    <t>HSR-351-6R-6F-E</t>
  </si>
  <si>
    <t>HSR-351-4R-4F-E</t>
  </si>
  <si>
    <t>HSR-352-4R-6F-E</t>
  </si>
  <si>
    <t>HSR-353-6R-6F-E</t>
  </si>
  <si>
    <t>HSR-353-6R-4F-E</t>
  </si>
  <si>
    <t>HSR-354-4R-6F-E</t>
  </si>
  <si>
    <t>HSR-354-4R-4F-E</t>
  </si>
  <si>
    <t>HSR-354-6R-4F-E</t>
  </si>
  <si>
    <t>HSR-501-4R-6F-E</t>
  </si>
  <si>
    <t>HSR-501-6R-6F-E</t>
  </si>
  <si>
    <t>HSR-501-4R-4F-E</t>
  </si>
  <si>
    <t>HSR-501-6R-4F-E</t>
  </si>
  <si>
    <t>HSR-502-4R-6F-E</t>
  </si>
  <si>
    <t>HSR-502-6R-6F-E</t>
  </si>
  <si>
    <t>HSR-502-4R-4F-E</t>
  </si>
  <si>
    <t>HSR-502-6R-4F-E</t>
  </si>
  <si>
    <t>HSR-503-4R-6F-E</t>
  </si>
  <si>
    <t>HSR-503-6R-6F-E</t>
  </si>
  <si>
    <t>HSR-503-4R-4F-E</t>
  </si>
  <si>
    <t>HSR-503-6R-4F-E</t>
  </si>
  <si>
    <t>HDR-301-3R-6F-E</t>
  </si>
  <si>
    <t>HDR-301-5R-6F-E</t>
  </si>
  <si>
    <t>HDR-301-3R-4F-E</t>
  </si>
  <si>
    <t>HDR-301-5R-4F-E</t>
  </si>
  <si>
    <t>HDR-302-3R-6F-E</t>
  </si>
  <si>
    <t>HDR-302-5R-6F-E</t>
  </si>
  <si>
    <t>HDR-302-3R-4F-E</t>
  </si>
  <si>
    <t>HDR-302-5R-4F-E</t>
  </si>
  <si>
    <t>HDR-303-3R-6F-E</t>
  </si>
  <si>
    <t>HDR-303-5R-6F-E</t>
  </si>
  <si>
    <t>HDR-303-3R-4F-E</t>
  </si>
  <si>
    <t>HDR-303-5R-4F-E</t>
  </si>
  <si>
    <t>HDR-304-3R-6F-E</t>
  </si>
  <si>
    <t>HDR-304-5R-6F-E</t>
  </si>
  <si>
    <t>HDR-304-3R-4F-E</t>
  </si>
  <si>
    <t>HDR-304-5R-4F-E</t>
  </si>
  <si>
    <t>HSR-302-3R-4F</t>
  </si>
  <si>
    <t>LIQUID</t>
  </si>
  <si>
    <t>Smalls</t>
  </si>
  <si>
    <t>T30R cable ties</t>
  </si>
  <si>
    <t>pack</t>
  </si>
  <si>
    <t xml:space="preserve">Contact adhesive </t>
  </si>
  <si>
    <t>250ml</t>
  </si>
  <si>
    <t xml:space="preserve"># Coils </t>
  </si>
  <si>
    <t xml:space="preserve">Suction Reducer </t>
  </si>
  <si>
    <t>PVC Gland</t>
  </si>
  <si>
    <t>liquid reducer</t>
  </si>
  <si>
    <t>3/8"</t>
  </si>
  <si>
    <t>ESTIMATE SHIPPING DATE</t>
  </si>
  <si>
    <t>7</t>
  </si>
  <si>
    <t>8</t>
  </si>
  <si>
    <t>9</t>
  </si>
  <si>
    <t>BUTCHERY COLD ROOM</t>
  </si>
  <si>
    <t>HSR</t>
  </si>
  <si>
    <t>HDR</t>
  </si>
  <si>
    <t>DT</t>
  </si>
  <si>
    <t>MT</t>
  </si>
  <si>
    <t>LT</t>
  </si>
  <si>
    <t>MT/DT/LT</t>
  </si>
  <si>
    <t>castel</t>
  </si>
  <si>
    <t>MODEL</t>
  </si>
  <si>
    <t>FAN</t>
  </si>
  <si>
    <t>HEATERS</t>
  </si>
  <si>
    <t># Coils in system</t>
  </si>
  <si>
    <t xml:space="preserve">JOB NUMBER </t>
  </si>
  <si>
    <t># OF SUCTION REDUCERS</t>
  </si>
  <si>
    <t>TUAE (404)</t>
  </si>
  <si>
    <t>RED PROBE QTY</t>
  </si>
  <si>
    <t>BLUE PROBE QTY</t>
  </si>
  <si>
    <t>TOTAL</t>
  </si>
  <si>
    <t xml:space="preserve">CHECK </t>
  </si>
  <si>
    <t>#0 PVC GLAND</t>
  </si>
  <si>
    <t>DELI COLD ROOM</t>
  </si>
  <si>
    <t xml:space="preserve">FRUIT &amp; VEG COLD ROOM </t>
  </si>
  <si>
    <t xml:space="preserve">PERISHABLES RECEIVING </t>
  </si>
  <si>
    <t>FRUIT &amp; VEG PREP</t>
  </si>
  <si>
    <t>BUTCHERY PREP</t>
  </si>
  <si>
    <t>BAKERY FREEZER ROOM</t>
  </si>
  <si>
    <t>Soft Drawn Copper - R22</t>
  </si>
  <si>
    <t>WALK IN COLD ROOM</t>
  </si>
  <si>
    <t xml:space="preserve">Total coils </t>
  </si>
  <si>
    <t>Danfoss  oriface for above valve</t>
  </si>
  <si>
    <t>Hanging equipment</t>
  </si>
  <si>
    <t>80x80x3mm plate</t>
  </si>
  <si>
    <t xml:space="preserve">M8 Dome Nuts </t>
  </si>
  <si>
    <t>Mountings</t>
  </si>
  <si>
    <t>80*80 PLATES</t>
  </si>
  <si>
    <t>M8 DOME NUTS</t>
  </si>
  <si>
    <t>JOB #</t>
  </si>
  <si>
    <t>Danfoss TES/TEX sweat on expansion valve</t>
  </si>
  <si>
    <t xml:space="preserve">SOLDER ADAPTER </t>
  </si>
  <si>
    <t>FA3 SOLDER ADAPTER (6197)</t>
  </si>
  <si>
    <t>EA</t>
  </si>
  <si>
    <t>SOLDER FLARE ADAPTER</t>
  </si>
  <si>
    <t>TBA</t>
  </si>
  <si>
    <t>HSe</t>
  </si>
  <si>
    <t>301-1BNX0</t>
  </si>
  <si>
    <t>6FPI (4.2mm)</t>
  </si>
  <si>
    <t>1x300</t>
  </si>
  <si>
    <t>M4Q 045 34W 300mm</t>
  </si>
  <si>
    <t>3/4" BSPM</t>
  </si>
  <si>
    <t>301-1CNX0</t>
  </si>
  <si>
    <t>301-1DNX0</t>
  </si>
  <si>
    <t>301-1ENX0</t>
  </si>
  <si>
    <t>302-1BNX0</t>
  </si>
  <si>
    <t>2x300</t>
  </si>
  <si>
    <t>302-1CNX0</t>
  </si>
  <si>
    <t>302-1DNX0</t>
  </si>
  <si>
    <t>302-1ENX0</t>
  </si>
  <si>
    <t>303-1BNX0</t>
  </si>
  <si>
    <t>3x300</t>
  </si>
  <si>
    <t>303-1CNX0</t>
  </si>
  <si>
    <t>303-1DNX0</t>
  </si>
  <si>
    <t>303-1ENX0</t>
  </si>
  <si>
    <t>304-1BNX0</t>
  </si>
  <si>
    <t>4x300</t>
  </si>
  <si>
    <t>304-1CNX0</t>
  </si>
  <si>
    <t>304-1DNX0</t>
  </si>
  <si>
    <t>304-1ENX0</t>
  </si>
  <si>
    <t>305-1BNX0</t>
  </si>
  <si>
    <t>5x300</t>
  </si>
  <si>
    <t>305-1CNX0</t>
  </si>
  <si>
    <t>305-1DNX0</t>
  </si>
  <si>
    <t>305-1ENX0</t>
  </si>
  <si>
    <t>301-1BWX0</t>
  </si>
  <si>
    <t>4FPI (6.35mm)</t>
  </si>
  <si>
    <t>301-1CWX0</t>
  </si>
  <si>
    <t>301-1DWX0</t>
  </si>
  <si>
    <t>301-1EWX0</t>
  </si>
  <si>
    <t>302-1BWX0</t>
  </si>
  <si>
    <t>302-1CWX0</t>
  </si>
  <si>
    <t>302-1DWX0</t>
  </si>
  <si>
    <t>302-1EWX0</t>
  </si>
  <si>
    <t>303-1BWX0</t>
  </si>
  <si>
    <t>303-1CWX0</t>
  </si>
  <si>
    <t>303-1DWX0</t>
  </si>
  <si>
    <t>303-1EWX0</t>
  </si>
  <si>
    <t>304-1BWX0</t>
  </si>
  <si>
    <t>304-1CWX0</t>
  </si>
  <si>
    <t>304-1DWX0</t>
  </si>
  <si>
    <t>304-1EWX0</t>
  </si>
  <si>
    <t>305-1BWX0</t>
  </si>
  <si>
    <t>305-1CWX0</t>
  </si>
  <si>
    <t>305-1DWX0</t>
  </si>
  <si>
    <t>305-1EWX0</t>
  </si>
  <si>
    <t>PERFORMANCE DATA</t>
  </si>
  <si>
    <t>TECHNICAL DATA</t>
  </si>
  <si>
    <t>Series - HSe300</t>
  </si>
  <si>
    <t>Fins Per Inch (Spacing - mm)</t>
  </si>
  <si>
    <t>Capacity @ SC2 - kW</t>
  </si>
  <si>
    <t>Capacity @ SC3 - kW</t>
  </si>
  <si>
    <r>
      <t>Air Flow - m</t>
    </r>
    <r>
      <rPr>
        <vertAlign val="superscript"/>
        <sz val="10"/>
        <color theme="0"/>
        <rFont val="Calibri"/>
        <family val="2"/>
        <scheme val="minor"/>
      </rPr>
      <t>3</t>
    </r>
    <r>
      <rPr>
        <sz val="10"/>
        <color theme="0"/>
        <rFont val="Calibri"/>
        <family val="2"/>
        <scheme val="minor"/>
      </rPr>
      <t>/hr</t>
    </r>
  </si>
  <si>
    <r>
      <t xml:space="preserve">Air Throw - m </t>
    </r>
    <r>
      <rPr>
        <vertAlign val="superscript"/>
        <sz val="10"/>
        <color theme="0"/>
        <rFont val="Calibri"/>
        <family val="2"/>
        <scheme val="minor"/>
      </rPr>
      <t>1</t>
    </r>
  </si>
  <si>
    <t>Face Velocity - m/s</t>
  </si>
  <si>
    <t>Fans - Qty x Dia - mm</t>
  </si>
  <si>
    <t>Fan Model - ebm-papst</t>
  </si>
  <si>
    <t>Coil Internal Volume - lt</t>
  </si>
  <si>
    <t>Coil Surface Area - m²</t>
  </si>
  <si>
    <r>
      <t xml:space="preserve">Liquid Connection - Inch </t>
    </r>
    <r>
      <rPr>
        <vertAlign val="superscript"/>
        <sz val="10"/>
        <color theme="0"/>
        <rFont val="Calibri"/>
        <family val="2"/>
        <scheme val="minor"/>
      </rPr>
      <t>2</t>
    </r>
  </si>
  <si>
    <r>
      <t xml:space="preserve">Suction Connection - Inch </t>
    </r>
    <r>
      <rPr>
        <vertAlign val="superscript"/>
        <sz val="10"/>
        <color theme="0"/>
        <rFont val="Calibri"/>
        <family val="2"/>
        <scheme val="minor"/>
      </rPr>
      <t>3</t>
    </r>
  </si>
  <si>
    <r>
      <t xml:space="preserve">Electric Defrost - kW </t>
    </r>
    <r>
      <rPr>
        <vertAlign val="superscript"/>
        <sz val="10"/>
        <color theme="0"/>
        <rFont val="Calibri"/>
        <family val="2"/>
        <scheme val="minor"/>
      </rPr>
      <t>4</t>
    </r>
  </si>
  <si>
    <t>Unit Mass - kg</t>
  </si>
  <si>
    <t>Drain Fitting - Inch</t>
  </si>
  <si>
    <t>351-1DNX0</t>
  </si>
  <si>
    <t>1x350</t>
  </si>
  <si>
    <t>S4E350</t>
  </si>
  <si>
    <t>351-1FNX0</t>
  </si>
  <si>
    <t>352-1DNX0</t>
  </si>
  <si>
    <t>2x350</t>
  </si>
  <si>
    <t>352-1FNX0</t>
  </si>
  <si>
    <t>353-1DNX0</t>
  </si>
  <si>
    <t>3x350</t>
  </si>
  <si>
    <t>353-1FNX0</t>
  </si>
  <si>
    <t>354-1DNX0</t>
  </si>
  <si>
    <t>4x350</t>
  </si>
  <si>
    <t>354-1FNX0</t>
  </si>
  <si>
    <t>351-1DWX0</t>
  </si>
  <si>
    <t>351-1FWX0</t>
  </si>
  <si>
    <t>352-1DWX0</t>
  </si>
  <si>
    <t>352-1FWX0</t>
  </si>
  <si>
    <t>353-1DWX0</t>
  </si>
  <si>
    <t>353-1FWX0</t>
  </si>
  <si>
    <t>354-1DWX0</t>
  </si>
  <si>
    <t>354-1FWX0</t>
  </si>
  <si>
    <t>501-3DNX0</t>
  </si>
  <si>
    <t>1x500</t>
  </si>
  <si>
    <t>S4D500 - DELTA</t>
  </si>
  <si>
    <t>1-1/4" NPSM</t>
  </si>
  <si>
    <t>501-3FNX0</t>
  </si>
  <si>
    <t>502-3DNX0</t>
  </si>
  <si>
    <t>2x500</t>
  </si>
  <si>
    <t>502-3FNX0</t>
  </si>
  <si>
    <t>503-3DNX0</t>
  </si>
  <si>
    <t>3x500</t>
  </si>
  <si>
    <t>503-3FNX0</t>
  </si>
  <si>
    <t>501-3DWX0</t>
  </si>
  <si>
    <t>501-3FWX0</t>
  </si>
  <si>
    <t>502-3DWX0</t>
  </si>
  <si>
    <t>502-3FWX0</t>
  </si>
  <si>
    <t>503-3DWX0</t>
  </si>
  <si>
    <t>503-3FWX0</t>
  </si>
  <si>
    <t>501-SDNX0</t>
  </si>
  <si>
    <t>S4D500 - STAR</t>
  </si>
  <si>
    <t>501-SFNX0</t>
  </si>
  <si>
    <t>502-SDNX0</t>
  </si>
  <si>
    <t>502-SFNX0</t>
  </si>
  <si>
    <t>503-SDNX0</t>
  </si>
  <si>
    <t>503-SFNX0</t>
  </si>
  <si>
    <t>501-SDWX0</t>
  </si>
  <si>
    <t>501-SFWX0</t>
  </si>
  <si>
    <t>502-SDWX0</t>
  </si>
  <si>
    <t>502-SFWX0</t>
  </si>
  <si>
    <t>503-SDWX0</t>
  </si>
  <si>
    <t>503-SFWX0</t>
  </si>
  <si>
    <t>ROW (B=2,C=3 etc)</t>
  </si>
  <si>
    <t>SINGLE Phase =1; 3phase = 3; Star = S</t>
  </si>
  <si>
    <t>5/5</t>
  </si>
  <si>
    <t>HDe300</t>
  </si>
  <si>
    <t>M4Q 045 25W 300mm</t>
  </si>
  <si>
    <t>1/2" BSPM</t>
  </si>
  <si>
    <t>HDe</t>
  </si>
  <si>
    <t>ICE CREAM FREEZER ROOM</t>
  </si>
  <si>
    <t xml:space="preserve">SEAFOOD FREEZER ROOM </t>
  </si>
  <si>
    <t>TEX 2</t>
  </si>
  <si>
    <t>TE5 (R404)</t>
  </si>
  <si>
    <t>TUAE (R404)</t>
  </si>
  <si>
    <t># OF LIQUIED REDUCERS</t>
  </si>
  <si>
    <t>DELI FREEZER</t>
  </si>
  <si>
    <t>35 SERIES BLOWER COILS</t>
  </si>
  <si>
    <t>6 FINS PER INCH</t>
  </si>
  <si>
    <t>CAPACITY (KW)</t>
  </si>
  <si>
    <t>Number of Rows</t>
  </si>
  <si>
    <t>Number of Fans</t>
  </si>
  <si>
    <t>Air Qty</t>
  </si>
  <si>
    <t>Face Area (m²)</t>
  </si>
  <si>
    <t>Face velocity   ( m/s )</t>
  </si>
  <si>
    <t>FH x FL</t>
  </si>
  <si>
    <t>No. of circuits</t>
  </si>
  <si>
    <t>CSB-351-0603</t>
  </si>
  <si>
    <t>508 x 525</t>
  </si>
  <si>
    <t>CSB-351-0604</t>
  </si>
  <si>
    <t>CSB-351-0606</t>
  </si>
  <si>
    <t>CSB-352-0603</t>
  </si>
  <si>
    <t>508 x 1050</t>
  </si>
  <si>
    <t>CSB-352-0604</t>
  </si>
  <si>
    <t>CSB-352-0606</t>
  </si>
  <si>
    <t>CSB-353-0603</t>
  </si>
  <si>
    <t>508 x 1575</t>
  </si>
  <si>
    <t>CSB-353-0604</t>
  </si>
  <si>
    <t>CSB-353-0606</t>
  </si>
  <si>
    <t>CSB-354-0603</t>
  </si>
  <si>
    <t>508 x 2100</t>
  </si>
  <si>
    <t>CSB-354-0604</t>
  </si>
  <si>
    <t>CSB-354-0606</t>
  </si>
  <si>
    <t>CSB-351-0603-E</t>
  </si>
  <si>
    <t>2 x 1000</t>
  </si>
  <si>
    <t>CSB-351-0604-E</t>
  </si>
  <si>
    <t>2 x 1500</t>
  </si>
  <si>
    <t>CSB-351-0606-E</t>
  </si>
  <si>
    <t>2 x 2000</t>
  </si>
  <si>
    <t>CSB-352-0603-E</t>
  </si>
  <si>
    <t>4 x 1000</t>
  </si>
  <si>
    <t>CSB-352-0604-E</t>
  </si>
  <si>
    <t xml:space="preserve">4 x 1500 </t>
  </si>
  <si>
    <t>CSB-352-0606-E</t>
  </si>
  <si>
    <t>4 x 2000</t>
  </si>
  <si>
    <t>CSB-353-0603-E</t>
  </si>
  <si>
    <t>6 x 1000</t>
  </si>
  <si>
    <t>CSB-353-0604-E</t>
  </si>
  <si>
    <t>6 x 1500</t>
  </si>
  <si>
    <t>CSB-353-0606-E</t>
  </si>
  <si>
    <t>6 x 2000</t>
  </si>
  <si>
    <t>CSB-354-0603-E</t>
  </si>
  <si>
    <t>8 x 1000</t>
  </si>
  <si>
    <t>CSB-354-0604-E</t>
  </si>
  <si>
    <t>8 x 1500</t>
  </si>
  <si>
    <t>CSB-354-0606-E</t>
  </si>
  <si>
    <t>8 x 2000</t>
  </si>
  <si>
    <t>533 x 525</t>
  </si>
  <si>
    <t>533 x 1050</t>
  </si>
  <si>
    <t>533 x 1575</t>
  </si>
  <si>
    <t>533 x 2100</t>
  </si>
  <si>
    <t>1/2mm OD Plain bore tube</t>
  </si>
  <si>
    <t>DEFROST HEATERS (watts)</t>
  </si>
  <si>
    <t>30 SERIES BLOWER COILS</t>
  </si>
  <si>
    <t>CSB-301-0603</t>
  </si>
  <si>
    <t>CSB-301-0604</t>
  </si>
  <si>
    <t>CSB-301-0605</t>
  </si>
  <si>
    <t>CSB-301-0606</t>
  </si>
  <si>
    <t>CSB-302-0603</t>
  </si>
  <si>
    <t>CSB-302-0604</t>
  </si>
  <si>
    <t>CSB-302-0605</t>
  </si>
  <si>
    <t>CSB-302-0606</t>
  </si>
  <si>
    <t>CSB-303-0603</t>
  </si>
  <si>
    <t>CSB-303-0604</t>
  </si>
  <si>
    <t>CSB-303-0605</t>
  </si>
  <si>
    <t>CSB-303-0606</t>
  </si>
  <si>
    <t>CSB-304-0603</t>
  </si>
  <si>
    <t>CSB-304-0604</t>
  </si>
  <si>
    <t>CSB-304-0605</t>
  </si>
  <si>
    <t>CSB-305-0604</t>
  </si>
  <si>
    <t>CSB-305-0605</t>
  </si>
  <si>
    <t>CSB-305-0606</t>
  </si>
  <si>
    <t>CSB-301-0603-E</t>
  </si>
  <si>
    <t>CSB-301-0604-E</t>
  </si>
  <si>
    <t>CSB-301-0605-E</t>
  </si>
  <si>
    <t>CSB-301-0606-E</t>
  </si>
  <si>
    <t>CSB-302-0603-E</t>
  </si>
  <si>
    <t>CSB-302-0604-E</t>
  </si>
  <si>
    <t>CSB-302-0605-E</t>
  </si>
  <si>
    <t>CSB-302-0606-E</t>
  </si>
  <si>
    <t>CSB-303-0603-E</t>
  </si>
  <si>
    <t>CSB-303-0604-E</t>
  </si>
  <si>
    <t>CSB-303-0605-E</t>
  </si>
  <si>
    <t>CSB-303-0606-E</t>
  </si>
  <si>
    <t>CSB-304-0603-E</t>
  </si>
  <si>
    <t>CSB-304-0604-E</t>
  </si>
  <si>
    <t>CSB-304-0605-E</t>
  </si>
  <si>
    <t>CSB-305-0604-E</t>
  </si>
  <si>
    <t>CSB-305-0605-E</t>
  </si>
  <si>
    <t>CSB-305-0606-E</t>
  </si>
  <si>
    <t>CSB-301-0404-E</t>
  </si>
  <si>
    <t>CSB-301-0405-E</t>
  </si>
  <si>
    <t>CSB-301-0406-E</t>
  </si>
  <si>
    <t>CSB-302-0404-E</t>
  </si>
  <si>
    <t>CSB-302-0405-E</t>
  </si>
  <si>
    <t>CSB-302-0406-E</t>
  </si>
  <si>
    <t>CSB-303-0404-E</t>
  </si>
  <si>
    <t>CSB-303-0405-E</t>
  </si>
  <si>
    <t>CSB-303-0406-E</t>
  </si>
  <si>
    <t>CSB-304-0404-E</t>
  </si>
  <si>
    <t>CSB-304-0405-E</t>
  </si>
  <si>
    <t>CSB-305-0404-E</t>
  </si>
  <si>
    <t>CSB-305-0405-E</t>
  </si>
  <si>
    <t>CSB-305-0406-E</t>
  </si>
  <si>
    <t>CSB-351-0403-E</t>
  </si>
  <si>
    <t>CSB-351-0404-E</t>
  </si>
  <si>
    <t>CSB-351-0406-E</t>
  </si>
  <si>
    <t>CSB-352-0403-E</t>
  </si>
  <si>
    <t>CSB-352-0404-E</t>
  </si>
  <si>
    <t>CSB-352-0406-E</t>
  </si>
  <si>
    <t>CSB-353-0403-E</t>
  </si>
  <si>
    <t>CSB-353-0404-E</t>
  </si>
  <si>
    <t>CSB-353-0406-E</t>
  </si>
  <si>
    <t>CSB-354-0403-E</t>
  </si>
  <si>
    <t>CSB-354-0404-E</t>
  </si>
  <si>
    <t>CSB-354-0406-E</t>
  </si>
  <si>
    <t>EX2</t>
  </si>
  <si>
    <t>EEV2028/L</t>
  </si>
  <si>
    <t>EEV2028/S</t>
  </si>
  <si>
    <t>AT COIL</t>
  </si>
  <si>
    <t>DROP TEMP RECEIVING CAGE 2</t>
  </si>
  <si>
    <t>5/8 - 1/2</t>
  </si>
  <si>
    <t>5/8 &gt; 1/2</t>
  </si>
  <si>
    <t xml:space="preserve">LIQUID REDUCER 1 </t>
  </si>
  <si>
    <t xml:space="preserve">LIQUID REDUCER 2 </t>
  </si>
  <si>
    <t>5/8 &gt; 3/8</t>
  </si>
  <si>
    <t>1/2 &gt; 3/8</t>
  </si>
  <si>
    <t>NONE</t>
  </si>
  <si>
    <t>5/8 - 3/8</t>
  </si>
  <si>
    <t>1/2 - 3/8</t>
  </si>
  <si>
    <t>HI-SPEED PROBE</t>
  </si>
  <si>
    <t>LIQUID REDUCER 1</t>
  </si>
  <si>
    <t>LIQUID REDUCER 2</t>
  </si>
  <si>
    <t>GENKEM CONTACT GLUE 250ML</t>
  </si>
  <si>
    <t>T30-R CABLE TIES</t>
  </si>
  <si>
    <t/>
  </si>
  <si>
    <t>HI</t>
  </si>
  <si>
    <t>3012-4L</t>
  </si>
  <si>
    <t>3013-4L</t>
  </si>
  <si>
    <t>3014-4L</t>
  </si>
  <si>
    <t>3022-4L</t>
  </si>
  <si>
    <t>3023-4L</t>
  </si>
  <si>
    <t>SR Levy Mall Zambia</t>
  </si>
  <si>
    <t>Recam</t>
  </si>
  <si>
    <t>N2876</t>
  </si>
  <si>
    <t>CR 01</t>
  </si>
  <si>
    <t>CR 02</t>
  </si>
  <si>
    <t>CR 03a</t>
  </si>
  <si>
    <t>CR 03b</t>
  </si>
  <si>
    <t>CR 04</t>
  </si>
  <si>
    <t>CR 05</t>
  </si>
  <si>
    <t>DT 01</t>
  </si>
  <si>
    <t>DT 02</t>
  </si>
  <si>
    <t>DT 03a</t>
  </si>
  <si>
    <t>DT 03b</t>
  </si>
  <si>
    <t>CR 06a</t>
  </si>
  <si>
    <t>CR 06b</t>
  </si>
  <si>
    <t>I</t>
  </si>
  <si>
    <t>J</t>
  </si>
  <si>
    <t>K</t>
  </si>
  <si>
    <t>L</t>
  </si>
  <si>
    <t>M</t>
  </si>
  <si>
    <t>N</t>
  </si>
  <si>
    <t>O</t>
  </si>
  <si>
    <t>R</t>
  </si>
  <si>
    <t>P</t>
  </si>
  <si>
    <t>Q</t>
  </si>
  <si>
    <t>LS1</t>
  </si>
  <si>
    <t>LS2</t>
  </si>
  <si>
    <t>AA</t>
  </si>
  <si>
    <t>BB</t>
  </si>
  <si>
    <t>CC</t>
  </si>
  <si>
    <t>DD</t>
  </si>
  <si>
    <t>EE</t>
  </si>
  <si>
    <t>FR 01</t>
  </si>
  <si>
    <t>FR 02a</t>
  </si>
  <si>
    <t>FR 02b</t>
  </si>
  <si>
    <t>FR 03</t>
  </si>
  <si>
    <t>FR 04</t>
  </si>
  <si>
    <t>RECEIVING DROP DEMP</t>
  </si>
  <si>
    <t>3024-4L</t>
  </si>
  <si>
    <t>3033-4L</t>
  </si>
  <si>
    <t>3034-4L</t>
  </si>
  <si>
    <t>3043-4L</t>
  </si>
  <si>
    <t>3044-4L</t>
  </si>
  <si>
    <t>3053-4L</t>
  </si>
  <si>
    <t>3054-4L</t>
  </si>
  <si>
    <t>4013-4L</t>
  </si>
  <si>
    <t>4014-4L</t>
  </si>
  <si>
    <t>4023-4L</t>
  </si>
  <si>
    <t>4024-4L</t>
  </si>
  <si>
    <t>4033-4L</t>
  </si>
  <si>
    <t>4034-4L</t>
  </si>
  <si>
    <t>4044-4L</t>
  </si>
  <si>
    <t>7/8 &gt; 1/2</t>
  </si>
  <si>
    <t>1-5/8  &gt;  1-3/8</t>
  </si>
  <si>
    <t>1-1/8  &gt;  7/8</t>
  </si>
  <si>
    <t>Suction size</t>
  </si>
  <si>
    <t>Liquid size</t>
  </si>
  <si>
    <t>Inlet Size</t>
  </si>
  <si>
    <t>Outlet Size</t>
  </si>
  <si>
    <t>3/8</t>
  </si>
  <si>
    <t>Model</t>
  </si>
  <si>
    <t>TES2</t>
  </si>
  <si>
    <t>TES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</si>
</sst>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vertAlign val="superscript"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00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5C002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1" xfId="0" applyFill="1" applyBorder="1"/>
    <xf numFmtId="0" fontId="6" fillId="0" borderId="0" xfId="0" applyFont="1"/>
    <xf numFmtId="0" fontId="0" fillId="4" borderId="0" xfId="0" applyFill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5" borderId="0" xfId="0" applyFill="1" applyAlignment="1">
      <alignment vertical="center"/>
    </xf>
    <xf numFmtId="0" fontId="0" fillId="5" borderId="0" xfId="0" applyFill="1" applyAlignment="1">
      <alignment horizontal="right" vertical="center"/>
    </xf>
    <xf numFmtId="0" fontId="2" fillId="6" borderId="0" xfId="0" applyFont="1" applyFill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6" borderId="12" xfId="0" applyFont="1" applyFill="1" applyBorder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6" fillId="4" borderId="13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0" fontId="0" fillId="4" borderId="13" xfId="0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4" borderId="13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10" fillId="5" borderId="13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7" borderId="13" xfId="0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0" fillId="7" borderId="14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0" fillId="4" borderId="0" xfId="0" applyFont="1" applyFill="1" applyAlignment="1">
      <alignment vertical="center"/>
    </xf>
    <xf numFmtId="0" fontId="10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3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3" borderId="21" xfId="0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0" fillId="3" borderId="21" xfId="0" applyFill="1" applyBorder="1"/>
    <xf numFmtId="0" fontId="0" fillId="3" borderId="21" xfId="0" applyFill="1" applyBorder="1" applyAlignment="1">
      <alignment horizontal="center" wrapText="1"/>
    </xf>
    <xf numFmtId="0" fontId="0" fillId="0" borderId="1" xfId="0" applyBorder="1"/>
    <xf numFmtId="1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0" xfId="0" quotePrefix="1"/>
    <xf numFmtId="0" fontId="0" fillId="4" borderId="1" xfId="0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center"/>
    </xf>
    <xf numFmtId="0" fontId="0" fillId="0" borderId="13" xfId="0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4" xfId="0" applyBorder="1"/>
    <xf numFmtId="0" fontId="0" fillId="0" borderId="15" xfId="0" applyBorder="1"/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3" fillId="0" borderId="0" xfId="0" applyFont="1"/>
    <xf numFmtId="0" fontId="3" fillId="3" borderId="20" xfId="0" applyFont="1" applyFill="1" applyBorder="1"/>
    <xf numFmtId="0" fontId="0" fillId="3" borderId="16" xfId="0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4" fillId="3" borderId="0" xfId="0" applyFont="1" applyFill="1"/>
    <xf numFmtId="49" fontId="0" fillId="0" borderId="0" xfId="0" applyNumberFormat="1" applyAlignment="1">
      <alignment horizontal="center"/>
    </xf>
    <xf numFmtId="0" fontId="0" fillId="10" borderId="1" xfId="0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" fillId="0" borderId="17" xfId="0" applyFont="1" applyBorder="1"/>
    <xf numFmtId="0" fontId="0" fillId="0" borderId="5" xfId="0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9" xfId="0" applyBorder="1"/>
    <xf numFmtId="49" fontId="1" fillId="0" borderId="24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0" fillId="0" borderId="0" xfId="0" applyFont="1"/>
    <xf numFmtId="0" fontId="0" fillId="0" borderId="22" xfId="0" applyBorder="1" applyAlignment="1">
      <alignment horizontal="center"/>
    </xf>
    <xf numFmtId="15" fontId="0" fillId="11" borderId="5" xfId="0" applyNumberForma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/>
    <xf numFmtId="0" fontId="1" fillId="0" borderId="26" xfId="0" applyFont="1" applyBorder="1"/>
    <xf numFmtId="0" fontId="0" fillId="0" borderId="27" xfId="0" applyBorder="1" applyAlignment="1">
      <alignment horizontal="center"/>
    </xf>
    <xf numFmtId="0" fontId="1" fillId="0" borderId="28" xfId="0" applyFont="1" applyBorder="1"/>
    <xf numFmtId="0" fontId="0" fillId="0" borderId="29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6" xfId="0" applyBorder="1"/>
    <xf numFmtId="0" fontId="16" fillId="0" borderId="0" xfId="0" applyFont="1"/>
    <xf numFmtId="0" fontId="16" fillId="0" borderId="0" xfId="0" quotePrefix="1" applyFont="1"/>
    <xf numFmtId="0" fontId="17" fillId="0" borderId="26" xfId="0" applyFont="1" applyBorder="1" applyAlignment="1">
      <alignment horizontal="center"/>
    </xf>
    <xf numFmtId="2" fontId="17" fillId="0" borderId="24" xfId="0" applyNumberFormat="1" applyFont="1" applyBorder="1" applyAlignment="1">
      <alignment horizontal="center"/>
    </xf>
    <xf numFmtId="3" fontId="17" fillId="0" borderId="24" xfId="0" applyNumberFormat="1" applyFont="1" applyBorder="1" applyAlignment="1">
      <alignment horizontal="center"/>
    </xf>
    <xf numFmtId="1" fontId="17" fillId="0" borderId="24" xfId="0" applyNumberFormat="1" applyFont="1" applyBorder="1" applyAlignment="1">
      <alignment horizontal="center"/>
    </xf>
    <xf numFmtId="164" fontId="17" fillId="0" borderId="27" xfId="0" applyNumberFormat="1" applyFont="1" applyBorder="1" applyAlignment="1">
      <alignment horizontal="center"/>
    </xf>
    <xf numFmtId="0" fontId="17" fillId="0" borderId="0" xfId="0" applyFont="1"/>
    <xf numFmtId="165" fontId="17" fillId="0" borderId="24" xfId="0" applyNumberFormat="1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2" fontId="17" fillId="0" borderId="1" xfId="0" applyNumberFormat="1" applyFont="1" applyBorder="1" applyAlignment="1">
      <alignment horizontal="center"/>
    </xf>
    <xf numFmtId="3" fontId="17" fillId="0" borderId="1" xfId="0" applyNumberFormat="1" applyFont="1" applyBorder="1" applyAlignment="1">
      <alignment horizontal="center"/>
    </xf>
    <xf numFmtId="1" fontId="17" fillId="0" borderId="1" xfId="0" applyNumberFormat="1" applyFont="1" applyBorder="1" applyAlignment="1">
      <alignment horizontal="center"/>
    </xf>
    <xf numFmtId="164" fontId="17" fillId="0" borderId="34" xfId="0" applyNumberFormat="1" applyFont="1" applyBorder="1" applyAlignment="1">
      <alignment horizontal="center"/>
    </xf>
    <xf numFmtId="165" fontId="17" fillId="0" borderId="1" xfId="0" applyNumberFormat="1" applyFont="1" applyBorder="1" applyAlignment="1">
      <alignment horizontal="center"/>
    </xf>
    <xf numFmtId="0" fontId="17" fillId="4" borderId="32" xfId="0" applyFont="1" applyFill="1" applyBorder="1" applyAlignment="1">
      <alignment horizontal="center"/>
    </xf>
    <xf numFmtId="2" fontId="17" fillId="4" borderId="1" xfId="0" applyNumberFormat="1" applyFont="1" applyFill="1" applyBorder="1" applyAlignment="1">
      <alignment horizontal="center"/>
    </xf>
    <xf numFmtId="3" fontId="17" fillId="4" borderId="1" xfId="0" applyNumberFormat="1" applyFont="1" applyFill="1" applyBorder="1" applyAlignment="1">
      <alignment horizontal="center"/>
    </xf>
    <xf numFmtId="1" fontId="17" fillId="4" borderId="1" xfId="0" applyNumberFormat="1" applyFont="1" applyFill="1" applyBorder="1" applyAlignment="1">
      <alignment horizontal="center"/>
    </xf>
    <xf numFmtId="164" fontId="17" fillId="4" borderId="34" xfId="0" applyNumberFormat="1" applyFont="1" applyFill="1" applyBorder="1" applyAlignment="1">
      <alignment horizontal="center"/>
    </xf>
    <xf numFmtId="165" fontId="17" fillId="4" borderId="1" xfId="0" applyNumberFormat="1" applyFont="1" applyFill="1" applyBorder="1" applyAlignment="1">
      <alignment horizontal="center"/>
    </xf>
    <xf numFmtId="0" fontId="17" fillId="13" borderId="32" xfId="0" applyFont="1" applyFill="1" applyBorder="1" applyAlignment="1">
      <alignment horizontal="center"/>
    </xf>
    <xf numFmtId="2" fontId="17" fillId="13" borderId="1" xfId="0" applyNumberFormat="1" applyFont="1" applyFill="1" applyBorder="1" applyAlignment="1">
      <alignment horizontal="center"/>
    </xf>
    <xf numFmtId="3" fontId="17" fillId="13" borderId="1" xfId="0" applyNumberFormat="1" applyFont="1" applyFill="1" applyBorder="1" applyAlignment="1">
      <alignment horizontal="center"/>
    </xf>
    <xf numFmtId="1" fontId="17" fillId="13" borderId="1" xfId="0" applyNumberFormat="1" applyFont="1" applyFill="1" applyBorder="1" applyAlignment="1">
      <alignment horizontal="center"/>
    </xf>
    <xf numFmtId="164" fontId="17" fillId="13" borderId="34" xfId="0" applyNumberFormat="1" applyFont="1" applyFill="1" applyBorder="1" applyAlignment="1">
      <alignment horizontal="center"/>
    </xf>
    <xf numFmtId="165" fontId="17" fillId="13" borderId="1" xfId="0" applyNumberFormat="1" applyFont="1" applyFill="1" applyBorder="1" applyAlignment="1">
      <alignment horizontal="center"/>
    </xf>
    <xf numFmtId="0" fontId="17" fillId="0" borderId="28" xfId="0" applyFont="1" applyBorder="1" applyAlignment="1">
      <alignment horizontal="center"/>
    </xf>
    <xf numFmtId="2" fontId="17" fillId="0" borderId="36" xfId="0" applyNumberFormat="1" applyFont="1" applyBorder="1" applyAlignment="1">
      <alignment horizontal="center"/>
    </xf>
    <xf numFmtId="3" fontId="17" fillId="0" borderId="36" xfId="0" applyNumberFormat="1" applyFont="1" applyBorder="1" applyAlignment="1">
      <alignment horizontal="center"/>
    </xf>
    <xf numFmtId="1" fontId="17" fillId="0" borderId="36" xfId="0" applyNumberFormat="1" applyFont="1" applyBorder="1" applyAlignment="1">
      <alignment horizontal="center"/>
    </xf>
    <xf numFmtId="164" fontId="17" fillId="0" borderId="29" xfId="0" applyNumberFormat="1" applyFont="1" applyBorder="1" applyAlignment="1">
      <alignment horizontal="center"/>
    </xf>
    <xf numFmtId="165" fontId="17" fillId="0" borderId="36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1" fontId="17" fillId="0" borderId="0" xfId="0" applyNumberFormat="1" applyFont="1"/>
    <xf numFmtId="165" fontId="17" fillId="0" borderId="0" xfId="0" applyNumberFormat="1" applyFont="1"/>
    <xf numFmtId="0" fontId="17" fillId="4" borderId="26" xfId="0" applyFont="1" applyFill="1" applyBorder="1" applyAlignment="1">
      <alignment horizontal="center"/>
    </xf>
    <xf numFmtId="2" fontId="17" fillId="4" borderId="24" xfId="0" applyNumberFormat="1" applyFont="1" applyFill="1" applyBorder="1" applyAlignment="1">
      <alignment horizontal="center"/>
    </xf>
    <xf numFmtId="3" fontId="17" fillId="4" borderId="24" xfId="0" applyNumberFormat="1" applyFont="1" applyFill="1" applyBorder="1" applyAlignment="1">
      <alignment horizontal="center"/>
    </xf>
    <xf numFmtId="1" fontId="17" fillId="4" borderId="24" xfId="0" applyNumberFormat="1" applyFont="1" applyFill="1" applyBorder="1" applyAlignment="1">
      <alignment horizontal="center"/>
    </xf>
    <xf numFmtId="164" fontId="17" fillId="4" borderId="27" xfId="0" applyNumberFormat="1" applyFont="1" applyFill="1" applyBorder="1" applyAlignment="1">
      <alignment horizontal="center"/>
    </xf>
    <xf numFmtId="0" fontId="17" fillId="0" borderId="37" xfId="0" applyFont="1" applyBorder="1"/>
    <xf numFmtId="164" fontId="17" fillId="4" borderId="24" xfId="0" applyNumberFormat="1" applyFont="1" applyFill="1" applyBorder="1" applyAlignment="1">
      <alignment horizontal="center"/>
    </xf>
    <xf numFmtId="165" fontId="17" fillId="4" borderId="24" xfId="0" applyNumberFormat="1" applyFont="1" applyFill="1" applyBorder="1" applyAlignment="1">
      <alignment horizontal="center"/>
    </xf>
    <xf numFmtId="0" fontId="17" fillId="4" borderId="28" xfId="0" applyFont="1" applyFill="1" applyBorder="1" applyAlignment="1">
      <alignment horizontal="center"/>
    </xf>
    <xf numFmtId="2" fontId="17" fillId="4" borderId="36" xfId="0" applyNumberFormat="1" applyFont="1" applyFill="1" applyBorder="1" applyAlignment="1">
      <alignment horizontal="center"/>
    </xf>
    <xf numFmtId="3" fontId="17" fillId="4" borderId="36" xfId="0" applyNumberFormat="1" applyFont="1" applyFill="1" applyBorder="1" applyAlignment="1">
      <alignment horizontal="center"/>
    </xf>
    <xf numFmtId="1" fontId="17" fillId="4" borderId="36" xfId="0" applyNumberFormat="1" applyFont="1" applyFill="1" applyBorder="1" applyAlignment="1">
      <alignment horizontal="center"/>
    </xf>
    <xf numFmtId="164" fontId="17" fillId="4" borderId="29" xfId="0" applyNumberFormat="1" applyFont="1" applyFill="1" applyBorder="1" applyAlignment="1">
      <alignment horizontal="center"/>
    </xf>
    <xf numFmtId="165" fontId="17" fillId="4" borderId="36" xfId="0" applyNumberFormat="1" applyFont="1" applyFill="1" applyBorder="1" applyAlignment="1">
      <alignment horizontal="center"/>
    </xf>
    <xf numFmtId="0" fontId="20" fillId="0" borderId="0" xfId="0" applyFont="1"/>
    <xf numFmtId="0" fontId="21" fillId="12" borderId="38" xfId="0" applyFont="1" applyFill="1" applyBorder="1" applyAlignment="1">
      <alignment horizontal="center" textRotation="90"/>
    </xf>
    <xf numFmtId="0" fontId="21" fillId="12" borderId="31" xfId="0" applyFont="1" applyFill="1" applyBorder="1" applyAlignment="1">
      <alignment horizontal="center" textRotation="90"/>
    </xf>
    <xf numFmtId="1" fontId="21" fillId="12" borderId="31" xfId="0" applyNumberFormat="1" applyFont="1" applyFill="1" applyBorder="1" applyAlignment="1">
      <alignment horizontal="center" textRotation="90"/>
    </xf>
    <xf numFmtId="165" fontId="21" fillId="12" borderId="39" xfId="0" applyNumberFormat="1" applyFont="1" applyFill="1" applyBorder="1" applyAlignment="1">
      <alignment horizontal="center" textRotation="90"/>
    </xf>
    <xf numFmtId="0" fontId="23" fillId="0" borderId="37" xfId="0" applyFont="1" applyBorder="1" applyAlignment="1">
      <alignment horizontal="center" textRotation="90"/>
    </xf>
    <xf numFmtId="0" fontId="21" fillId="12" borderId="40" xfId="0" applyFont="1" applyFill="1" applyBorder="1" applyAlignment="1">
      <alignment horizontal="center" textRotation="90"/>
    </xf>
    <xf numFmtId="165" fontId="21" fillId="12" borderId="31" xfId="0" applyNumberFormat="1" applyFont="1" applyFill="1" applyBorder="1" applyAlignment="1">
      <alignment horizontal="center" textRotation="90"/>
    </xf>
    <xf numFmtId="0" fontId="21" fillId="12" borderId="39" xfId="0" applyFont="1" applyFill="1" applyBorder="1" applyAlignment="1">
      <alignment horizontal="center" textRotation="90"/>
    </xf>
    <xf numFmtId="0" fontId="24" fillId="12" borderId="41" xfId="0" applyFont="1" applyFill="1" applyBorder="1" applyAlignment="1">
      <alignment horizontal="center" textRotation="90"/>
    </xf>
    <xf numFmtId="0" fontId="24" fillId="12" borderId="35" xfId="0" applyFont="1" applyFill="1" applyBorder="1" applyAlignment="1">
      <alignment horizontal="center" textRotation="90"/>
    </xf>
    <xf numFmtId="1" fontId="24" fillId="12" borderId="35" xfId="0" applyNumberFormat="1" applyFont="1" applyFill="1" applyBorder="1" applyAlignment="1">
      <alignment horizontal="center" textRotation="90"/>
    </xf>
    <xf numFmtId="165" fontId="24" fillId="12" borderId="42" xfId="0" applyNumberFormat="1" applyFont="1" applyFill="1" applyBorder="1" applyAlignment="1">
      <alignment horizontal="center" textRotation="90"/>
    </xf>
    <xf numFmtId="0" fontId="24" fillId="0" borderId="37" xfId="0" applyFont="1" applyBorder="1" applyAlignment="1">
      <alignment horizontal="center" textRotation="90"/>
    </xf>
    <xf numFmtId="0" fontId="24" fillId="12" borderId="43" xfId="0" applyFont="1" applyFill="1" applyBorder="1" applyAlignment="1">
      <alignment horizontal="center" textRotation="90"/>
    </xf>
    <xf numFmtId="165" fontId="24" fillId="12" borderId="35" xfId="0" applyNumberFormat="1" applyFont="1" applyFill="1" applyBorder="1" applyAlignment="1">
      <alignment horizontal="center" textRotation="90"/>
    </xf>
    <xf numFmtId="0" fontId="24" fillId="12" borderId="42" xfId="0" applyFont="1" applyFill="1" applyBorder="1" applyAlignment="1">
      <alignment horizontal="center" textRotation="90"/>
    </xf>
    <xf numFmtId="165" fontId="17" fillId="4" borderId="27" xfId="0" applyNumberFormat="1" applyFont="1" applyFill="1" applyBorder="1" applyAlignment="1">
      <alignment horizontal="center"/>
    </xf>
    <xf numFmtId="1" fontId="17" fillId="4" borderId="47" xfId="0" applyNumberFormat="1" applyFont="1" applyFill="1" applyBorder="1" applyAlignment="1">
      <alignment horizontal="center"/>
    </xf>
    <xf numFmtId="165" fontId="17" fillId="4" borderId="34" xfId="0" applyNumberFormat="1" applyFont="1" applyFill="1" applyBorder="1" applyAlignment="1">
      <alignment horizontal="center"/>
    </xf>
    <xf numFmtId="1" fontId="17" fillId="4" borderId="16" xfId="0" applyNumberFormat="1" applyFont="1" applyFill="1" applyBorder="1" applyAlignment="1">
      <alignment horizontal="center"/>
    </xf>
    <xf numFmtId="165" fontId="17" fillId="0" borderId="34" xfId="0" applyNumberFormat="1" applyFont="1" applyBorder="1" applyAlignment="1">
      <alignment horizontal="center"/>
    </xf>
    <xf numFmtId="1" fontId="17" fillId="0" borderId="16" xfId="0" applyNumberFormat="1" applyFont="1" applyBorder="1" applyAlignment="1">
      <alignment horizontal="center"/>
    </xf>
    <xf numFmtId="165" fontId="17" fillId="0" borderId="29" xfId="0" applyNumberFormat="1" applyFont="1" applyBorder="1" applyAlignment="1">
      <alignment horizontal="center"/>
    </xf>
    <xf numFmtId="1" fontId="17" fillId="0" borderId="48" xfId="0" applyNumberFormat="1" applyFont="1" applyBorder="1" applyAlignment="1">
      <alignment horizontal="center"/>
    </xf>
    <xf numFmtId="165" fontId="17" fillId="0" borderId="27" xfId="0" applyNumberFormat="1" applyFont="1" applyBorder="1" applyAlignment="1">
      <alignment horizontal="center"/>
    </xf>
    <xf numFmtId="1" fontId="17" fillId="0" borderId="47" xfId="0" applyNumberFormat="1" applyFont="1" applyBorder="1" applyAlignment="1">
      <alignment horizontal="center"/>
    </xf>
    <xf numFmtId="165" fontId="17" fillId="4" borderId="29" xfId="0" applyNumberFormat="1" applyFont="1" applyFill="1" applyBorder="1" applyAlignment="1">
      <alignment horizontal="center"/>
    </xf>
    <xf numFmtId="0" fontId="17" fillId="0" borderId="0" xfId="0" applyFont="1" applyAlignment="1">
      <alignment vertical="center" textRotation="90"/>
    </xf>
    <xf numFmtId="0" fontId="24" fillId="0" borderId="1" xfId="0" applyFont="1" applyBorder="1" applyAlignment="1">
      <alignment horizontal="center" wrapText="1"/>
    </xf>
    <xf numFmtId="0" fontId="25" fillId="0" borderId="10" xfId="0" applyFont="1" applyBorder="1" applyAlignment="1">
      <alignment horizontal="left"/>
    </xf>
    <xf numFmtId="0" fontId="24" fillId="0" borderId="0" xfId="0" applyFont="1" applyAlignment="1">
      <alignment horizontal="center" textRotation="90"/>
    </xf>
    <xf numFmtId="1" fontId="24" fillId="0" borderId="0" xfId="0" applyNumberFormat="1" applyFont="1" applyAlignment="1">
      <alignment horizontal="center" textRotation="90"/>
    </xf>
    <xf numFmtId="165" fontId="24" fillId="0" borderId="0" xfId="0" applyNumberFormat="1" applyFont="1" applyAlignment="1">
      <alignment horizontal="center" textRotation="90"/>
    </xf>
    <xf numFmtId="0" fontId="24" fillId="0" borderId="4" xfId="0" applyFont="1" applyBorder="1" applyAlignment="1">
      <alignment horizontal="center" textRotation="90"/>
    </xf>
    <xf numFmtId="165" fontId="24" fillId="0" borderId="4" xfId="0" applyNumberFormat="1" applyFont="1" applyBorder="1" applyAlignment="1">
      <alignment horizontal="center" textRotation="90"/>
    </xf>
    <xf numFmtId="1" fontId="24" fillId="0" borderId="4" xfId="0" applyNumberFormat="1" applyFont="1" applyBorder="1" applyAlignment="1">
      <alignment horizontal="center" textRotation="90"/>
    </xf>
    <xf numFmtId="0" fontId="25" fillId="0" borderId="0" xfId="0" applyFont="1" applyAlignment="1">
      <alignment horizontal="left"/>
    </xf>
    <xf numFmtId="165" fontId="17" fillId="4" borderId="24" xfId="0" quotePrefix="1" applyNumberFormat="1" applyFont="1" applyFill="1" applyBorder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3" fillId="3" borderId="20" xfId="0" applyFont="1" applyFill="1" applyBorder="1" applyProtection="1"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2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19" borderId="0" xfId="0" applyFont="1" applyFill="1" applyAlignment="1">
      <alignment horizontal="center" wrapText="1"/>
    </xf>
    <xf numFmtId="0" fontId="0" fillId="19" borderId="1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" xfId="0" applyFill="1" applyBorder="1"/>
    <xf numFmtId="0" fontId="0" fillId="19" borderId="0" xfId="0" applyFill="1" applyAlignment="1">
      <alignment horizontal="center"/>
    </xf>
    <xf numFmtId="0" fontId="0" fillId="19" borderId="0" xfId="0" applyFill="1"/>
    <xf numFmtId="0" fontId="27" fillId="19" borderId="0" xfId="0" applyFont="1" applyFill="1" applyAlignment="1">
      <alignment horizontal="center"/>
    </xf>
    <xf numFmtId="0" fontId="0" fillId="4" borderId="1" xfId="0" quotePrefix="1" applyFill="1" applyBorder="1" applyAlignment="1" applyProtection="1">
      <alignment horizontal="center"/>
      <protection locked="0"/>
    </xf>
    <xf numFmtId="49" fontId="0" fillId="4" borderId="1" xfId="0" applyNumberFormat="1" applyFill="1" applyBorder="1" applyAlignment="1" applyProtection="1">
      <alignment horizontal="center"/>
      <protection locked="0"/>
    </xf>
    <xf numFmtId="49" fontId="10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10" borderId="1" xfId="0" quotePrefix="1" applyFill="1" applyBorder="1" applyAlignment="1">
      <alignment horizontal="center"/>
    </xf>
    <xf numFmtId="0" fontId="1" fillId="20" borderId="0" xfId="0" applyFont="1" applyFill="1" applyAlignment="1">
      <alignment horizontal="center" wrapText="1"/>
    </xf>
    <xf numFmtId="0" fontId="1" fillId="20" borderId="2" xfId="0" applyFont="1" applyFill="1" applyBorder="1" applyAlignment="1">
      <alignment horizontal="center" wrapText="1"/>
    </xf>
    <xf numFmtId="0" fontId="1" fillId="20" borderId="3" xfId="0" applyFont="1" applyFill="1" applyBorder="1" applyAlignment="1">
      <alignment horizontal="center" wrapText="1"/>
    </xf>
    <xf numFmtId="0" fontId="1" fillId="20" borderId="1" xfId="0" applyFont="1" applyFill="1" applyBorder="1" applyAlignment="1">
      <alignment horizontal="center" wrapText="1"/>
    </xf>
    <xf numFmtId="0" fontId="1" fillId="20" borderId="33" xfId="0" applyFont="1" applyFill="1" applyBorder="1" applyAlignment="1">
      <alignment horizontal="center" wrapText="1"/>
    </xf>
    <xf numFmtId="0" fontId="1" fillId="20" borderId="1" xfId="0" applyFont="1" applyFill="1" applyBorder="1" applyAlignment="1">
      <alignment wrapText="1"/>
    </xf>
    <xf numFmtId="0" fontId="0" fillId="20" borderId="0" xfId="0" applyFill="1" applyAlignment="1">
      <alignment wrapText="1"/>
    </xf>
    <xf numFmtId="0" fontId="1" fillId="20" borderId="30" xfId="0" applyFont="1" applyFill="1" applyBorder="1" applyAlignment="1">
      <alignment horizontal="center" wrapText="1"/>
    </xf>
    <xf numFmtId="0" fontId="0" fillId="0" borderId="1" xfId="0" quotePrefix="1" applyBorder="1"/>
    <xf numFmtId="16" fontId="0" fillId="0" borderId="1" xfId="0" quotePrefix="1" applyNumberFormat="1" applyBorder="1" applyAlignment="1">
      <alignment horizontal="center"/>
    </xf>
    <xf numFmtId="16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  <xf numFmtId="49" fontId="17" fillId="0" borderId="0" xfId="0" applyNumberFormat="1" applyFont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1" fillId="4" borderId="16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/>
    </xf>
    <xf numFmtId="15" fontId="11" fillId="4" borderId="1" xfId="0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13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2" fillId="8" borderId="9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1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8" fillId="14" borderId="24" xfId="0" applyFont="1" applyFill="1" applyBorder="1" applyAlignment="1">
      <alignment horizontal="center" vertical="center" textRotation="90"/>
    </xf>
    <xf numFmtId="0" fontId="18" fillId="14" borderId="1" xfId="0" applyFont="1" applyFill="1" applyBorder="1" applyAlignment="1">
      <alignment horizontal="center" vertical="center" textRotation="90"/>
    </xf>
    <xf numFmtId="0" fontId="18" fillId="14" borderId="36" xfId="0" applyFont="1" applyFill="1" applyBorder="1" applyAlignment="1">
      <alignment horizontal="center" vertical="center" textRotation="90"/>
    </xf>
    <xf numFmtId="0" fontId="17" fillId="4" borderId="38" xfId="0" applyFont="1" applyFill="1" applyBorder="1" applyAlignment="1">
      <alignment horizontal="center" vertical="center"/>
    </xf>
    <xf numFmtId="0" fontId="17" fillId="4" borderId="45" xfId="0" applyFont="1" applyFill="1" applyBorder="1" applyAlignment="1">
      <alignment horizontal="center" vertical="center"/>
    </xf>
    <xf numFmtId="0" fontId="19" fillId="14" borderId="17" xfId="0" applyFont="1" applyFill="1" applyBorder="1" applyAlignment="1">
      <alignment horizontal="center"/>
    </xf>
    <xf numFmtId="0" fontId="19" fillId="14" borderId="18" xfId="0" applyFont="1" applyFill="1" applyBorder="1" applyAlignment="1">
      <alignment horizontal="center"/>
    </xf>
    <xf numFmtId="0" fontId="19" fillId="14" borderId="19" xfId="0" applyFont="1" applyFill="1" applyBorder="1" applyAlignment="1">
      <alignment horizontal="center"/>
    </xf>
    <xf numFmtId="0" fontId="18" fillId="12" borderId="31" xfId="0" applyFont="1" applyFill="1" applyBorder="1" applyAlignment="1">
      <alignment horizontal="center" vertical="center" textRotation="90"/>
    </xf>
    <xf numFmtId="0" fontId="18" fillId="12" borderId="33" xfId="0" applyFont="1" applyFill="1" applyBorder="1" applyAlignment="1">
      <alignment horizontal="center" vertical="center" textRotation="90"/>
    </xf>
    <xf numFmtId="0" fontId="18" fillId="12" borderId="35" xfId="0" applyFont="1" applyFill="1" applyBorder="1" applyAlignment="1">
      <alignment horizontal="center" vertical="center" textRotation="90"/>
    </xf>
    <xf numFmtId="0" fontId="17" fillId="0" borderId="26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 textRotation="90"/>
    </xf>
    <xf numFmtId="0" fontId="17" fillId="0" borderId="33" xfId="0" applyFont="1" applyBorder="1" applyAlignment="1">
      <alignment horizontal="center" vertical="center" textRotation="90"/>
    </xf>
    <xf numFmtId="0" fontId="17" fillId="0" borderId="35" xfId="0" applyFont="1" applyBorder="1" applyAlignment="1">
      <alignment horizontal="center" vertical="center" textRotation="90"/>
    </xf>
    <xf numFmtId="0" fontId="17" fillId="0" borderId="27" xfId="0" quotePrefix="1" applyFont="1" applyBorder="1" applyAlignment="1">
      <alignment horizontal="center" vertical="center" textRotation="90"/>
    </xf>
    <xf numFmtId="0" fontId="17" fillId="0" borderId="34" xfId="0" quotePrefix="1" applyFont="1" applyBorder="1" applyAlignment="1">
      <alignment horizontal="center" vertical="center" textRotation="90"/>
    </xf>
    <xf numFmtId="0" fontId="17" fillId="0" borderId="34" xfId="0" applyFont="1" applyBorder="1" applyAlignment="1">
      <alignment horizontal="center" vertical="center" textRotation="90"/>
    </xf>
    <xf numFmtId="0" fontId="17" fillId="0" borderId="29" xfId="0" applyFont="1" applyBorder="1" applyAlignment="1">
      <alignment horizontal="center" vertical="center" textRotation="90"/>
    </xf>
    <xf numFmtId="0" fontId="17" fillId="4" borderId="32" xfId="0" applyFont="1" applyFill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8" fillId="14" borderId="31" xfId="0" applyFont="1" applyFill="1" applyBorder="1" applyAlignment="1">
      <alignment horizontal="center" vertical="center" textRotation="90"/>
    </xf>
    <xf numFmtId="0" fontId="18" fillId="14" borderId="33" xfId="0" applyFont="1" applyFill="1" applyBorder="1" applyAlignment="1">
      <alignment horizontal="center" vertical="center" textRotation="90"/>
    </xf>
    <xf numFmtId="0" fontId="18" fillId="14" borderId="35" xfId="0" applyFont="1" applyFill="1" applyBorder="1" applyAlignment="1">
      <alignment horizontal="center" vertical="center" textRotation="90"/>
    </xf>
    <xf numFmtId="0" fontId="17" fillId="4" borderId="26" xfId="0" applyFont="1" applyFill="1" applyBorder="1" applyAlignment="1">
      <alignment horizontal="center" vertical="center"/>
    </xf>
    <xf numFmtId="0" fontId="17" fillId="4" borderId="28" xfId="0" applyFont="1" applyFill="1" applyBorder="1" applyAlignment="1">
      <alignment horizontal="center" vertical="center"/>
    </xf>
    <xf numFmtId="0" fontId="18" fillId="12" borderId="24" xfId="0" applyFont="1" applyFill="1" applyBorder="1" applyAlignment="1">
      <alignment horizontal="center" vertical="center" textRotation="90"/>
    </xf>
    <xf numFmtId="0" fontId="18" fillId="12" borderId="1" xfId="0" applyFont="1" applyFill="1" applyBorder="1" applyAlignment="1">
      <alignment horizontal="center" vertical="center" textRotation="90"/>
    </xf>
    <xf numFmtId="0" fontId="18" fillId="12" borderId="36" xfId="0" applyFont="1" applyFill="1" applyBorder="1" applyAlignment="1">
      <alignment horizontal="center" vertical="center" textRotation="90"/>
    </xf>
    <xf numFmtId="0" fontId="17" fillId="0" borderId="44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7" fillId="4" borderId="44" xfId="0" applyFont="1" applyFill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8" fillId="15" borderId="31" xfId="0" applyFont="1" applyFill="1" applyBorder="1" applyAlignment="1">
      <alignment horizontal="center" vertical="center" textRotation="90"/>
    </xf>
    <xf numFmtId="0" fontId="18" fillId="15" borderId="33" xfId="0" applyFont="1" applyFill="1" applyBorder="1" applyAlignment="1">
      <alignment horizontal="center" vertical="center" textRotation="90"/>
    </xf>
    <xf numFmtId="0" fontId="18" fillId="15" borderId="35" xfId="0" applyFont="1" applyFill="1" applyBorder="1" applyAlignment="1">
      <alignment horizontal="center" vertical="center" textRotation="90"/>
    </xf>
    <xf numFmtId="0" fontId="17" fillId="0" borderId="39" xfId="0" quotePrefix="1" applyFont="1" applyBorder="1" applyAlignment="1">
      <alignment horizontal="center" vertical="center" textRotation="90"/>
    </xf>
    <xf numFmtId="0" fontId="17" fillId="0" borderId="46" xfId="0" quotePrefix="1" applyFont="1" applyBorder="1" applyAlignment="1">
      <alignment horizontal="center" vertical="center" textRotation="90"/>
    </xf>
    <xf numFmtId="0" fontId="17" fillId="0" borderId="42" xfId="0" quotePrefix="1" applyFont="1" applyBorder="1" applyAlignment="1">
      <alignment horizontal="center" vertical="center" textRotation="90"/>
    </xf>
    <xf numFmtId="0" fontId="17" fillId="4" borderId="41" xfId="0" applyFont="1" applyFill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8" fillId="16" borderId="31" xfId="0" applyFont="1" applyFill="1" applyBorder="1" applyAlignment="1">
      <alignment horizontal="center" vertical="center" textRotation="90"/>
    </xf>
    <xf numFmtId="0" fontId="18" fillId="16" borderId="33" xfId="0" applyFont="1" applyFill="1" applyBorder="1" applyAlignment="1">
      <alignment horizontal="center" vertical="center" textRotation="90"/>
    </xf>
    <xf numFmtId="0" fontId="18" fillId="16" borderId="35" xfId="0" applyFont="1" applyFill="1" applyBorder="1" applyAlignment="1">
      <alignment horizontal="center" vertical="center" textRotation="90"/>
    </xf>
    <xf numFmtId="0" fontId="25" fillId="0" borderId="18" xfId="0" applyFont="1" applyBorder="1" applyAlignment="1">
      <alignment horizontal="left"/>
    </xf>
    <xf numFmtId="0" fontId="18" fillId="17" borderId="31" xfId="0" applyFont="1" applyFill="1" applyBorder="1" applyAlignment="1">
      <alignment horizontal="center" vertical="center" textRotation="90"/>
    </xf>
    <xf numFmtId="0" fontId="18" fillId="17" borderId="33" xfId="0" applyFont="1" applyFill="1" applyBorder="1" applyAlignment="1">
      <alignment horizontal="center" vertical="center" textRotation="90"/>
    </xf>
    <xf numFmtId="0" fontId="18" fillId="17" borderId="35" xfId="0" applyFont="1" applyFill="1" applyBorder="1" applyAlignment="1">
      <alignment horizontal="center" vertical="center" textRotation="90"/>
    </xf>
    <xf numFmtId="0" fontId="18" fillId="18" borderId="24" xfId="0" applyFont="1" applyFill="1" applyBorder="1" applyAlignment="1">
      <alignment horizontal="center" vertical="center" textRotation="90"/>
    </xf>
    <xf numFmtId="0" fontId="18" fillId="18" borderId="1" xfId="0" applyFont="1" applyFill="1" applyBorder="1" applyAlignment="1">
      <alignment horizontal="center" vertical="center" textRotation="90"/>
    </xf>
    <xf numFmtId="0" fontId="18" fillId="18" borderId="36" xfId="0" applyFont="1" applyFill="1" applyBorder="1" applyAlignment="1">
      <alignment horizontal="center" vertical="center" textRotation="90"/>
    </xf>
    <xf numFmtId="0" fontId="27" fillId="0" borderId="0" xfId="0" applyFont="1" applyAlignment="1">
      <alignment horizontal="center" vertical="center"/>
    </xf>
    <xf numFmtId="0" fontId="27" fillId="0" borderId="4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4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1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57979</xdr:colOff>
          <xdr:row>1</xdr:row>
          <xdr:rowOff>16565</xdr:rowOff>
        </xdr:from>
        <xdr:to>
          <xdr:col>14</xdr:col>
          <xdr:colOff>277651</xdr:colOff>
          <xdr:row>137</xdr:row>
          <xdr:rowOff>149086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355488E-77EB-48C4-850C-92FE384DA0F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E$6:$AN$139" spid="_x0000_s42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979" y="207065"/>
              <a:ext cx="8957824" cy="2623930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152400</xdr:colOff>
      <xdr:row>1</xdr:row>
      <xdr:rowOff>95250</xdr:rowOff>
    </xdr:from>
    <xdr:to>
      <xdr:col>21</xdr:col>
      <xdr:colOff>458881</xdr:colOff>
      <xdr:row>12</xdr:row>
      <xdr:rowOff>176568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29463-1BED-4B04-9539-0013AD5E8F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6240" t="17006" r="10235"/>
        <a:stretch/>
      </xdr:blipFill>
      <xdr:spPr>
        <a:xfrm>
          <a:off x="8372475" y="438150"/>
          <a:ext cx="5792881" cy="37389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152400</xdr:colOff>
      <xdr:row>1</xdr:row>
      <xdr:rowOff>95250</xdr:rowOff>
    </xdr:from>
    <xdr:to>
      <xdr:col>21</xdr:col>
      <xdr:colOff>458881</xdr:colOff>
      <xdr:row>12</xdr:row>
      <xdr:rowOff>176568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FB0D73-E7B9-4D2A-A863-6452C2674E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6240" t="17006" r="10235"/>
        <a:stretch/>
      </xdr:blipFill>
      <xdr:spPr>
        <a:xfrm>
          <a:off x="8412480" y="430530"/>
          <a:ext cx="5792881" cy="36703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Users\stephan.redpath\San%20Refrigeration%20Dropbox\Projects%20OPS\Africa%20Projects%20-%20Operations\Zambia\Kasama\New%20Project%202023\Refrigeration\Project%20Layout%20Information\BLOWER%20COIL%20DRESSING\HSe%20Range\Blower%20coil%20dressing%20LABELS.xlsx" TargetMode="External"/><Relationship Id="rId2" Type="http://schemas.microsoft.com/office/2019/04/relationships/externalLinkLongPath" Target="/Users/stephan.redpath/San%20Refrigeration%20Dropbox/Projects%20OPS/Africa%20Projects%20-%20Operations/Zambia/Kasama/New%20Project%202023/Refrigeration/Project%20Layout%20Information/BLOWER%20COIL%20DRESSING/HSe%20Range/Blower%20coil%20dressing%20LABELS.xlsx?BEB8770C" TargetMode="External"/><Relationship Id="rId1" Type="http://schemas.openxmlformats.org/officeDocument/2006/relationships/externalLinkPath" Target="file:///\\BEB8770C\Blower%20coil%20dressing%20LAB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COVER"/>
      <sheetName val="Data"/>
      <sheetName val="Sheet2"/>
      <sheetName val="PACKING LIST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A1"/>
      <sheetName val="B2"/>
      <sheetName val="C3"/>
      <sheetName val="D4"/>
      <sheetName val="E5"/>
      <sheetName val="F6"/>
      <sheetName val="G7"/>
      <sheetName val="H8"/>
      <sheetName val="I9"/>
      <sheetName val="J10"/>
      <sheetName val="K11"/>
      <sheetName val="L12"/>
      <sheetName val="M13"/>
      <sheetName val="N14"/>
      <sheetName val="O15"/>
      <sheetName val="Sheet1"/>
    </sheetNames>
    <sheetDataSet>
      <sheetData sheetId="0"/>
      <sheetData sheetId="1">
        <row r="13">
          <cell r="A13" t="str">
            <v>I</v>
          </cell>
        </row>
        <row r="19">
          <cell r="A19" t="str">
            <v>O</v>
          </cell>
        </row>
        <row r="20">
          <cell r="A20" t="str">
            <v>P</v>
          </cell>
        </row>
        <row r="21">
          <cell r="A21" t="str">
            <v>Q</v>
          </cell>
        </row>
        <row r="22">
          <cell r="A22" t="str">
            <v>LS1</v>
          </cell>
        </row>
        <row r="23">
          <cell r="A23" t="str">
            <v>LS2</v>
          </cell>
        </row>
        <row r="24">
          <cell r="A24"/>
        </row>
        <row r="25">
          <cell r="Y25" t="str">
            <v/>
          </cell>
        </row>
        <row r="26">
          <cell r="Y26" t="str">
            <v/>
          </cell>
        </row>
        <row r="27">
          <cell r="Y27" t="str">
            <v/>
          </cell>
        </row>
        <row r="28">
          <cell r="Y28" t="str">
            <v/>
          </cell>
        </row>
        <row r="29">
          <cell r="Y29" t="str">
            <v/>
          </cell>
        </row>
        <row r="30">
          <cell r="Y30" t="str">
            <v/>
          </cell>
        </row>
        <row r="31">
          <cell r="Y31" t="str">
            <v/>
          </cell>
        </row>
        <row r="32">
          <cell r="Y32" t="str">
            <v/>
          </cell>
        </row>
        <row r="36">
          <cell r="A36" t="str">
            <v>DD</v>
          </cell>
        </row>
        <row r="37">
          <cell r="A37" t="str">
            <v>EE</v>
          </cell>
        </row>
        <row r="38">
          <cell r="A38" t="str">
            <v>FF</v>
          </cell>
        </row>
        <row r="41">
          <cell r="K41" t="str">
            <v/>
          </cell>
          <cell r="P41" t="str">
            <v/>
          </cell>
          <cell r="Q41" t="str">
            <v/>
          </cell>
          <cell r="R41" t="str">
            <v/>
          </cell>
          <cell r="Y41" t="str">
            <v/>
          </cell>
          <cell r="AD41" t="str">
            <v/>
          </cell>
        </row>
        <row r="42">
          <cell r="K42" t="str">
            <v/>
          </cell>
          <cell r="P42" t="str">
            <v/>
          </cell>
          <cell r="Q42" t="str">
            <v/>
          </cell>
          <cell r="R42" t="str">
            <v/>
          </cell>
          <cell r="Y42" t="str">
            <v/>
          </cell>
          <cell r="AD42" t="str">
            <v/>
          </cell>
        </row>
        <row r="43">
          <cell r="K43" t="str">
            <v/>
          </cell>
          <cell r="P43" t="str">
            <v/>
          </cell>
          <cell r="Q43" t="str">
            <v/>
          </cell>
          <cell r="R43" t="str">
            <v/>
          </cell>
          <cell r="Y43" t="str">
            <v/>
          </cell>
          <cell r="AD43" t="str">
            <v/>
          </cell>
        </row>
        <row r="44">
          <cell r="K44" t="str">
            <v/>
          </cell>
          <cell r="P44" t="str">
            <v/>
          </cell>
          <cell r="Q44" t="str">
            <v/>
          </cell>
          <cell r="R44" t="str">
            <v/>
          </cell>
          <cell r="Y44" t="str">
            <v/>
          </cell>
          <cell r="AD44" t="str">
            <v/>
          </cell>
        </row>
        <row r="45">
          <cell r="K45" t="str">
            <v/>
          </cell>
          <cell r="P45" t="str">
            <v/>
          </cell>
          <cell r="Q45" t="str">
            <v/>
          </cell>
          <cell r="R45" t="str">
            <v/>
          </cell>
          <cell r="Y45" t="str">
            <v/>
          </cell>
          <cell r="AD45" t="str">
            <v/>
          </cell>
        </row>
        <row r="46">
          <cell r="K46" t="str">
            <v/>
          </cell>
          <cell r="P46" t="str">
            <v/>
          </cell>
          <cell r="Q46" t="str">
            <v/>
          </cell>
          <cell r="R46" t="str">
            <v/>
          </cell>
          <cell r="Y46" t="str">
            <v/>
          </cell>
          <cell r="AD46" t="str">
            <v/>
          </cell>
        </row>
        <row r="47">
          <cell r="K47" t="str">
            <v/>
          </cell>
          <cell r="P47" t="str">
            <v/>
          </cell>
          <cell r="Q47" t="str">
            <v/>
          </cell>
          <cell r="R47" t="str">
            <v/>
          </cell>
          <cell r="Y47" t="str">
            <v/>
          </cell>
          <cell r="AD47" t="str">
            <v/>
          </cell>
        </row>
        <row r="48">
          <cell r="K48" t="str">
            <v/>
          </cell>
          <cell r="P48" t="str">
            <v/>
          </cell>
          <cell r="Q48" t="str">
            <v/>
          </cell>
          <cell r="R48" t="str">
            <v/>
          </cell>
          <cell r="Y48" t="str">
            <v/>
          </cell>
          <cell r="AD48" t="str">
            <v/>
          </cell>
        </row>
        <row r="49">
          <cell r="K49" t="str">
            <v/>
          </cell>
          <cell r="P49" t="str">
            <v/>
          </cell>
          <cell r="Q49" t="str">
            <v/>
          </cell>
          <cell r="R49" t="str">
            <v/>
          </cell>
          <cell r="Y49" t="str">
            <v/>
          </cell>
          <cell r="AD49" t="str">
            <v/>
          </cell>
        </row>
        <row r="50">
          <cell r="K50" t="str">
            <v/>
          </cell>
          <cell r="P50" t="str">
            <v/>
          </cell>
          <cell r="Q50" t="str">
            <v/>
          </cell>
          <cell r="R50" t="str">
            <v/>
          </cell>
          <cell r="Y50" t="str">
            <v/>
          </cell>
          <cell r="AD50" t="str">
            <v/>
          </cell>
        </row>
        <row r="73">
          <cell r="AL73">
            <v>3</v>
          </cell>
        </row>
        <row r="74">
          <cell r="AL74">
            <v>15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60"/>
  <sheetViews>
    <sheetView view="pageBreakPreview" zoomScale="60" zoomScaleNormal="100" workbookViewId="0">
      <selection activeCell="H14" sqref="H14"/>
    </sheetView>
  </sheetViews>
  <sheetFormatPr defaultRowHeight="14.4" x14ac:dyDescent="0.3"/>
  <cols>
    <col min="12" max="12" width="14.6640625" customWidth="1"/>
  </cols>
  <sheetData>
    <row r="1" spans="1:14" x14ac:dyDescent="0.3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x14ac:dyDescent="0.3">
      <c r="A2" s="10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x14ac:dyDescent="0.3">
      <c r="A3" s="10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1"/>
    </row>
    <row r="4" spans="1:14" ht="84" customHeight="1" x14ac:dyDescent="0.3">
      <c r="A4" s="10"/>
      <c r="B4" s="5"/>
      <c r="C4" s="295" t="s">
        <v>72</v>
      </c>
      <c r="D4" s="295"/>
      <c r="E4" s="295"/>
      <c r="F4" s="295"/>
      <c r="G4" s="295"/>
      <c r="H4" s="290" t="s">
        <v>599</v>
      </c>
      <c r="I4" s="291"/>
      <c r="J4" s="291"/>
      <c r="K4" s="291"/>
      <c r="L4" s="292"/>
      <c r="M4" s="5"/>
      <c r="N4" s="11"/>
    </row>
    <row r="5" spans="1:14" x14ac:dyDescent="0.3">
      <c r="A5" s="10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1"/>
    </row>
    <row r="6" spans="1:14" ht="25.8" x14ac:dyDescent="0.5">
      <c r="A6" s="10"/>
      <c r="B6" s="5"/>
      <c r="C6" s="296" t="s">
        <v>73</v>
      </c>
      <c r="D6" s="296"/>
      <c r="E6" s="296"/>
      <c r="F6" s="296"/>
      <c r="G6" s="296"/>
      <c r="H6" s="293" t="s">
        <v>600</v>
      </c>
      <c r="I6" s="293"/>
      <c r="J6" s="293"/>
      <c r="K6" s="293"/>
      <c r="L6" s="293"/>
      <c r="M6" s="5"/>
      <c r="N6" s="11"/>
    </row>
    <row r="7" spans="1:14" x14ac:dyDescent="0.3">
      <c r="A7" s="1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1"/>
    </row>
    <row r="8" spans="1:14" ht="25.8" x14ac:dyDescent="0.5">
      <c r="A8" s="10"/>
      <c r="B8" s="5"/>
      <c r="C8" s="296" t="s">
        <v>274</v>
      </c>
      <c r="D8" s="296"/>
      <c r="E8" s="296"/>
      <c r="F8" s="296"/>
      <c r="G8" s="296"/>
      <c r="H8" s="294" t="s">
        <v>320</v>
      </c>
      <c r="I8" s="293"/>
      <c r="J8" s="293"/>
      <c r="K8" s="293"/>
      <c r="L8" s="293"/>
      <c r="M8" s="5"/>
      <c r="N8" s="11"/>
    </row>
    <row r="9" spans="1:14" x14ac:dyDescent="0.3">
      <c r="A9" s="10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1"/>
    </row>
    <row r="10" spans="1:14" ht="25.8" x14ac:dyDescent="0.5">
      <c r="A10" s="10"/>
      <c r="B10" s="5"/>
      <c r="C10" s="296" t="s">
        <v>290</v>
      </c>
      <c r="D10" s="296"/>
      <c r="E10" s="296"/>
      <c r="F10" s="296"/>
      <c r="G10" s="296"/>
      <c r="H10" s="294" t="s">
        <v>601</v>
      </c>
      <c r="I10" s="293"/>
      <c r="J10" s="293"/>
      <c r="K10" s="293"/>
      <c r="L10" s="293"/>
      <c r="M10" s="5"/>
      <c r="N10" s="11"/>
    </row>
    <row r="11" spans="1:14" x14ac:dyDescent="0.3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1"/>
    </row>
    <row r="12" spans="1:14" ht="25.8" x14ac:dyDescent="0.5">
      <c r="A12" s="10"/>
      <c r="B12" s="5"/>
      <c r="C12" s="289" t="s">
        <v>74</v>
      </c>
      <c r="D12" s="289"/>
      <c r="E12" s="289"/>
      <c r="F12" s="289"/>
      <c r="G12" s="289"/>
      <c r="H12" s="74">
        <v>12</v>
      </c>
      <c r="I12" s="5"/>
      <c r="J12" s="5"/>
      <c r="K12" s="5"/>
      <c r="L12" s="5"/>
      <c r="M12" s="5"/>
      <c r="N12" s="11"/>
    </row>
    <row r="13" spans="1:14" ht="25.8" x14ac:dyDescent="0.5">
      <c r="A13" s="10"/>
      <c r="B13" s="5"/>
      <c r="C13" s="289" t="s">
        <v>75</v>
      </c>
      <c r="D13" s="289"/>
      <c r="E13" s="289"/>
      <c r="F13" s="289"/>
      <c r="G13" s="289"/>
      <c r="H13" s="74">
        <v>5</v>
      </c>
      <c r="I13" s="5"/>
      <c r="J13" s="5"/>
      <c r="K13" s="5"/>
      <c r="L13" s="5"/>
      <c r="M13" s="5"/>
      <c r="N13" s="11"/>
    </row>
    <row r="14" spans="1:14" ht="25.8" x14ac:dyDescent="0.5">
      <c r="A14" s="10"/>
      <c r="B14" s="5"/>
      <c r="C14" s="289" t="s">
        <v>76</v>
      </c>
      <c r="D14" s="289"/>
      <c r="E14" s="289"/>
      <c r="F14" s="289"/>
      <c r="G14" s="289"/>
      <c r="H14" s="74">
        <f>SUM(H12:H13)</f>
        <v>17</v>
      </c>
      <c r="I14" s="5"/>
      <c r="J14" s="5"/>
      <c r="K14" s="5"/>
      <c r="L14" s="5"/>
      <c r="M14" s="5"/>
      <c r="N14" s="11"/>
    </row>
    <row r="15" spans="1:14" x14ac:dyDescent="0.3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1"/>
    </row>
    <row r="16" spans="1:14" x14ac:dyDescent="0.3">
      <c r="A16" s="1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1"/>
    </row>
    <row r="17" spans="1:14" x14ac:dyDescent="0.3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1"/>
    </row>
    <row r="18" spans="1:14" x14ac:dyDescent="0.3">
      <c r="A18" s="10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1"/>
    </row>
    <row r="19" spans="1:14" x14ac:dyDescent="0.3">
      <c r="A19" s="10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1"/>
    </row>
    <row r="20" spans="1:14" x14ac:dyDescent="0.3">
      <c r="A20" s="10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1"/>
    </row>
    <row r="21" spans="1:14" x14ac:dyDescent="0.3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1"/>
    </row>
    <row r="22" spans="1:14" x14ac:dyDescent="0.3">
      <c r="A22" s="10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1"/>
    </row>
    <row r="23" spans="1:14" x14ac:dyDescent="0.3">
      <c r="A23" s="10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1"/>
    </row>
    <row r="24" spans="1:14" x14ac:dyDescent="0.3">
      <c r="A24" s="1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1"/>
    </row>
    <row r="25" spans="1:14" x14ac:dyDescent="0.3">
      <c r="A25" s="10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1"/>
    </row>
    <row r="26" spans="1:14" x14ac:dyDescent="0.3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1"/>
    </row>
    <row r="27" spans="1:14" x14ac:dyDescent="0.3">
      <c r="A27" s="10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1"/>
    </row>
    <row r="28" spans="1:14" x14ac:dyDescent="0.3">
      <c r="A28" s="10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</row>
    <row r="29" spans="1:14" x14ac:dyDescent="0.3">
      <c r="A29" s="10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14" x14ac:dyDescent="0.3">
      <c r="A30" s="10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14" x14ac:dyDescent="0.3">
      <c r="A31" s="1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14" x14ac:dyDescent="0.3">
      <c r="A32" s="1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4" x14ac:dyDescent="0.3">
      <c r="A33" s="10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4" x14ac:dyDescent="0.3">
      <c r="A34" s="10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4" x14ac:dyDescent="0.3">
      <c r="A35" s="10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4" x14ac:dyDescent="0.3">
      <c r="A36" s="10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4" x14ac:dyDescent="0.3">
      <c r="A37" s="10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4" x14ac:dyDescent="0.3">
      <c r="A38" s="10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1"/>
    </row>
    <row r="39" spans="1:14" x14ac:dyDescent="0.3">
      <c r="A39" s="1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1"/>
    </row>
    <row r="40" spans="1:14" x14ac:dyDescent="0.3">
      <c r="A40" s="1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1"/>
    </row>
    <row r="41" spans="1:14" x14ac:dyDescent="0.3">
      <c r="A41" s="1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11"/>
    </row>
    <row r="42" spans="1:14" x14ac:dyDescent="0.3">
      <c r="A42" s="1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11"/>
    </row>
    <row r="43" spans="1:14" x14ac:dyDescent="0.3">
      <c r="A43" s="1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11"/>
    </row>
    <row r="44" spans="1:14" x14ac:dyDescent="0.3">
      <c r="A44" s="1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11"/>
    </row>
    <row r="45" spans="1:14" x14ac:dyDescent="0.3">
      <c r="A45" s="1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11"/>
    </row>
    <row r="46" spans="1:14" x14ac:dyDescent="0.3">
      <c r="A46" s="1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11"/>
    </row>
    <row r="47" spans="1:14" x14ac:dyDescent="0.3">
      <c r="A47" s="1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11"/>
    </row>
    <row r="48" spans="1:14" x14ac:dyDescent="0.3">
      <c r="A48" s="1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11"/>
    </row>
    <row r="49" spans="1:14" x14ac:dyDescent="0.3">
      <c r="A49" s="1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11"/>
    </row>
    <row r="50" spans="1:14" x14ac:dyDescent="0.3">
      <c r="A50" s="1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11"/>
    </row>
    <row r="51" spans="1:14" x14ac:dyDescent="0.3">
      <c r="A51" s="1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11"/>
    </row>
    <row r="52" spans="1:14" x14ac:dyDescent="0.3">
      <c r="A52" s="1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11"/>
    </row>
    <row r="53" spans="1:14" x14ac:dyDescent="0.3">
      <c r="A53" s="10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11"/>
    </row>
    <row r="54" spans="1:14" x14ac:dyDescent="0.3">
      <c r="A54" s="10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11"/>
    </row>
    <row r="55" spans="1:14" x14ac:dyDescent="0.3">
      <c r="A55" s="10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11"/>
    </row>
    <row r="56" spans="1:14" x14ac:dyDescent="0.3">
      <c r="A56" s="10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11"/>
    </row>
    <row r="57" spans="1:14" x14ac:dyDescent="0.3">
      <c r="A57" s="10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11"/>
    </row>
    <row r="58" spans="1:14" x14ac:dyDescent="0.3">
      <c r="A58" s="10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11"/>
    </row>
    <row r="59" spans="1:14" x14ac:dyDescent="0.3">
      <c r="A59" s="10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11"/>
    </row>
    <row r="60" spans="1:14" ht="15" thickBot="1" x14ac:dyDescent="0.35">
      <c r="A60" s="1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13"/>
    </row>
  </sheetData>
  <mergeCells count="11">
    <mergeCell ref="C12:G12"/>
    <mergeCell ref="C13:G13"/>
    <mergeCell ref="C14:G14"/>
    <mergeCell ref="H4:L4"/>
    <mergeCell ref="H6:L6"/>
    <mergeCell ref="H8:L8"/>
    <mergeCell ref="C4:G4"/>
    <mergeCell ref="C6:G6"/>
    <mergeCell ref="C8:G8"/>
    <mergeCell ref="C10:G10"/>
    <mergeCell ref="H10:L10"/>
  </mergeCells>
  <pageMargins left="0.7" right="0.7" top="0.75" bottom="0.75" header="0.3" footer="0.3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W289"/>
  <sheetViews>
    <sheetView showGridLines="0" view="pageBreakPreview" topLeftCell="I2" zoomScale="70" zoomScaleNormal="70" zoomScaleSheetLayoutView="70" workbookViewId="0">
      <selection activeCell="R17" sqref="R17"/>
    </sheetView>
  </sheetViews>
  <sheetFormatPr defaultRowHeight="14.4" x14ac:dyDescent="0.3"/>
  <cols>
    <col min="1" max="1" width="10" bestFit="1" customWidth="1"/>
    <col min="2" max="2" width="8.44140625" customWidth="1"/>
    <col min="3" max="3" width="9.6640625" bestFit="1" customWidth="1"/>
    <col min="4" max="4" width="31.88671875" bestFit="1" customWidth="1"/>
    <col min="5" max="5" width="7.6640625" customWidth="1"/>
    <col min="6" max="6" width="8.6640625" customWidth="1"/>
    <col min="7" max="7" width="19.6640625" customWidth="1"/>
    <col min="8" max="8" width="13.44140625" customWidth="1"/>
    <col min="9" max="9" width="19.6640625" customWidth="1"/>
    <col min="10" max="10" width="14" hidden="1" customWidth="1"/>
    <col min="11" max="11" width="23.33203125" customWidth="1"/>
    <col min="12" max="12" width="9.44140625" customWidth="1"/>
    <col min="13" max="13" width="20.109375" bestFit="1" customWidth="1"/>
    <col min="14" max="14" width="20.44140625" customWidth="1"/>
    <col min="15" max="15" width="2.44140625" customWidth="1"/>
    <col min="16" max="16" width="17.6640625" style="1" customWidth="1"/>
    <col min="17" max="17" width="20" style="1" customWidth="1"/>
    <col min="18" max="18" width="12.33203125" style="1" customWidth="1"/>
    <col min="19" max="19" width="15.5546875" style="1" customWidth="1"/>
    <col min="20" max="20" width="14.88671875" style="1" customWidth="1"/>
    <col min="21" max="21" width="17.88671875" customWidth="1"/>
    <col min="22" max="22" width="17.5546875" customWidth="1"/>
    <col min="23" max="23" width="12" customWidth="1"/>
    <col min="25" max="25" width="12" customWidth="1"/>
    <col min="26" max="26" width="12.5546875" customWidth="1"/>
    <col min="27" max="27" width="12.44140625" customWidth="1"/>
    <col min="28" max="28" width="13.44140625" hidden="1" customWidth="1"/>
    <col min="29" max="29" width="14.6640625" customWidth="1"/>
    <col min="30" max="30" width="0.33203125" customWidth="1"/>
    <col min="31" max="31" width="12.109375" customWidth="1"/>
    <col min="32" max="32" width="3.44140625" customWidth="1"/>
    <col min="33" max="33" width="3.33203125" customWidth="1"/>
    <col min="34" max="34" width="16.109375" customWidth="1"/>
    <col min="35" max="35" width="16.6640625" bestFit="1" customWidth="1"/>
    <col min="38" max="38" width="31.109375" customWidth="1"/>
    <col min="39" max="39" width="25.33203125" customWidth="1"/>
    <col min="40" max="40" width="21.109375" customWidth="1"/>
    <col min="42" max="44" width="9.109375" customWidth="1"/>
    <col min="45" max="45" width="29.88671875" customWidth="1"/>
    <col min="46" max="51" width="9.109375" customWidth="1"/>
  </cols>
  <sheetData>
    <row r="1" spans="1:49" x14ac:dyDescent="0.3">
      <c r="A1" s="167" t="s">
        <v>285</v>
      </c>
      <c r="B1" s="167" t="s">
        <v>281</v>
      </c>
      <c r="C1" s="168" t="s">
        <v>86</v>
      </c>
      <c r="D1" s="168">
        <v>2</v>
      </c>
      <c r="AS1" s="110" t="s">
        <v>7</v>
      </c>
      <c r="AV1" s="109" t="s">
        <v>86</v>
      </c>
      <c r="AW1">
        <v>12</v>
      </c>
    </row>
    <row r="2" spans="1:49" ht="15" customHeight="1" x14ac:dyDescent="0.3">
      <c r="A2" s="167"/>
      <c r="B2" s="167" t="s">
        <v>282</v>
      </c>
      <c r="C2" s="168" t="s">
        <v>88</v>
      </c>
      <c r="D2" s="168">
        <v>3</v>
      </c>
      <c r="K2" s="167" t="str">
        <f>IF(ISBLANK(C2)=TRUE,"B","NB")</f>
        <v>NB</v>
      </c>
      <c r="M2" s="298" t="str">
        <f>COVER!H4</f>
        <v>SR Levy Mall Zambia</v>
      </c>
      <c r="N2" s="298"/>
      <c r="O2" s="298"/>
      <c r="P2" s="298"/>
      <c r="Q2" s="298"/>
      <c r="AS2" s="110" t="s">
        <v>298</v>
      </c>
      <c r="AV2" s="109" t="s">
        <v>88</v>
      </c>
      <c r="AW2">
        <v>15</v>
      </c>
    </row>
    <row r="3" spans="1:49" ht="15" customHeight="1" x14ac:dyDescent="0.3">
      <c r="A3" s="167"/>
      <c r="B3" s="167" t="s">
        <v>283</v>
      </c>
      <c r="C3" s="168" t="s">
        <v>89</v>
      </c>
      <c r="D3" s="168">
        <v>4</v>
      </c>
      <c r="M3" s="298"/>
      <c r="N3" s="298"/>
      <c r="O3" s="298"/>
      <c r="P3" s="298"/>
      <c r="Q3" s="298"/>
      <c r="AS3" s="110" t="s">
        <v>278</v>
      </c>
      <c r="AV3" s="109" t="s">
        <v>89</v>
      </c>
      <c r="AW3">
        <v>19</v>
      </c>
    </row>
    <row r="4" spans="1:49" ht="16.5" customHeight="1" x14ac:dyDescent="0.3">
      <c r="A4" s="167" t="s">
        <v>78</v>
      </c>
      <c r="B4" s="167" t="s">
        <v>321</v>
      </c>
      <c r="C4" s="168" t="s">
        <v>90</v>
      </c>
      <c r="D4" s="168">
        <v>5</v>
      </c>
      <c r="F4" s="168"/>
      <c r="N4" s="111"/>
      <c r="O4" s="111"/>
      <c r="P4" s="111"/>
      <c r="AS4" s="110" t="s">
        <v>9</v>
      </c>
      <c r="AV4" s="109" t="s">
        <v>90</v>
      </c>
      <c r="AW4">
        <v>22</v>
      </c>
    </row>
    <row r="5" spans="1:49" ht="15" thickBot="1" x14ac:dyDescent="0.35">
      <c r="A5" s="167" t="s">
        <v>5</v>
      </c>
      <c r="B5" s="167" t="s">
        <v>446</v>
      </c>
      <c r="C5" s="168" t="s">
        <v>91</v>
      </c>
      <c r="D5" s="168">
        <v>6</v>
      </c>
      <c r="M5" s="297" t="s">
        <v>26</v>
      </c>
      <c r="N5" s="297"/>
      <c r="O5" s="297"/>
      <c r="P5" s="297"/>
      <c r="Q5" s="297"/>
      <c r="AS5" s="110" t="s">
        <v>299</v>
      </c>
      <c r="AV5" s="109" t="s">
        <v>91</v>
      </c>
      <c r="AW5">
        <v>28</v>
      </c>
    </row>
    <row r="6" spans="1:49" ht="15" thickBot="1" x14ac:dyDescent="0.35">
      <c r="A6" s="167" t="s">
        <v>292</v>
      </c>
      <c r="B6" s="167" t="s">
        <v>593</v>
      </c>
      <c r="C6" s="168" t="s">
        <v>92</v>
      </c>
      <c r="D6" s="168"/>
      <c r="M6" s="297"/>
      <c r="N6" s="297"/>
      <c r="O6" s="297"/>
      <c r="P6" s="297"/>
      <c r="Q6" s="297"/>
      <c r="AH6" s="305" t="str">
        <f>COVER!H4</f>
        <v>SR Levy Mall Zambia</v>
      </c>
      <c r="AI6" s="306"/>
      <c r="AJ6" s="306"/>
      <c r="AK6" s="306"/>
      <c r="AL6" s="306"/>
      <c r="AM6" s="307"/>
      <c r="AN6" s="112"/>
      <c r="AO6" s="1"/>
      <c r="AP6" s="1"/>
      <c r="AQ6" s="1"/>
      <c r="AR6" s="1"/>
      <c r="AS6" s="110" t="s">
        <v>300</v>
      </c>
      <c r="AT6" s="1"/>
      <c r="AU6" s="1"/>
      <c r="AV6" s="109" t="s">
        <v>92</v>
      </c>
      <c r="AW6">
        <v>35</v>
      </c>
    </row>
    <row r="7" spans="1:49" ht="15" thickBot="1" x14ac:dyDescent="0.35">
      <c r="A7" s="167"/>
      <c r="B7" s="167"/>
      <c r="C7" s="168" t="s">
        <v>93</v>
      </c>
      <c r="D7" s="311" t="s">
        <v>16</v>
      </c>
      <c r="E7" s="311"/>
      <c r="F7" s="311"/>
      <c r="G7" s="311"/>
      <c r="H7" s="311"/>
      <c r="I7" s="311"/>
      <c r="J7" s="311"/>
      <c r="K7" s="311"/>
      <c r="L7" s="311"/>
      <c r="M7" s="311"/>
      <c r="N7" s="112"/>
      <c r="O7" s="113"/>
      <c r="P7" s="114"/>
      <c r="Q7" s="311" t="s">
        <v>17</v>
      </c>
      <c r="R7" s="311"/>
      <c r="S7" s="311"/>
      <c r="T7" s="311"/>
      <c r="U7" s="311"/>
      <c r="V7" s="311"/>
      <c r="W7" s="311"/>
      <c r="X7" s="311"/>
      <c r="AH7" s="158" t="s">
        <v>314</v>
      </c>
      <c r="AI7" s="157" t="str">
        <f>COVER!H10</f>
        <v>N2876</v>
      </c>
      <c r="AK7" s="1"/>
      <c r="AL7" s="1"/>
      <c r="AM7" s="115"/>
      <c r="AN7" s="1"/>
      <c r="AO7" s="1"/>
      <c r="AP7" s="1"/>
      <c r="AQ7" s="1"/>
      <c r="AR7" s="1"/>
      <c r="AS7" s="110" t="s">
        <v>301</v>
      </c>
      <c r="AT7" s="1"/>
      <c r="AU7" s="1"/>
      <c r="AV7" s="109" t="s">
        <v>93</v>
      </c>
      <c r="AW7">
        <v>42</v>
      </c>
    </row>
    <row r="8" spans="1:49" ht="15" thickBot="1" x14ac:dyDescent="0.35">
      <c r="A8" s="167"/>
      <c r="B8" s="167"/>
      <c r="C8" s="168" t="s">
        <v>94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2"/>
      <c r="O8" s="113"/>
      <c r="P8" s="114"/>
      <c r="Q8" s="116"/>
      <c r="R8" s="116"/>
      <c r="S8" s="116"/>
      <c r="T8" s="116"/>
      <c r="U8" s="116"/>
      <c r="V8" s="116"/>
      <c r="W8" s="116"/>
      <c r="X8" s="116"/>
      <c r="AH8" s="159"/>
      <c r="AI8" s="1"/>
      <c r="AJ8" s="1"/>
      <c r="AK8" s="1"/>
      <c r="AL8" s="1"/>
      <c r="AM8" s="115"/>
      <c r="AN8" s="1"/>
      <c r="AO8" s="1"/>
      <c r="AP8" s="1"/>
      <c r="AQ8" s="1"/>
      <c r="AR8" s="1"/>
      <c r="AS8" s="110" t="s">
        <v>302</v>
      </c>
      <c r="AT8" s="1"/>
      <c r="AU8" s="1"/>
      <c r="AV8" s="109" t="s">
        <v>94</v>
      </c>
      <c r="AW8">
        <v>54</v>
      </c>
    </row>
    <row r="9" spans="1:49" x14ac:dyDescent="0.3"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2"/>
      <c r="O9" s="113"/>
      <c r="P9" s="114"/>
      <c r="Q9" s="114"/>
      <c r="R9" s="114"/>
      <c r="S9" s="114"/>
      <c r="T9" s="114"/>
      <c r="U9" s="114"/>
      <c r="V9" s="114"/>
      <c r="W9" s="114"/>
      <c r="X9" s="114"/>
      <c r="AH9" s="161" t="s">
        <v>80</v>
      </c>
      <c r="AI9" s="162">
        <f>COVER!H12</f>
        <v>12</v>
      </c>
      <c r="AM9" s="115"/>
      <c r="AO9" s="1"/>
      <c r="AP9" s="1"/>
      <c r="AQ9" s="1"/>
      <c r="AR9" s="1"/>
      <c r="AS9" s="110" t="s">
        <v>305</v>
      </c>
      <c r="AT9" s="1"/>
      <c r="AU9" s="1"/>
    </row>
    <row r="10" spans="1:49" ht="15" thickBot="1" x14ac:dyDescent="0.35">
      <c r="A10" s="308"/>
      <c r="B10" s="309"/>
      <c r="C10" s="309"/>
      <c r="D10" s="309"/>
      <c r="E10" s="309"/>
      <c r="F10" s="309"/>
      <c r="G10" s="309"/>
      <c r="H10" s="309"/>
      <c r="I10" s="309"/>
      <c r="J10" s="309"/>
      <c r="K10" s="309"/>
      <c r="L10" s="309"/>
      <c r="M10" s="309"/>
      <c r="N10" s="309"/>
      <c r="O10" s="309"/>
      <c r="P10" s="309"/>
      <c r="Q10" s="309"/>
      <c r="R10" s="309"/>
      <c r="S10" s="309"/>
      <c r="T10" s="309"/>
      <c r="U10" s="309"/>
      <c r="V10" s="309"/>
      <c r="W10" s="309"/>
      <c r="X10" s="309"/>
      <c r="Y10" s="309"/>
      <c r="Z10" s="309"/>
      <c r="AA10" s="309"/>
      <c r="AB10" s="309"/>
      <c r="AC10" s="309"/>
      <c r="AH10" s="163" t="s">
        <v>81</v>
      </c>
      <c r="AI10" s="164">
        <f>COVER!H13</f>
        <v>5</v>
      </c>
      <c r="AM10" s="115"/>
      <c r="AO10" s="1"/>
      <c r="AP10" s="1"/>
      <c r="AQ10" s="1"/>
      <c r="AR10" s="1"/>
      <c r="AS10" s="110" t="s">
        <v>636</v>
      </c>
      <c r="AT10" s="1"/>
      <c r="AU10" s="1"/>
      <c r="AV10" t="s">
        <v>5</v>
      </c>
    </row>
    <row r="11" spans="1:49" s="95" customFormat="1" ht="54" customHeight="1" thickBot="1" x14ac:dyDescent="0.35">
      <c r="A11" s="94" t="s">
        <v>6</v>
      </c>
      <c r="B11" s="94" t="s">
        <v>8</v>
      </c>
      <c r="C11" s="94" t="s">
        <v>284</v>
      </c>
      <c r="D11" s="94" t="s">
        <v>1</v>
      </c>
      <c r="E11" s="94" t="s">
        <v>286</v>
      </c>
      <c r="F11" s="94" t="s">
        <v>287</v>
      </c>
      <c r="G11" s="246" t="s">
        <v>440</v>
      </c>
      <c r="H11" s="94" t="s">
        <v>288</v>
      </c>
      <c r="I11" s="246" t="s">
        <v>441</v>
      </c>
      <c r="J11" s="94"/>
      <c r="K11" s="94" t="s">
        <v>0</v>
      </c>
      <c r="L11" s="94" t="s">
        <v>289</v>
      </c>
      <c r="M11" s="94" t="s">
        <v>14</v>
      </c>
      <c r="N11" s="94" t="s">
        <v>15</v>
      </c>
      <c r="O11" s="117"/>
      <c r="P11" s="94" t="s">
        <v>20</v>
      </c>
      <c r="Q11" s="94" t="s">
        <v>21</v>
      </c>
      <c r="R11" s="94" t="s">
        <v>13</v>
      </c>
      <c r="S11" s="94" t="s">
        <v>580</v>
      </c>
      <c r="T11" s="94" t="s">
        <v>581</v>
      </c>
      <c r="U11" s="94" t="s">
        <v>22</v>
      </c>
      <c r="V11" s="94" t="s">
        <v>23</v>
      </c>
      <c r="W11" s="94" t="s">
        <v>2</v>
      </c>
      <c r="X11" s="94" t="s">
        <v>27</v>
      </c>
      <c r="Y11" s="94" t="s">
        <v>3</v>
      </c>
      <c r="Z11" s="94" t="s">
        <v>18</v>
      </c>
      <c r="AA11" s="94" t="s">
        <v>19</v>
      </c>
      <c r="AC11" s="154" t="s">
        <v>311</v>
      </c>
      <c r="AH11" s="160" t="s">
        <v>306</v>
      </c>
      <c r="AI11" s="156">
        <f>AI9+AI10</f>
        <v>17</v>
      </c>
      <c r="AM11" s="118"/>
      <c r="AO11" s="98"/>
      <c r="AP11" s="98"/>
      <c r="AQ11" s="98"/>
      <c r="AR11" s="98"/>
      <c r="AS11" s="110" t="s">
        <v>577</v>
      </c>
      <c r="AT11" s="98"/>
      <c r="AU11" s="98"/>
      <c r="AV11" s="95" t="s">
        <v>451</v>
      </c>
    </row>
    <row r="12" spans="1:49" x14ac:dyDescent="0.3">
      <c r="A12" s="119"/>
      <c r="B12" s="119"/>
      <c r="C12" s="11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19"/>
      <c r="Q12" s="119"/>
      <c r="R12" s="119"/>
      <c r="S12" s="119"/>
      <c r="T12" s="119"/>
      <c r="U12" s="3"/>
      <c r="V12" s="3"/>
      <c r="W12" s="3"/>
      <c r="X12" s="3"/>
      <c r="Y12" s="3"/>
      <c r="Z12" s="3"/>
      <c r="AA12" s="3"/>
      <c r="AC12" s="2"/>
      <c r="AH12" s="120"/>
      <c r="AM12" s="115"/>
      <c r="AO12" s="1"/>
      <c r="AP12" s="1"/>
      <c r="AS12" s="110"/>
      <c r="AV12" t="s">
        <v>449</v>
      </c>
    </row>
    <row r="13" spans="1:49" ht="15" thickBot="1" x14ac:dyDescent="0.35">
      <c r="A13" s="108" t="s">
        <v>614</v>
      </c>
      <c r="B13" s="108" t="s">
        <v>602</v>
      </c>
      <c r="C13" s="108" t="s">
        <v>282</v>
      </c>
      <c r="D13" s="108" t="s">
        <v>278</v>
      </c>
      <c r="E13" s="108" t="s">
        <v>593</v>
      </c>
      <c r="F13" s="108">
        <v>3043</v>
      </c>
      <c r="G13" s="108">
        <v>3</v>
      </c>
      <c r="H13" s="257" t="str">
        <f>IF(ISBLANK(A13)=TRUE,"",IF(C13="DT","N","E"))</f>
        <v>E</v>
      </c>
      <c r="I13" s="108">
        <v>1</v>
      </c>
      <c r="J13" s="91" t="str">
        <f t="shared" ref="J13:J23" si="0">IF(ISBLANK(A13)=TRUE,"",CONCATENATE(,F13,"-",I13,G13,"N","X","0"))</f>
        <v>3043-13NX0</v>
      </c>
      <c r="K13" s="91" t="str">
        <f>IF(ISBLANK(A13)=TRUE,"",IF(E13="HI",CONCATENATE(E13," ",F13,IF(C13="MT","L","H"))))</f>
        <v>HI 3043L</v>
      </c>
      <c r="L13" s="108">
        <v>1</v>
      </c>
      <c r="M13" s="91" t="str">
        <f>IF(E13="CSB",
    (IF(LEFT(Data!F13,2)="30",
        VLOOKUP(K13,'CSB Data'!$A$4:$L$53,10,FALSE),
        IF(LEFT(Data!F13,2)="35",
            VLOOKUP(K13,'CSB Data'!$N$4:$Y$39,10,FALSE))
    )),
    (IF(E13="Hse",
        IF(ISBLANK(A13)=TRUE, "",
            VLOOKUP(J13,Sheet1!$AA$4:$AQ$52,13,FALSE)),
        IF(E13="HDe",
            IF(ISBLANK(A13)=TRUE, "",
                VLOOKUP(J13,Sheet1!$AU$3:$BJ$19,13,FALSE)),
            IF(E13="HI",
                IF(LEFT(Data!F13,1)="3",
                    VLOOKUP(F13,'HI Data'!$A$4:$K$15,10,FALSE),
                    IF(LEFT(Data!F13,1)="4",
                        VLOOKUP(F13,'HI Data'!$A$28:$K$34,10,FALSE),
                        "series error")
                ),
                IF(ISBLANK(A13)=TRUE, "", "series error")
            )
        )
    )
))</f>
        <v>1-1/8</v>
      </c>
      <c r="N13" s="91" t="str">
        <f>IF(E13="CSB",
    (IF(LEFT(Data!F13,2)="30",
        VLOOKUP(K13,'CSB Data'!$A$4:$L$53,11,FALSE),
        IF(LEFT(Data!F13,2)="35",
            VLOOKUP(K13,'CSB Data'!$N$4:$Y$39,11,FALSE))
    )),
    (IF(E13="Hse",
        IF(ISBLANK(A13)=TRUE, "",
            VLOOKUP(J13,Sheet1!$AA$4:$AQ$52,14,FALSE)),
        IF(E13="HDe",
            IF(ISBLANK(A13)=TRUE, "",
                VLOOKUP(J13,Sheet1!$AU$3:$BJ$19,14,FALSE)),
            IF(E13="HI",
                IF(LEFT(Data!F13,1)="3",
                    VLOOKUP(F13,'HI Data'!$A$4:$K$15,11,FALSE),
                    IF(LEFT(Data!F13,1)="4",
                        VLOOKUP(F13,'HI Data'!$A$28:$K$34,11,FALSE),
                        "series error")
                ),
                IF(ISBLANK(A13)=TRUE, "", "series error")
            )
        )
    )
))</f>
        <v>5/8</v>
      </c>
      <c r="O13" s="3"/>
      <c r="P13" s="91" t="str">
        <f>M13</f>
        <v>1-1/8</v>
      </c>
      <c r="Q13" s="91" t="str">
        <f>IF(ISBLANK(A13)=TRUE,"",IF(EXACT(M13,U13),"NONE",IF(VLOOKUP(M13,$AV$1:$AW$8,2,)&gt;VLOOKUP(U13,$AV$1:$AW$8,2,),CONCATENATE((M13),($A$4),(U13)),CONCATENATE((U13),($A$4),(M13)))))</f>
        <v>NONE</v>
      </c>
      <c r="R13" s="91" t="str">
        <f>IF(ISBLANK(A13)=TRUE,"",IF(E13="HDe","NONE",U13))</f>
        <v>1-1/8</v>
      </c>
      <c r="S13" s="273" t="s">
        <v>583</v>
      </c>
      <c r="T13" s="273" t="s">
        <v>579</v>
      </c>
      <c r="U13" s="269" t="s">
        <v>91</v>
      </c>
      <c r="V13" s="108" t="s">
        <v>86</v>
      </c>
      <c r="W13" s="108" t="s">
        <v>5</v>
      </c>
      <c r="X13" s="270" t="s">
        <v>110</v>
      </c>
      <c r="Y13" s="91" t="str">
        <f t="shared" ref="Y13:Y35" si="1">IF(ISBLANK(A13)=TRUE,"",CONCATENATE(V13," Castel"))</f>
        <v>1/2 Castel</v>
      </c>
      <c r="Z13" s="91" t="str">
        <f t="shared" ref="Z13:Z32" si="2">IF(ISBLANK(A13)=TRUE,"",IF(E13="HSR","IN COIL"," IN COIL"))</f>
        <v xml:space="preserve"> IN COIL</v>
      </c>
      <c r="AA13" s="91" t="s">
        <v>576</v>
      </c>
      <c r="AB13" t="str">
        <f>IF(ISBLANK(Q13)=TRUE,"N/A",IF(Q13="NONE","N/A",Q13))</f>
        <v>N/A</v>
      </c>
      <c r="AC13" s="105">
        <f>IF(E13="CSB",
    (IF(LEFT(Data!F13,2)="30",
        (VLOOKUP(K13,'CSB Data'!$A$4:$L$53,4,FALSE)+1)*2,
        IF(LEFT(Data!F13,2)="35",(
            VLOOKUP(K13,'CSB Data'!$N$4:$Y$39,4,FALSE)+1)*2)
    )),
    (IF(E13="Hse",
        IF(ISBLANK(A13)=TRUE, "",
            VLOOKUP(J13,Sheet1!$AA$4:$AQ$52,13,FALSE)),
        IF(E13="HDe",
            IF(ISBLANK(A13)=TRUE, "",
                VLOOKUP(J13,Sheet1!$AU$3:$BJ$19,13,FALSE)),
            IF(E13="HI",
                IF(LEFT(Data!F13,1)="3",
                    (VLOOKUP(F13,'HI Data'!$A$4:$K$15,4,FALSE)+1)*2,
                    IF(LEFT(Data!F13,1)="4",
                        (VLOOKUP(F13,'HI Data'!$A$28:$K$34,10,FALSE)+1)*2,
                        "series error")
                ),
                IF(ISBLANK(A13)=TRUE, "", "series error")
            )
        )
    )
))</f>
        <v>10</v>
      </c>
      <c r="AD13">
        <f t="shared" ref="AD13:AD32" si="3">IF(ISBLANK(A13)=TRUE,0,AC13*L13)</f>
        <v>10</v>
      </c>
      <c r="AH13" s="121"/>
      <c r="AI13" s="122"/>
      <c r="AJ13" s="122"/>
      <c r="AK13" s="122"/>
      <c r="AL13" s="122"/>
      <c r="AM13" s="123"/>
      <c r="AN13" s="1"/>
      <c r="AO13" s="1"/>
      <c r="AP13" s="1"/>
      <c r="AV13" t="s">
        <v>450</v>
      </c>
    </row>
    <row r="14" spans="1:49" ht="15" thickBot="1" x14ac:dyDescent="0.35">
      <c r="A14" s="108" t="s">
        <v>615</v>
      </c>
      <c r="B14" s="108" t="s">
        <v>603</v>
      </c>
      <c r="C14" s="108" t="s">
        <v>282</v>
      </c>
      <c r="D14" s="108" t="s">
        <v>299</v>
      </c>
      <c r="E14" s="108" t="s">
        <v>593</v>
      </c>
      <c r="F14" s="108">
        <v>3044</v>
      </c>
      <c r="G14" s="108">
        <v>4</v>
      </c>
      <c r="H14" s="257" t="str">
        <f t="shared" ref="H14:H32" si="4">IF(ISBLANK(A14)=TRUE,"",IF(C14="DT","N","E"))</f>
        <v>E</v>
      </c>
      <c r="I14" s="108">
        <v>1</v>
      </c>
      <c r="J14" s="91" t="str">
        <f t="shared" si="0"/>
        <v>3044-14NX0</v>
      </c>
      <c r="K14" s="91" t="str">
        <f t="shared" ref="K14:K35" si="5">IF(ISBLANK(A14)=TRUE,"",IF(E14="HI",CONCATENATE(E14," ",F14,IF(C14="MT","L","H"))))</f>
        <v>HI 3044L</v>
      </c>
      <c r="L14" s="108">
        <v>1</v>
      </c>
      <c r="M14" s="91" t="str">
        <f>IF(E14="CSB",
    (IF(LEFT(Data!F14,2)="30",
        VLOOKUP(K14,'CSB Data'!$A$4:$L$53,10,FALSE),
        IF(LEFT(Data!F14,2)="35",
            VLOOKUP(K14,'CSB Data'!$N$4:$Y$39,10,FALSE))
    )),
    (IF(E14="Hse",
        IF(ISBLANK(A14)=TRUE, "",
            VLOOKUP(J14,Sheet1!$AA$4:$AQ$52,13,FALSE)),
        IF(E14="HDe",
            IF(ISBLANK(A14)=TRUE, "",
                VLOOKUP(J14,Sheet1!$AU$3:$BJ$19,13,FALSE)),
            IF(E14="HI",
                IF(LEFT(Data!F14,1)="3",
                    VLOOKUP(F14,'HI Data'!$A$4:$K$15,10,FALSE),
                    IF(LEFT(Data!F14,1)="4",
                        VLOOKUP(F14,'HI Data'!$A$28:$K$34,10,FALSE),
                        "series error")
                ),
                IF(ISBLANK(A14)=TRUE, "", "series error")
            )
        )
    )
))</f>
        <v>1-1/8</v>
      </c>
      <c r="N14" s="91" t="str">
        <f>IF(E14="CSB",
    (IF(LEFT(Data!F14,2)="30",
        VLOOKUP(K14,'CSB Data'!$A$4:$L$53,11,FALSE),
        IF(LEFT(Data!F14,2)="35",
            VLOOKUP(K14,'CSB Data'!$N$4:$Y$39,11,FALSE))
    )),
    (IF(E14="Hse",
        IF(ISBLANK(A14)=TRUE, "",
            VLOOKUP(J14,Sheet1!$AA$4:$AQ$52,14,FALSE)),
        IF(E14="HDe",
            IF(ISBLANK(A14)=TRUE, "",
                VLOOKUP(J14,Sheet1!$AU$3:$BJ$19,14,FALSE)),
            IF(E14="HI",
                IF(LEFT(Data!F14,1)="3",
                    VLOOKUP(F14,'HI Data'!$A$4:$K$15,11,FALSE),
                    IF(LEFT(Data!F14,1)="4",
                        VLOOKUP(F14,'HI Data'!$A$28:$K$34,11,FALSE),
                        "series error")
                ),
                IF(ISBLANK(A14)=TRUE, "", "series error")
            )
        )
    )
))</f>
        <v>5/8</v>
      </c>
      <c r="O14" s="3"/>
      <c r="P14" s="91" t="str">
        <f t="shared" ref="P14:P32" si="6">M14</f>
        <v>1-1/8</v>
      </c>
      <c r="Q14" s="91" t="str">
        <f t="shared" ref="Q14:Q32" si="7">IF(ISBLANK(A14)=TRUE,"",IF(EXACT(M14,U14),"NONE",IF(VLOOKUP(M14,$AV$1:$AW$8,2,)&gt;VLOOKUP(U14,$AV$1:$AW$8,2,),CONCATENATE((M14),($A$4),(U14)),CONCATENATE((U14),($A$4),(M14)))))</f>
        <v>NONE</v>
      </c>
      <c r="R14" s="91" t="str">
        <f t="shared" ref="R14:R32" si="8">IF(ISBLANK(A14)=TRUE,"",IF(E14="HDR","NONE",U14))</f>
        <v>1-1/8</v>
      </c>
      <c r="S14" s="273" t="s">
        <v>583</v>
      </c>
      <c r="T14" s="273" t="s">
        <v>579</v>
      </c>
      <c r="U14" s="108" t="s">
        <v>91</v>
      </c>
      <c r="V14" s="108" t="s">
        <v>86</v>
      </c>
      <c r="W14" s="108" t="s">
        <v>5</v>
      </c>
      <c r="X14" s="270" t="s">
        <v>110</v>
      </c>
      <c r="Y14" s="91" t="str">
        <f t="shared" si="1"/>
        <v>1/2 Castel</v>
      </c>
      <c r="Z14" s="91" t="str">
        <f t="shared" si="2"/>
        <v xml:space="preserve"> IN COIL</v>
      </c>
      <c r="AA14" s="91" t="s">
        <v>576</v>
      </c>
      <c r="AB14" t="str">
        <f t="shared" ref="AB14:AB50" si="9">IF(ISBLANK(Q14)=TRUE,"N/A",IF(Q14="NONE","N/A",Q14))</f>
        <v>N/A</v>
      </c>
      <c r="AC14" s="105">
        <f>IF(E14="CSB",
    (IF(LEFT(Data!F14,2)="30",
        (VLOOKUP(K14,'CSB Data'!$A$4:$L$53,4,FALSE)+1)*2,
        IF(LEFT(Data!F14,2)="35",(
            VLOOKUP(K14,'CSB Data'!$N$4:$Y$39,4,FALSE)+1)*2)
    )),
    (IF(E14="Hse",
        IF(ISBLANK(A14)=TRUE, "",
            VLOOKUP(J14,Sheet1!$AA$4:$AQ$52,13,FALSE)),
        IF(E14="HDe",
            IF(ISBLANK(A14)=TRUE, "",
                VLOOKUP(J14,Sheet1!$AU$3:$BJ$19,13,FALSE)),
            IF(E14="HI",
                IF(LEFT(Data!F14,1)="3",
                    (VLOOKUP(F14,'HI Data'!$A$4:$K$15,4,FALSE)+1)*2,
                    IF(LEFT(Data!F14,1)="4",
                        (VLOOKUP(F14,'HI Data'!$A$28:$K$34,10,FALSE)+1)*2,
                        "series error")
                ),
                IF(ISBLANK(A14)=TRUE, "", "series error")
            )
        )
    )
))</f>
        <v>10</v>
      </c>
      <c r="AD14">
        <f t="shared" si="3"/>
        <v>10</v>
      </c>
      <c r="AH14" s="299" t="s">
        <v>82</v>
      </c>
      <c r="AI14" s="300"/>
      <c r="AJ14" s="300"/>
      <c r="AK14" s="300"/>
      <c r="AL14" s="300"/>
      <c r="AM14" s="301"/>
      <c r="AO14" s="1"/>
      <c r="AP14" s="1"/>
      <c r="AV14" t="s">
        <v>575</v>
      </c>
    </row>
    <row r="15" spans="1:49" ht="15" thickBot="1" x14ac:dyDescent="0.35">
      <c r="A15" s="108" t="s">
        <v>616</v>
      </c>
      <c r="B15" s="108" t="s">
        <v>604</v>
      </c>
      <c r="C15" s="108" t="s">
        <v>282</v>
      </c>
      <c r="D15" s="108" t="s">
        <v>9</v>
      </c>
      <c r="E15" s="108" t="s">
        <v>593</v>
      </c>
      <c r="F15" s="108">
        <v>3044</v>
      </c>
      <c r="G15" s="108">
        <v>4</v>
      </c>
      <c r="H15" s="257" t="str">
        <f t="shared" si="4"/>
        <v>E</v>
      </c>
      <c r="I15" s="108">
        <v>1</v>
      </c>
      <c r="J15" s="91" t="str">
        <f t="shared" si="0"/>
        <v>3044-14NX0</v>
      </c>
      <c r="K15" s="91" t="str">
        <f t="shared" si="5"/>
        <v>HI 3044L</v>
      </c>
      <c r="L15" s="108">
        <v>1</v>
      </c>
      <c r="M15" s="91" t="str">
        <f>IF(E15="CSB",
    (IF(LEFT(Data!F15,2)="30",
        VLOOKUP(K15,'CSB Data'!$A$4:$L$53,10,FALSE),
        IF(LEFT(Data!F15,2)="35",
            VLOOKUP(K15,'CSB Data'!$N$4:$Y$39,10,FALSE))
    )),
    (IF(E15="Hse",
        IF(ISBLANK(A15)=TRUE, "",
            VLOOKUP(J15,Sheet1!$AA$4:$AQ$52,13,FALSE)),
        IF(E15="HDe",
            IF(ISBLANK(A15)=TRUE, "",
                VLOOKUP(J15,Sheet1!$AU$3:$BJ$19,13,FALSE)),
            IF(E15="HI",
                IF(LEFT(Data!F15,1)="3",
                    VLOOKUP(F15,'HI Data'!$A$4:$K$15,10,FALSE),
                    IF(LEFT(Data!F15,1)="4",
                        VLOOKUP(F15,'HI Data'!$A$28:$K$34,10,FALSE),
                        "series error")
                ),
                IF(ISBLANK(A15)=TRUE, "", "series error")
            )
        )
    )
))</f>
        <v>1-1/8</v>
      </c>
      <c r="N15" s="91" t="str">
        <f>IF(E15="CSB",
    (IF(LEFT(Data!F15,2)="30",
        VLOOKUP(K15,'CSB Data'!$A$4:$L$53,11,FALSE),
        IF(LEFT(Data!F15,2)="35",
            VLOOKUP(K15,'CSB Data'!$N$4:$Y$39,11,FALSE))
    )),
    (IF(E15="Hse",
        IF(ISBLANK(A15)=TRUE, "",
            VLOOKUP(J15,Sheet1!$AA$4:$AQ$52,14,FALSE)),
        IF(E15="HDe",
            IF(ISBLANK(A15)=TRUE, "",
                VLOOKUP(J15,Sheet1!$AU$3:$BJ$19,14,FALSE)),
            IF(E15="HI",
                IF(LEFT(Data!F15,1)="3",
                    VLOOKUP(F15,'HI Data'!$A$4:$K$15,11,FALSE),
                    IF(LEFT(Data!F15,1)="4",
                        VLOOKUP(F15,'HI Data'!$A$28:$K$34,11,FALSE),
                        "series error")
                ),
                IF(ISBLANK(A15)=TRUE, "", "series error")
            )
        )
    )
))</f>
        <v>5/8</v>
      </c>
      <c r="O15" s="3"/>
      <c r="P15" s="91" t="str">
        <f t="shared" si="6"/>
        <v>1-1/8</v>
      </c>
      <c r="Q15" s="91" t="str">
        <f t="shared" si="7"/>
        <v>NONE</v>
      </c>
      <c r="R15" s="91" t="str">
        <f t="shared" si="8"/>
        <v>1-1/8</v>
      </c>
      <c r="S15" s="273" t="s">
        <v>583</v>
      </c>
      <c r="T15" s="273" t="s">
        <v>579</v>
      </c>
      <c r="U15" s="108" t="s">
        <v>91</v>
      </c>
      <c r="V15" s="108" t="s">
        <v>86</v>
      </c>
      <c r="W15" s="108" t="s">
        <v>5</v>
      </c>
      <c r="X15" s="270" t="s">
        <v>110</v>
      </c>
      <c r="Y15" s="91" t="str">
        <f t="shared" si="1"/>
        <v>1/2 Castel</v>
      </c>
      <c r="Z15" s="91" t="str">
        <f t="shared" si="2"/>
        <v xml:space="preserve"> IN COIL</v>
      </c>
      <c r="AA15" s="91" t="s">
        <v>576</v>
      </c>
      <c r="AB15" t="str">
        <f t="shared" si="9"/>
        <v>N/A</v>
      </c>
      <c r="AC15" s="105">
        <f>IF(E15="CSB",
    (IF(LEFT(Data!F15,2)="30",
        (VLOOKUP(K15,'CSB Data'!$A$4:$L$53,4,FALSE)+1)*2,
        IF(LEFT(Data!F15,2)="35",(
            VLOOKUP(K15,'CSB Data'!$N$4:$Y$39,4,FALSE)+1)*2)
    )),
    (IF(E15="Hse",
        IF(ISBLANK(A15)=TRUE, "",
            VLOOKUP(J15,Sheet1!$AA$4:$AQ$52,13,FALSE)),
        IF(E15="HDe",
            IF(ISBLANK(A15)=TRUE, "",
                VLOOKUP(J15,Sheet1!$AU$3:$BJ$19,13,FALSE)),
            IF(E15="HI",
                IF(LEFT(Data!F15,1)="3",
                    (VLOOKUP(F15,'HI Data'!$A$4:$K$15,4,FALSE)+1)*2,
                    IF(LEFT(Data!F15,1)="4",
                        (VLOOKUP(F15,'HI Data'!$A$28:$K$34,10,FALSE)+1)*2,
                        "series error")
                ),
                IF(ISBLANK(A15)=TRUE, "", "series error")
            )
        )
    )
))</f>
        <v>10</v>
      </c>
      <c r="AD15">
        <f t="shared" si="3"/>
        <v>10</v>
      </c>
      <c r="AH15" s="120"/>
      <c r="AM15" s="115"/>
      <c r="AS15" s="110" t="s">
        <v>303</v>
      </c>
      <c r="AV15" t="s">
        <v>574</v>
      </c>
    </row>
    <row r="16" spans="1:49" ht="15" thickBot="1" x14ac:dyDescent="0.35">
      <c r="A16" s="108" t="s">
        <v>617</v>
      </c>
      <c r="B16" s="108" t="s">
        <v>605</v>
      </c>
      <c r="C16" s="108" t="s">
        <v>282</v>
      </c>
      <c r="D16" s="108" t="s">
        <v>9</v>
      </c>
      <c r="E16" s="108" t="s">
        <v>593</v>
      </c>
      <c r="F16" s="108">
        <v>3044</v>
      </c>
      <c r="G16" s="108">
        <v>4</v>
      </c>
      <c r="H16" s="257" t="str">
        <f t="shared" si="4"/>
        <v>E</v>
      </c>
      <c r="I16" s="108">
        <v>1</v>
      </c>
      <c r="J16" s="91" t="str">
        <f t="shared" si="0"/>
        <v>3044-14NX0</v>
      </c>
      <c r="K16" s="91" t="str">
        <f t="shared" si="5"/>
        <v>HI 3044L</v>
      </c>
      <c r="L16" s="108">
        <v>1</v>
      </c>
      <c r="M16" s="91" t="str">
        <f>IF(E16="CSB",
    (IF(LEFT(Data!F16,2)="30",
        VLOOKUP(K16,'CSB Data'!$A$4:$L$53,10,FALSE),
        IF(LEFT(Data!F16,2)="35",
            VLOOKUP(K16,'CSB Data'!$N$4:$Y$39,10,FALSE))
    )),
    (IF(E16="Hse",
        IF(ISBLANK(A16)=TRUE, "",
            VLOOKUP(J16,Sheet1!$AA$4:$AQ$52,13,FALSE)),
        IF(E16="HDe",
            IF(ISBLANK(A16)=TRUE, "",
                VLOOKUP(J16,Sheet1!$AU$3:$BJ$19,13,FALSE)),
            IF(E16="HI",
                IF(LEFT(Data!F16,1)="3",
                    VLOOKUP(F16,'HI Data'!$A$4:$K$15,10,FALSE),
                    IF(LEFT(Data!F16,1)="4",
                        VLOOKUP(F16,'HI Data'!$A$28:$K$34,10,FALSE),
                        "series error")
                ),
                IF(ISBLANK(A16)=TRUE, "", "series error")
            )
        )
    )
))</f>
        <v>1-1/8</v>
      </c>
      <c r="N16" s="91" t="str">
        <f>IF(E16="CSB",
    (IF(LEFT(Data!F16,2)="30",
        VLOOKUP(K16,'CSB Data'!$A$4:$L$53,11,FALSE),
        IF(LEFT(Data!F16,2)="35",
            VLOOKUP(K16,'CSB Data'!$N$4:$Y$39,11,FALSE))
    )),
    (IF(E16="Hse",
        IF(ISBLANK(A16)=TRUE, "",
            VLOOKUP(J16,Sheet1!$AA$4:$AQ$52,14,FALSE)),
        IF(E16="HDe",
            IF(ISBLANK(A16)=TRUE, "",
                VLOOKUP(J16,Sheet1!$AU$3:$BJ$19,14,FALSE)),
            IF(E16="HI",
                IF(LEFT(Data!F16,1)="3",
                    VLOOKUP(F16,'HI Data'!$A$4:$K$15,11,FALSE),
                    IF(LEFT(Data!F16,1)="4",
                        VLOOKUP(F16,'HI Data'!$A$28:$K$34,11,FALSE),
                        "series error")
                ),
                IF(ISBLANK(A16)=TRUE, "", "series error")
            )
        )
    )
))</f>
        <v>5/8</v>
      </c>
      <c r="O16" s="3"/>
      <c r="P16" s="91" t="str">
        <f t="shared" si="6"/>
        <v>1-1/8</v>
      </c>
      <c r="Q16" s="91" t="str">
        <f t="shared" si="7"/>
        <v>NONE</v>
      </c>
      <c r="R16" s="91" t="str">
        <f t="shared" si="8"/>
        <v>1-1/8</v>
      </c>
      <c r="S16" s="273" t="s">
        <v>583</v>
      </c>
      <c r="T16" s="273" t="s">
        <v>579</v>
      </c>
      <c r="U16" s="108" t="s">
        <v>91</v>
      </c>
      <c r="V16" s="108" t="s">
        <v>86</v>
      </c>
      <c r="W16" s="108" t="s">
        <v>5</v>
      </c>
      <c r="X16" s="270" t="s">
        <v>110</v>
      </c>
      <c r="Y16" s="91" t="str">
        <f t="shared" si="1"/>
        <v>1/2 Castel</v>
      </c>
      <c r="Z16" s="91" t="str">
        <f t="shared" si="2"/>
        <v xml:space="preserve"> IN COIL</v>
      </c>
      <c r="AA16" s="91" t="s">
        <v>576</v>
      </c>
      <c r="AB16" t="str">
        <f t="shared" si="9"/>
        <v>N/A</v>
      </c>
      <c r="AC16" s="105">
        <f>IF(E16="CSB",
    (IF(LEFT(Data!F16,2)="30",
        (VLOOKUP(K16,'CSB Data'!$A$4:$L$53,4,FALSE)+1)*2,
        IF(LEFT(Data!F16,2)="35",(
            VLOOKUP(K16,'CSB Data'!$N$4:$Y$39,4,FALSE)+1)*2)
    )),
    (IF(E16="Hse",
        IF(ISBLANK(A16)=TRUE, "",
            VLOOKUP(J16,Sheet1!$AA$4:$AQ$52,13,FALSE)),
        IF(E16="HDe",
            IF(ISBLANK(A16)=TRUE, "",
                VLOOKUP(J16,Sheet1!$AU$3:$BJ$19,13,FALSE)),
            IF(E16="HI",
                IF(LEFT(Data!F16,1)="3",
                    (VLOOKUP(F16,'HI Data'!$A$4:$K$15,4,FALSE)+1)*2,
                    IF(LEFT(Data!F16,1)="4",
                        (VLOOKUP(F16,'HI Data'!$A$28:$K$34,10,FALSE)+1)*2,
                        "series error")
                ),
                IF(ISBLANK(A16)=TRUE, "", "series error")
            )
        )
    )
))</f>
        <v>10</v>
      </c>
      <c r="AD16">
        <f>IF(ISBLANK(A16)=TRUE,0,AC16*L16)</f>
        <v>10</v>
      </c>
      <c r="AH16" s="120"/>
      <c r="AI16" s="124" t="s">
        <v>83</v>
      </c>
      <c r="AJ16" s="125" t="s">
        <v>84</v>
      </c>
      <c r="AK16" s="126" t="s">
        <v>85</v>
      </c>
      <c r="AM16" s="115"/>
      <c r="AS16" s="110" t="s">
        <v>11</v>
      </c>
      <c r="AV16" t="s">
        <v>573</v>
      </c>
    </row>
    <row r="17" spans="1:45" x14ac:dyDescent="0.3">
      <c r="A17" s="108" t="s">
        <v>618</v>
      </c>
      <c r="B17" s="108" t="s">
        <v>606</v>
      </c>
      <c r="C17" s="108" t="s">
        <v>282</v>
      </c>
      <c r="D17" s="108" t="s">
        <v>298</v>
      </c>
      <c r="E17" s="108" t="s">
        <v>593</v>
      </c>
      <c r="F17" s="108">
        <v>3023</v>
      </c>
      <c r="G17" s="108">
        <v>3</v>
      </c>
      <c r="H17" s="257" t="str">
        <f t="shared" si="4"/>
        <v>E</v>
      </c>
      <c r="I17" s="108">
        <v>1</v>
      </c>
      <c r="J17" s="91" t="str">
        <f t="shared" si="0"/>
        <v>3023-13NX0</v>
      </c>
      <c r="K17" s="91" t="str">
        <f t="shared" si="5"/>
        <v>HI 3023L</v>
      </c>
      <c r="L17" s="108">
        <v>1</v>
      </c>
      <c r="M17" s="91" t="str">
        <f>IF(E17="CSB",
    (IF(LEFT(Data!F17,2)="30",
        VLOOKUP(K17,'CSB Data'!$A$4:$L$53,10,FALSE),
        IF(LEFT(Data!F17,2)="35",
            VLOOKUP(K17,'CSB Data'!$N$4:$Y$39,10,FALSE))
    )),
    (IF(E17="Hse",
        IF(ISBLANK(A17)=TRUE, "",
            VLOOKUP(J17,Sheet1!$AA$4:$AQ$52,13,FALSE)),
        IF(E17="HDe",
            IF(ISBLANK(A17)=TRUE, "",
                VLOOKUP(J17,Sheet1!$AU$3:$BJ$19,13,FALSE)),
            IF(E17="HI",
                IF(LEFT(Data!F17,1)="3",
                    VLOOKUP(F17,'HI Data'!$A$4:$K$15,10,FALSE),
                    IF(LEFT(Data!F17,1)="4",
                        VLOOKUP(F17,'HI Data'!$A$28:$K$34,10,FALSE),
                        "series error")
                ),
                IF(ISBLANK(A17)=TRUE, "", "series error")
            )
        )
    )
))</f>
        <v>7/8</v>
      </c>
      <c r="N17" s="91" t="str">
        <f>IF(E17="CSB",
    (IF(LEFT(Data!F17,2)="30",
        VLOOKUP(K17,'CSB Data'!$A$4:$L$53,11,FALSE),
        IF(LEFT(Data!F17,2)="35",
            VLOOKUP(K17,'CSB Data'!$N$4:$Y$39,11,FALSE))
    )),
    (IF(E17="Hse",
        IF(ISBLANK(A17)=TRUE, "",
            VLOOKUP(J17,Sheet1!$AA$4:$AQ$52,14,FALSE)),
        IF(E17="HDe",
            IF(ISBLANK(A17)=TRUE, "",
                VLOOKUP(J17,Sheet1!$AU$3:$BJ$19,14,FALSE)),
            IF(E17="HI",
                IF(LEFT(Data!F17,1)="3",
                    VLOOKUP(F17,'HI Data'!$A$4:$K$15,11,FALSE),
                    IF(LEFT(Data!F17,1)="4",
                        VLOOKUP(F17,'HI Data'!$A$28:$K$34,11,FALSE),
                        "series error")
                ),
                IF(ISBLANK(A17)=TRUE, "", "series error")
            )
        )
    )
))</f>
        <v>1/2</v>
      </c>
      <c r="O17" s="3"/>
      <c r="P17" s="91" t="str">
        <f t="shared" si="6"/>
        <v>7/8</v>
      </c>
      <c r="Q17" s="91" t="str">
        <f t="shared" si="7"/>
        <v>7/8  &gt;  3/4</v>
      </c>
      <c r="R17" s="91" t="str">
        <f t="shared" si="8"/>
        <v>3/4</v>
      </c>
      <c r="S17" s="273" t="s">
        <v>583</v>
      </c>
      <c r="T17" s="273" t="s">
        <v>584</v>
      </c>
      <c r="U17" s="108" t="s">
        <v>89</v>
      </c>
      <c r="V17" s="108" t="s">
        <v>86</v>
      </c>
      <c r="W17" s="108" t="s">
        <v>5</v>
      </c>
      <c r="X17" s="270" t="s">
        <v>108</v>
      </c>
      <c r="Y17" s="91" t="str">
        <f t="shared" si="1"/>
        <v>1/2 Castel</v>
      </c>
      <c r="Z17" s="91" t="str">
        <f t="shared" si="2"/>
        <v xml:space="preserve"> IN COIL</v>
      </c>
      <c r="AA17" s="91" t="s">
        <v>576</v>
      </c>
      <c r="AB17" t="str">
        <f t="shared" si="9"/>
        <v>7/8  &gt;  3/4</v>
      </c>
      <c r="AC17" s="105">
        <f>IF(E17="CSB",
    (IF(LEFT(Data!F17,2)="30",
        (VLOOKUP(K17,'CSB Data'!$A$4:$L$53,4,FALSE)+1)*2,
        IF(LEFT(Data!F17,2)="35",(
            VLOOKUP(K17,'CSB Data'!$N$4:$Y$39,4,FALSE)+1)*2)
    )),
    (IF(E17="Hse",
        IF(ISBLANK(A17)=TRUE, "",
            VLOOKUP(J17,Sheet1!$AA$4:$AQ$52,13,FALSE)),
        IF(E17="HDe",
            IF(ISBLANK(A17)=TRUE, "",
                VLOOKUP(J17,Sheet1!$AU$3:$BJ$19,13,FALSE)),
            IF(E17="HI",
                IF(LEFT(Data!F17,1)="3",
                    (VLOOKUP(F17,'HI Data'!$A$4:$K$15,4,FALSE)+1)*2,
                    IF(LEFT(Data!F17,1)="4",
                        (VLOOKUP(F17,'HI Data'!$A$28:$K$34,10,FALSE)+1)*2,
                        "series error")
                ),
                IF(ISBLANK(A17)=TRUE, "", "series error")
            )
        )
    )
))</f>
        <v>6</v>
      </c>
      <c r="AD17">
        <f t="shared" si="3"/>
        <v>6</v>
      </c>
      <c r="AH17" s="120"/>
      <c r="AI17" s="127" t="s">
        <v>86</v>
      </c>
      <c r="AJ17" s="128" t="s">
        <v>87</v>
      </c>
      <c r="AK17" s="128">
        <f>SUMIF($R$13:$R$50,"1/2*",$L$13:$L$50)</f>
        <v>0</v>
      </c>
      <c r="AM17" s="115"/>
      <c r="AS17" s="110" t="s">
        <v>12</v>
      </c>
    </row>
    <row r="18" spans="1:45" x14ac:dyDescent="0.3">
      <c r="A18" s="108" t="s">
        <v>619</v>
      </c>
      <c r="B18" s="108" t="s">
        <v>607</v>
      </c>
      <c r="C18" s="108" t="s">
        <v>282</v>
      </c>
      <c r="D18" s="108" t="s">
        <v>7</v>
      </c>
      <c r="E18" s="108" t="s">
        <v>593</v>
      </c>
      <c r="F18" s="108">
        <v>3023</v>
      </c>
      <c r="G18" s="108">
        <v>3</v>
      </c>
      <c r="H18" s="257" t="str">
        <f t="shared" si="4"/>
        <v>E</v>
      </c>
      <c r="I18" s="108">
        <v>1</v>
      </c>
      <c r="J18" s="91" t="str">
        <f t="shared" si="0"/>
        <v>3023-13NX0</v>
      </c>
      <c r="K18" s="91" t="str">
        <f t="shared" si="5"/>
        <v>HI 3023L</v>
      </c>
      <c r="L18" s="108">
        <v>1</v>
      </c>
      <c r="M18" s="91" t="str">
        <f>IF(E18="CSB",
    (IF(LEFT(Data!F18,2)="30",
        VLOOKUP(K18,'CSB Data'!$A$4:$L$53,10,FALSE),
        IF(LEFT(Data!F18,2)="35",
            VLOOKUP(K18,'CSB Data'!$N$4:$Y$39,10,FALSE))
    )),
    (IF(E18="Hse",
        IF(ISBLANK(A18)=TRUE, "",
            VLOOKUP(J18,Sheet1!$AA$4:$AQ$52,13,FALSE)),
        IF(E18="HDe",
            IF(ISBLANK(A18)=TRUE, "",
                VLOOKUP(J18,Sheet1!$AU$3:$BJ$19,13,FALSE)),
            IF(E18="HI",
                IF(LEFT(Data!F18,1)="3",
                    VLOOKUP(F18,'HI Data'!$A$4:$K$15,10,FALSE),
                    IF(LEFT(Data!F18,1)="4",
                        VLOOKUP(F18,'HI Data'!$A$28:$K$34,10,FALSE),
                        "series error")
                ),
                IF(ISBLANK(A18)=TRUE, "", "series error")
            )
        )
    )
))</f>
        <v>7/8</v>
      </c>
      <c r="N18" s="91" t="str">
        <f>IF(E18="CSB",
    (IF(LEFT(Data!F18,2)="30",
        VLOOKUP(K18,'CSB Data'!$A$4:$L$53,11,FALSE),
        IF(LEFT(Data!F18,2)="35",
            VLOOKUP(K18,'CSB Data'!$N$4:$Y$39,11,FALSE))
    )),
    (IF(E18="Hse",
        IF(ISBLANK(A18)=TRUE, "",
            VLOOKUP(J18,Sheet1!$AA$4:$AQ$52,14,FALSE)),
        IF(E18="HDe",
            IF(ISBLANK(A18)=TRUE, "",
                VLOOKUP(J18,Sheet1!$AU$3:$BJ$19,14,FALSE)),
            IF(E18="HI",
                IF(LEFT(Data!F18,1)="3",
                    VLOOKUP(F18,'HI Data'!$A$4:$K$15,11,FALSE),
                    IF(LEFT(Data!F18,1)="4",
                        VLOOKUP(F18,'HI Data'!$A$28:$K$34,11,FALSE),
                        "series error")
                ),
                IF(ISBLANK(A18)=TRUE, "", "series error")
            )
        )
    )
))</f>
        <v>1/2</v>
      </c>
      <c r="O18" s="3"/>
      <c r="P18" s="91" t="str">
        <f t="shared" si="6"/>
        <v>7/8</v>
      </c>
      <c r="Q18" s="91" t="str">
        <f t="shared" si="7"/>
        <v>NONE</v>
      </c>
      <c r="R18" s="91" t="str">
        <f t="shared" si="8"/>
        <v>7/8</v>
      </c>
      <c r="S18" s="273" t="s">
        <v>583</v>
      </c>
      <c r="T18" s="273" t="s">
        <v>584</v>
      </c>
      <c r="U18" s="108" t="s">
        <v>90</v>
      </c>
      <c r="V18" s="108" t="s">
        <v>86</v>
      </c>
      <c r="W18" s="108" t="s">
        <v>5</v>
      </c>
      <c r="X18" s="270" t="s">
        <v>108</v>
      </c>
      <c r="Y18" s="91" t="str">
        <f t="shared" si="1"/>
        <v>1/2 Castel</v>
      </c>
      <c r="Z18" s="91" t="str">
        <f t="shared" si="2"/>
        <v xml:space="preserve"> IN COIL</v>
      </c>
      <c r="AA18" s="91" t="s">
        <v>576</v>
      </c>
      <c r="AB18" t="str">
        <f t="shared" si="9"/>
        <v>N/A</v>
      </c>
      <c r="AC18" s="105">
        <f>IF(E18="CSB",
    (IF(LEFT(Data!F18,2)="30",
        (VLOOKUP(K18,'CSB Data'!$A$4:$L$53,4,FALSE)+1)*2,
        IF(LEFT(Data!F18,2)="35",(
            VLOOKUP(K18,'CSB Data'!$N$4:$Y$39,4,FALSE)+1)*2)
    )),
    (IF(E18="Hse",
        IF(ISBLANK(A18)=TRUE, "",
            VLOOKUP(J18,Sheet1!$AA$4:$AQ$52,13,FALSE)),
        IF(E18="HDe",
            IF(ISBLANK(A18)=TRUE, "",
                VLOOKUP(J18,Sheet1!$AU$3:$BJ$19,13,FALSE)),
            IF(E18="HI",
                IF(LEFT(Data!F18,1)="3",
                    (VLOOKUP(F18,'HI Data'!$A$4:$K$15,4,FALSE)+1)*2,
                    IF(LEFT(Data!F18,1)="4",
                        (VLOOKUP(F18,'HI Data'!$A$28:$K$34,10,FALSE)+1)*2,
                        "series error")
                ),
                IF(ISBLANK(A18)=TRUE, "", "series error")
            )
        )
    )
))</f>
        <v>6</v>
      </c>
      <c r="AD18">
        <f t="shared" si="3"/>
        <v>6</v>
      </c>
      <c r="AH18" s="120"/>
      <c r="AI18" s="129" t="s">
        <v>88</v>
      </c>
      <c r="AJ18" s="91" t="s">
        <v>87</v>
      </c>
      <c r="AK18" s="91">
        <f>SUMIF($R$13:$R$50,"5/8*",$L$13:$L$50)</f>
        <v>0</v>
      </c>
      <c r="AM18" s="115"/>
      <c r="AS18" s="110" t="s">
        <v>447</v>
      </c>
    </row>
    <row r="19" spans="1:45" x14ac:dyDescent="0.3">
      <c r="A19" s="108" t="s">
        <v>620</v>
      </c>
      <c r="B19" s="108" t="s">
        <v>608</v>
      </c>
      <c r="C19" s="108" t="s">
        <v>281</v>
      </c>
      <c r="D19" s="108" t="s">
        <v>301</v>
      </c>
      <c r="E19" s="108" t="s">
        <v>593</v>
      </c>
      <c r="F19" s="108">
        <v>3024</v>
      </c>
      <c r="G19" s="108">
        <v>4</v>
      </c>
      <c r="H19" s="257" t="str">
        <f>IF(ISBLANK(A19)=TRUE,"",IF(C19="DT","N","E"))</f>
        <v>N</v>
      </c>
      <c r="I19" s="108">
        <v>1</v>
      </c>
      <c r="J19" s="91" t="str">
        <f t="shared" si="0"/>
        <v>3024-14NX0</v>
      </c>
      <c r="K19" s="91" t="str">
        <f t="shared" si="5"/>
        <v>HI 3024H</v>
      </c>
      <c r="L19" s="108">
        <v>1</v>
      </c>
      <c r="M19" s="91" t="str">
        <f>IF(E19="CSB",
    (IF(LEFT(Data!F19,2)="30",
        VLOOKUP(K19,'CSB Data'!$A$4:$L$53,10,FALSE),
        IF(LEFT(Data!F19,2)="35",
            VLOOKUP(K19,'CSB Data'!$N$4:$Y$39,10,FALSE))
    )),
    (IF(E19="Hse",
        IF(ISBLANK(A19)=TRUE, "",
            VLOOKUP(J19,Sheet1!$AA$4:$AQ$52,13,FALSE)),
        IF(E19="HDe",
            IF(ISBLANK(A19)=TRUE, "",
                VLOOKUP(J19,Sheet1!$AU$3:$BJ$19,13,FALSE)),
            IF(E19="HI",
                IF(LEFT(Data!F19,1)="3",
                    VLOOKUP(F19,'HI Data'!$A$4:$K$15,10,FALSE),
                    IF(LEFT(Data!F19,1)="4",
                        VLOOKUP(F19,'HI Data'!$A$28:$K$34,10,FALSE),
                        "series error")
                ),
                IF(ISBLANK(A19)=TRUE, "", "series error")
            )
        )
    )
))</f>
        <v>7/8</v>
      </c>
      <c r="N19" s="91" t="str">
        <f>IF(E19="CSB",
    (IF(LEFT(Data!F19,2)="30",
        VLOOKUP(K19,'CSB Data'!$A$4:$L$53,11,FALSE),
        IF(LEFT(Data!F19,2)="35",
            VLOOKUP(K19,'CSB Data'!$N$4:$Y$39,11,FALSE))
    )),
    (IF(E19="Hse",
        IF(ISBLANK(A19)=TRUE, "",
            VLOOKUP(J19,Sheet1!$AA$4:$AQ$52,14,FALSE)),
        IF(E19="HDe",
            IF(ISBLANK(A19)=TRUE, "",
                VLOOKUP(J19,Sheet1!$AU$3:$BJ$19,14,FALSE)),
            IF(E19="HI",
                IF(LEFT(Data!F19,1)="3",
                    VLOOKUP(F19,'HI Data'!$A$4:$K$15,11,FALSE),
                    IF(LEFT(Data!F19,1)="4",
                        VLOOKUP(F19,'HI Data'!$A$28:$K$34,11,FALSE),
                        "series error")
                ),
                IF(ISBLANK(A19)=TRUE, "", "series error")
            )
        )
    )
))</f>
        <v>1/2</v>
      </c>
      <c r="O19" s="3"/>
      <c r="P19" s="91" t="str">
        <f t="shared" si="6"/>
        <v>7/8</v>
      </c>
      <c r="Q19" s="91" t="str">
        <f t="shared" si="7"/>
        <v>7/8  &gt;  3/4</v>
      </c>
      <c r="R19" s="91" t="str">
        <f t="shared" si="8"/>
        <v>3/4</v>
      </c>
      <c r="S19" s="273" t="s">
        <v>583</v>
      </c>
      <c r="T19" s="110" t="s">
        <v>584</v>
      </c>
      <c r="U19" s="108" t="s">
        <v>89</v>
      </c>
      <c r="V19" s="108" t="s">
        <v>86</v>
      </c>
      <c r="W19" s="108" t="s">
        <v>5</v>
      </c>
      <c r="X19" s="270" t="s">
        <v>109</v>
      </c>
      <c r="Y19" s="91" t="str">
        <f t="shared" si="1"/>
        <v>1/2 Castel</v>
      </c>
      <c r="Z19" s="91" t="str">
        <f t="shared" si="2"/>
        <v xml:space="preserve"> IN COIL</v>
      </c>
      <c r="AA19" s="91" t="s">
        <v>576</v>
      </c>
      <c r="AB19" t="str">
        <f t="shared" si="9"/>
        <v>7/8  &gt;  3/4</v>
      </c>
      <c r="AC19" s="105">
        <f>IF(E19="CSB",
    (IF(LEFT(Data!F19,2)="30",
        (VLOOKUP(K19,'CSB Data'!$A$4:$L$53,4,FALSE)+1)*2,
        IF(LEFT(Data!F19,2)="35",(
            VLOOKUP(K19,'CSB Data'!$N$4:$Y$39,4,FALSE)+1)*2)
    )),
    (IF(E19="Hse",
        IF(ISBLANK(A19)=TRUE, "",
            VLOOKUP(J19,Sheet1!$AA$4:$AQ$52,13,FALSE)),
        IF(E19="HDe",
            IF(ISBLANK(A19)=TRUE, "",
                VLOOKUP(J19,Sheet1!$AU$3:$BJ$19,13,FALSE)),
            IF(E19="HI",
                IF(LEFT(Data!F19,1)="3",
                    (VLOOKUP(F19,'HI Data'!$A$4:$K$15,4,FALSE)+1)*2,
                    IF(LEFT(Data!F19,1)="4",
                        (VLOOKUP(F19,'HI Data'!$A$28:$K$34,10,FALSE)+1)*2,
                        "series error")
                ),
                IF(ISBLANK(A19)=TRUE, "", "series error")
            )
        )
    )
))</f>
        <v>6</v>
      </c>
      <c r="AD19">
        <f t="shared" si="3"/>
        <v>6</v>
      </c>
      <c r="AH19" s="120"/>
      <c r="AI19" s="129" t="s">
        <v>89</v>
      </c>
      <c r="AJ19" s="91" t="s">
        <v>87</v>
      </c>
      <c r="AK19" s="91">
        <f>SUMIF($R$13:$R$50,"3/4*",$L$13:$L$50)</f>
        <v>2</v>
      </c>
      <c r="AM19" s="115"/>
      <c r="AS19" s="110" t="s">
        <v>448</v>
      </c>
    </row>
    <row r="20" spans="1:45" x14ac:dyDescent="0.3">
      <c r="A20" s="108" t="s">
        <v>622</v>
      </c>
      <c r="B20" s="108" t="s">
        <v>609</v>
      </c>
      <c r="C20" s="108" t="s">
        <v>281</v>
      </c>
      <c r="D20" s="108" t="s">
        <v>302</v>
      </c>
      <c r="E20" s="108" t="s">
        <v>593</v>
      </c>
      <c r="F20" s="108">
        <v>3054</v>
      </c>
      <c r="G20" s="108">
        <v>4</v>
      </c>
      <c r="H20" s="257" t="str">
        <f t="shared" si="4"/>
        <v>N</v>
      </c>
      <c r="I20" s="108">
        <v>1</v>
      </c>
      <c r="J20" s="91" t="str">
        <f t="shared" si="0"/>
        <v>3054-14NX0</v>
      </c>
      <c r="K20" s="91" t="str">
        <f t="shared" si="5"/>
        <v>HI 3054H</v>
      </c>
      <c r="L20" s="108">
        <v>1</v>
      </c>
      <c r="M20" s="91" t="str">
        <f>IF(E20="CSB",
    (IF(LEFT(Data!F20,2)="30",
        VLOOKUP(K20,'CSB Data'!$A$4:$L$53,10,FALSE),
        IF(LEFT(Data!F20,2)="35",
            VLOOKUP(K20,'CSB Data'!$N$4:$Y$39,10,FALSE))
    )),
    (IF(E20="Hse",
        IF(ISBLANK(A20)=TRUE, "",
            VLOOKUP(J20,Sheet1!$AA$4:$AQ$52,13,FALSE)),
        IF(E20="HDe",
            IF(ISBLANK(A20)=TRUE, "",
                VLOOKUP(J20,Sheet1!$AU$3:$BJ$19,13,FALSE)),
            IF(E20="HI",
                IF(LEFT(Data!F20,1)="3",
                    VLOOKUP(F20,'HI Data'!$A$4:$K$15,10,FALSE),
                    IF(LEFT(Data!F20,1)="4",
                        VLOOKUP(F20,'HI Data'!$A$28:$K$34,10,FALSE),
                        "series error")
                ),
                IF(ISBLANK(A20)=TRUE, "", "series error")
            )
        )
    )
))</f>
        <v>1-1/8</v>
      </c>
      <c r="N20" s="91" t="str">
        <f>IF(E20="CSB",
    (IF(LEFT(Data!F20,2)="30",
        VLOOKUP(K20,'CSB Data'!$A$4:$L$53,11,FALSE),
        IF(LEFT(Data!F20,2)="35",
            VLOOKUP(K20,'CSB Data'!$N$4:$Y$39,11,FALSE))
    )),
    (IF(E20="Hse",
        IF(ISBLANK(A20)=TRUE, "",
            VLOOKUP(J20,Sheet1!$AA$4:$AQ$52,14,FALSE)),
        IF(E20="HDe",
            IF(ISBLANK(A20)=TRUE, "",
                VLOOKUP(J20,Sheet1!$AU$3:$BJ$19,14,FALSE)),
            IF(E20="HI",
                IF(LEFT(Data!F20,1)="3",
                    VLOOKUP(F20,'HI Data'!$A$4:$K$15,11,FALSE),
                    IF(LEFT(Data!F20,1)="4",
                        VLOOKUP(F20,'HI Data'!$A$28:$K$34,11,FALSE),
                        "series error")
                ),
                IF(ISBLANK(A20)=TRUE, "", "series error")
            )
        )
    )
))</f>
        <v>5/8</v>
      </c>
      <c r="O20" s="3"/>
      <c r="P20" s="91" t="str">
        <f t="shared" si="6"/>
        <v>1-1/8</v>
      </c>
      <c r="Q20" s="91" t="str">
        <f t="shared" si="7"/>
        <v>NONE</v>
      </c>
      <c r="R20" s="91" t="str">
        <f t="shared" si="8"/>
        <v>1-1/8</v>
      </c>
      <c r="S20" s="273" t="s">
        <v>582</v>
      </c>
      <c r="T20" s="273" t="s">
        <v>579</v>
      </c>
      <c r="U20" s="108" t="s">
        <v>91</v>
      </c>
      <c r="V20" s="108" t="s">
        <v>88</v>
      </c>
      <c r="W20" s="108" t="s">
        <v>5</v>
      </c>
      <c r="X20" s="270" t="s">
        <v>111</v>
      </c>
      <c r="Y20" s="91" t="str">
        <f t="shared" si="1"/>
        <v>5/8 Castel</v>
      </c>
      <c r="Z20" s="91" t="str">
        <f t="shared" si="2"/>
        <v xml:space="preserve"> IN COIL</v>
      </c>
      <c r="AA20" s="91" t="s">
        <v>576</v>
      </c>
      <c r="AB20" t="str">
        <f t="shared" si="9"/>
        <v>N/A</v>
      </c>
      <c r="AC20" s="105">
        <f>IF(E20="CSB",
    (IF(LEFT(Data!F20,2)="30",
        (VLOOKUP(K20,'CSB Data'!$A$4:$L$53,4,FALSE)+1)*2,
        IF(LEFT(Data!F20,2)="35",(
            VLOOKUP(K20,'CSB Data'!$N$4:$Y$39,4,FALSE)+1)*2)
    )),
    (IF(E20="Hse",
        IF(ISBLANK(A20)=TRUE, "",
            VLOOKUP(J20,Sheet1!$AA$4:$AQ$52,13,FALSE)),
        IF(E20="HDe",
            IF(ISBLANK(A20)=TRUE, "",
                VLOOKUP(J20,Sheet1!$AU$3:$BJ$19,13,FALSE)),
            IF(E20="HI",
                IF(LEFT(Data!F20,1)="3",
                    (VLOOKUP(F20,'HI Data'!$A$4:$K$15,4,FALSE)+1)*2,
                    IF(LEFT(Data!F20,1)="4",
                        (VLOOKUP(F20,'HI Data'!$A$28:$K$34,10,FALSE)+1)*2,
                        "series error")
                ),
                IF(ISBLANK(A20)=TRUE, "", "series error")
            )
        )
    )
))</f>
        <v>12</v>
      </c>
      <c r="AD20">
        <f t="shared" si="3"/>
        <v>12</v>
      </c>
      <c r="AH20" s="120"/>
      <c r="AI20" s="129" t="s">
        <v>90</v>
      </c>
      <c r="AJ20" s="91" t="s">
        <v>87</v>
      </c>
      <c r="AK20" s="91">
        <f>SUMIF($R$13:$R$50,"7/8*",$L$13:$L$50)</f>
        <v>1</v>
      </c>
      <c r="AM20" s="115"/>
      <c r="AS20" s="110" t="s">
        <v>453</v>
      </c>
    </row>
    <row r="21" spans="1:45" x14ac:dyDescent="0.3">
      <c r="A21" s="108" t="s">
        <v>623</v>
      </c>
      <c r="B21" s="108" t="s">
        <v>610</v>
      </c>
      <c r="C21" s="108" t="s">
        <v>281</v>
      </c>
      <c r="D21" s="108" t="s">
        <v>636</v>
      </c>
      <c r="E21" s="108" t="s">
        <v>593</v>
      </c>
      <c r="F21" s="108">
        <v>3043</v>
      </c>
      <c r="G21" s="108">
        <v>3</v>
      </c>
      <c r="H21" s="257" t="str">
        <f t="shared" si="4"/>
        <v>N</v>
      </c>
      <c r="I21" s="108">
        <v>1</v>
      </c>
      <c r="J21" s="91" t="str">
        <f t="shared" si="0"/>
        <v>3043-13NX0</v>
      </c>
      <c r="K21" s="91" t="str">
        <f t="shared" si="5"/>
        <v>HI 3043H</v>
      </c>
      <c r="L21" s="108">
        <v>1</v>
      </c>
      <c r="M21" s="91" t="str">
        <f>IF(E21="CSB",
    (IF(LEFT(Data!F21,2)="30",
        VLOOKUP(K21,'CSB Data'!$A$4:$L$53,10,FALSE),
        IF(LEFT(Data!F21,2)="35",
            VLOOKUP(K21,'CSB Data'!$N$4:$Y$39,10,FALSE))
    )),
    (IF(E21="Hse",
        IF(ISBLANK(A21)=TRUE, "",
            VLOOKUP(J21,Sheet1!$AA$4:$AQ$52,13,FALSE)),
        IF(E21="HDe",
            IF(ISBLANK(A21)=TRUE, "",
                VLOOKUP(J21,Sheet1!$AU$3:$BJ$19,13,FALSE)),
            IF(E21="HI",
                IF(LEFT(Data!F21,1)="3",
                    VLOOKUP(F21,'HI Data'!$A$4:$K$15,10,FALSE),
                    IF(LEFT(Data!F21,1)="4",
                        VLOOKUP(F21,'HI Data'!$A$28:$K$34,10,FALSE),
                        "series error")
                ),
                IF(ISBLANK(A21)=TRUE, "", "series error")
            )
        )
    )
))</f>
        <v>1-1/8</v>
      </c>
      <c r="N21" s="91" t="str">
        <f>IF(E21="CSB",
    (IF(LEFT(Data!F21,2)="30",
        VLOOKUP(K21,'CSB Data'!$A$4:$L$53,11,FALSE),
        IF(LEFT(Data!F21,2)="35",
            VLOOKUP(K21,'CSB Data'!$N$4:$Y$39,11,FALSE))
    )),
    (IF(E21="Hse",
        IF(ISBLANK(A21)=TRUE, "",
            VLOOKUP(J21,Sheet1!$AA$4:$AQ$52,14,FALSE)),
        IF(E21="HDe",
            IF(ISBLANK(A21)=TRUE, "",
                VLOOKUP(J21,Sheet1!$AU$3:$BJ$19,14,FALSE)),
            IF(E21="HI",
                IF(LEFT(Data!F21,1)="3",
                    VLOOKUP(F21,'HI Data'!$A$4:$K$15,11,FALSE),
                    IF(LEFT(Data!F21,1)="4",
                        VLOOKUP(F21,'HI Data'!$A$28:$K$34,11,FALSE),
                        "series error")
                ),
                IF(ISBLANK(A21)=TRUE, "", "series error")
            )
        )
    )
))</f>
        <v>5/8</v>
      </c>
      <c r="O21" s="3"/>
      <c r="P21" s="91" t="str">
        <f t="shared" si="6"/>
        <v>1-1/8</v>
      </c>
      <c r="Q21" s="91" t="str">
        <f t="shared" si="7"/>
        <v>NONE</v>
      </c>
      <c r="R21" s="91" t="str">
        <f t="shared" si="8"/>
        <v>1-1/8</v>
      </c>
      <c r="S21" s="273" t="s">
        <v>583</v>
      </c>
      <c r="T21" s="273" t="s">
        <v>579</v>
      </c>
      <c r="U21" s="108" t="s">
        <v>91</v>
      </c>
      <c r="V21" s="108" t="s">
        <v>86</v>
      </c>
      <c r="W21" s="108" t="s">
        <v>5</v>
      </c>
      <c r="X21" s="270" t="s">
        <v>110</v>
      </c>
      <c r="Y21" s="91" t="str">
        <f t="shared" si="1"/>
        <v>1/2 Castel</v>
      </c>
      <c r="Z21" s="91" t="str">
        <f t="shared" si="2"/>
        <v xml:space="preserve"> IN COIL</v>
      </c>
      <c r="AA21" s="91" t="s">
        <v>576</v>
      </c>
      <c r="AB21" t="str">
        <f t="shared" si="9"/>
        <v>N/A</v>
      </c>
      <c r="AC21" s="105">
        <f>IF(E21="CSB",
    (IF(LEFT(Data!F21,2)="30",
        (VLOOKUP(K21,'CSB Data'!$A$4:$L$53,4,FALSE)+1)*2,
        IF(LEFT(Data!F21,2)="35",(
            VLOOKUP(K21,'CSB Data'!$N$4:$Y$39,4,FALSE)+1)*2)
    )),
    (IF(E21="Hse",
        IF(ISBLANK(A21)=TRUE, "",
            VLOOKUP(J21,Sheet1!$AA$4:$AQ$52,13,FALSE)),
        IF(E21="HDe",
            IF(ISBLANK(A21)=TRUE, "",
                VLOOKUP(J21,Sheet1!$AU$3:$BJ$19,13,FALSE)),
            IF(E21="HI",
                IF(LEFT(Data!F21,1)="3",
                    (VLOOKUP(F21,'HI Data'!$A$4:$K$15,4,FALSE)+1)*2,
                    IF(LEFT(Data!F21,1)="4",
                        (VLOOKUP(F21,'HI Data'!$A$28:$K$34,10,FALSE)+1)*2,
                        "series error")
                ),
                IF(ISBLANK(A21)=TRUE, "", "series error")
            )
        )
    )
))</f>
        <v>10</v>
      </c>
      <c r="AD21">
        <f t="shared" si="3"/>
        <v>10</v>
      </c>
      <c r="AH21" s="120"/>
      <c r="AI21" s="129" t="s">
        <v>91</v>
      </c>
      <c r="AJ21" s="91" t="s">
        <v>87</v>
      </c>
      <c r="AK21" s="91">
        <f>SUMIF($R$13:$R$50,"1-1/8*",$L$13:$L$50)</f>
        <v>10</v>
      </c>
      <c r="AM21" s="115"/>
      <c r="AS21" s="110"/>
    </row>
    <row r="22" spans="1:45" x14ac:dyDescent="0.3">
      <c r="A22" s="108" t="s">
        <v>621</v>
      </c>
      <c r="B22" s="108" t="s">
        <v>611</v>
      </c>
      <c r="C22" s="108" t="s">
        <v>281</v>
      </c>
      <c r="D22" s="108" t="s">
        <v>636</v>
      </c>
      <c r="E22" s="108" t="s">
        <v>593</v>
      </c>
      <c r="F22" s="108">
        <v>3043</v>
      </c>
      <c r="G22" s="108">
        <v>3</v>
      </c>
      <c r="H22" s="257" t="str">
        <f t="shared" si="4"/>
        <v>N</v>
      </c>
      <c r="I22" s="108">
        <v>1</v>
      </c>
      <c r="J22" s="91" t="str">
        <f t="shared" si="0"/>
        <v>3043-13NX0</v>
      </c>
      <c r="K22" s="91" t="str">
        <f t="shared" si="5"/>
        <v>HI 3043H</v>
      </c>
      <c r="L22" s="108">
        <v>1</v>
      </c>
      <c r="M22" s="91" t="str">
        <f>IF(E22="CSB",
    (IF(LEFT(Data!F22,2)="30",
        VLOOKUP(K22,'CSB Data'!$A$4:$L$53,10,FALSE),
        IF(LEFT(Data!F22,2)="35",
            VLOOKUP(K22,'CSB Data'!$N$4:$Y$39,10,FALSE))
    )),
    (IF(E22="Hse",
        IF(ISBLANK(A22)=TRUE, "",
            VLOOKUP(J22,Sheet1!$AA$4:$AQ$52,13,FALSE)),
        IF(E22="HDe",
            IF(ISBLANK(A22)=TRUE, "",
                VLOOKUP(J22,Sheet1!$AU$3:$BJ$19,13,FALSE)),
            IF(E22="HI",
                IF(LEFT(Data!F22,1)="3",
                    VLOOKUP(F22,'HI Data'!$A$4:$K$15,10,FALSE),
                    IF(LEFT(Data!F22,1)="4",
                        VLOOKUP(F22,'HI Data'!$A$28:$K$34,10,FALSE),
                        "series error")
                ),
                IF(ISBLANK(A22)=TRUE, "", "series error")
            )
        )
    )
))</f>
        <v>1-1/8</v>
      </c>
      <c r="N22" s="91" t="str">
        <f>IF(E22="CSB",
    (IF(LEFT(Data!F22,2)="30",
        VLOOKUP(K22,'CSB Data'!$A$4:$L$53,11,FALSE),
        IF(LEFT(Data!F22,2)="35",
            VLOOKUP(K22,'CSB Data'!$N$4:$Y$39,11,FALSE))
    )),
    (IF(E22="Hse",
        IF(ISBLANK(A22)=TRUE, "",
            VLOOKUP(J22,Sheet1!$AA$4:$AQ$52,14,FALSE)),
        IF(E22="HDe",
            IF(ISBLANK(A22)=TRUE, "",
                VLOOKUP(J22,Sheet1!$AU$3:$BJ$19,14,FALSE)),
            IF(E22="HI",
                IF(LEFT(Data!F22,1)="3",
                    VLOOKUP(F22,'HI Data'!$A$4:$K$15,11,FALSE),
                    IF(LEFT(Data!F22,1)="4",
                        VLOOKUP(F22,'HI Data'!$A$28:$K$34,11,FALSE),
                        "series error")
                ),
                IF(ISBLANK(A22)=TRUE, "", "series error")
            )
        )
    )
))</f>
        <v>5/8</v>
      </c>
      <c r="O22" s="3"/>
      <c r="P22" s="91" t="str">
        <f t="shared" si="6"/>
        <v>1-1/8</v>
      </c>
      <c r="Q22" s="91" t="str">
        <f t="shared" si="7"/>
        <v>NONE</v>
      </c>
      <c r="R22" s="91" t="str">
        <f t="shared" si="8"/>
        <v>1-1/8</v>
      </c>
      <c r="S22" s="273" t="s">
        <v>583</v>
      </c>
      <c r="T22" s="273" t="s">
        <v>579</v>
      </c>
      <c r="U22" s="108" t="s">
        <v>91</v>
      </c>
      <c r="V22" s="108" t="s">
        <v>86</v>
      </c>
      <c r="W22" s="108" t="s">
        <v>5</v>
      </c>
      <c r="X22" s="270" t="s">
        <v>110</v>
      </c>
      <c r="Y22" s="91" t="str">
        <f t="shared" si="1"/>
        <v>1/2 Castel</v>
      </c>
      <c r="Z22" s="91" t="str">
        <f t="shared" si="2"/>
        <v xml:space="preserve"> IN COIL</v>
      </c>
      <c r="AA22" s="91" t="s">
        <v>576</v>
      </c>
      <c r="AB22" t="str">
        <f t="shared" si="9"/>
        <v>N/A</v>
      </c>
      <c r="AC22" s="105">
        <f>IF(E22="CSB",
    (IF(LEFT(Data!F22,2)="30",
        (VLOOKUP(K22,'CSB Data'!$A$4:$L$53,4,FALSE)+1)*2,
        IF(LEFT(Data!F22,2)="35",(
            VLOOKUP(K22,'CSB Data'!$N$4:$Y$39,4,FALSE)+1)*2)
    )),
    (IF(E22="Hse",
        IF(ISBLANK(A22)=TRUE, "",
            VLOOKUP(J22,Sheet1!$AA$4:$AQ$52,13,FALSE)),
        IF(E22="HDe",
            IF(ISBLANK(A22)=TRUE, "",
                VLOOKUP(J22,Sheet1!$AU$3:$BJ$19,13,FALSE)),
            IF(E22="HI",
                IF(LEFT(Data!F22,1)="3",
                    (VLOOKUP(F22,'HI Data'!$A$4:$K$15,4,FALSE)+1)*2,
                    IF(LEFT(Data!F22,1)="4",
                        (VLOOKUP(F22,'HI Data'!$A$28:$K$34,10,FALSE)+1)*2,
                        "series error")
                ),
                IF(ISBLANK(A22)=TRUE, "", "series error")
            )
        )
    )
))</f>
        <v>10</v>
      </c>
      <c r="AD22">
        <f t="shared" si="3"/>
        <v>10</v>
      </c>
      <c r="AH22" s="120"/>
      <c r="AI22" s="129" t="s">
        <v>92</v>
      </c>
      <c r="AJ22" s="91" t="s">
        <v>87</v>
      </c>
      <c r="AK22" s="91">
        <f>SUMIF($R$13:$R$50,"1-3/8*",$L$13:$L$50)</f>
        <v>3</v>
      </c>
      <c r="AM22" s="115"/>
      <c r="AN22" s="1"/>
      <c r="AS22" s="110"/>
    </row>
    <row r="23" spans="1:45" x14ac:dyDescent="0.3">
      <c r="A23" s="108" t="s">
        <v>624</v>
      </c>
      <c r="B23" s="108" t="s">
        <v>612</v>
      </c>
      <c r="C23" s="108" t="s">
        <v>282</v>
      </c>
      <c r="D23" s="108" t="s">
        <v>305</v>
      </c>
      <c r="E23" s="108" t="s">
        <v>593</v>
      </c>
      <c r="F23" s="108">
        <v>3044</v>
      </c>
      <c r="G23" s="108">
        <v>4</v>
      </c>
      <c r="H23" s="257" t="str">
        <f t="shared" si="4"/>
        <v>E</v>
      </c>
      <c r="I23" s="108">
        <v>1</v>
      </c>
      <c r="J23" s="91" t="str">
        <f t="shared" si="0"/>
        <v>3044-14NX0</v>
      </c>
      <c r="K23" s="91" t="str">
        <f t="shared" si="5"/>
        <v>HI 3044L</v>
      </c>
      <c r="L23" s="108">
        <v>1</v>
      </c>
      <c r="M23" s="91" t="str">
        <f>IF(E23="CSB",
    (IF(LEFT(Data!F23,2)="30",
        VLOOKUP(K23,'CSB Data'!$A$4:$L$53,10,FALSE),
        IF(LEFT(Data!F23,2)="35",
            VLOOKUP(K23,'CSB Data'!$N$4:$Y$39,10,FALSE))
    )),
    (IF(E23="Hse",
        IF(ISBLANK(A23)=TRUE, "",
            VLOOKUP(J23,Sheet1!$AA$4:$AQ$52,13,FALSE)),
        IF(E23="HDe",
            IF(ISBLANK(A23)=TRUE, "",
                VLOOKUP(J23,Sheet1!$AU$3:$BJ$19,13,FALSE)),
            IF(E23="HI",
                IF(LEFT(Data!F23,1)="3",
                    VLOOKUP(F23,'HI Data'!$A$4:$K$15,10,FALSE),
                    IF(LEFT(Data!F23,1)="4",
                        VLOOKUP(F23,'HI Data'!$A$28:$K$34,10,FALSE),
                        "series error")
                ),
                IF(ISBLANK(A23)=TRUE, "", "series error")
            )
        )
    )
))</f>
        <v>1-1/8</v>
      </c>
      <c r="N23" s="91" t="str">
        <f>IF(E23="CSB",
    (IF(LEFT(Data!F23,2)="30",
        VLOOKUP(K23,'CSB Data'!$A$4:$L$53,11,FALSE),
        IF(LEFT(Data!F23,2)="35",
            VLOOKUP(K23,'CSB Data'!$N$4:$Y$39,11,FALSE))
    )),
    (IF(E23="Hse",
        IF(ISBLANK(A23)=TRUE, "",
            VLOOKUP(J23,Sheet1!$AA$4:$AQ$52,14,FALSE)),
        IF(E23="HDe",
            IF(ISBLANK(A23)=TRUE, "",
                VLOOKUP(J23,Sheet1!$AU$3:$BJ$19,14,FALSE)),
            IF(E23="HI",
                IF(LEFT(Data!F23,1)="3",
                    VLOOKUP(F23,'HI Data'!$A$4:$K$15,11,FALSE),
                    IF(LEFT(Data!F23,1)="4",
                        VLOOKUP(F23,'HI Data'!$A$28:$K$34,11,FALSE),
                        "series error")
                ),
                IF(ISBLANK(A23)=TRUE, "", "series error")
            )
        )
    )
))</f>
        <v>5/8</v>
      </c>
      <c r="O23" s="3"/>
      <c r="P23" s="91" t="str">
        <f t="shared" si="6"/>
        <v>1-1/8</v>
      </c>
      <c r="Q23" s="91" t="str">
        <f t="shared" si="7"/>
        <v>1-3/8  &gt;  1-1/8</v>
      </c>
      <c r="R23" s="91" t="str">
        <f t="shared" si="8"/>
        <v>1-3/8</v>
      </c>
      <c r="S23" s="273" t="s">
        <v>582</v>
      </c>
      <c r="T23" s="273" t="s">
        <v>579</v>
      </c>
      <c r="U23" s="108" t="s">
        <v>92</v>
      </c>
      <c r="V23" s="108" t="s">
        <v>88</v>
      </c>
      <c r="W23" s="108" t="s">
        <v>5</v>
      </c>
      <c r="X23" s="270" t="s">
        <v>110</v>
      </c>
      <c r="Y23" s="91" t="str">
        <f t="shared" si="1"/>
        <v>5/8 Castel</v>
      </c>
      <c r="Z23" s="91" t="str">
        <f t="shared" si="2"/>
        <v xml:space="preserve"> IN COIL</v>
      </c>
      <c r="AA23" s="91" t="s">
        <v>576</v>
      </c>
      <c r="AB23" t="str">
        <f t="shared" si="9"/>
        <v>1-3/8  &gt;  1-1/8</v>
      </c>
      <c r="AC23" s="105">
        <f>IF(E23="CSB",
    (IF(LEFT(Data!F23,2)="30",
        (VLOOKUP(K23,'CSB Data'!$A$4:$L$53,4,FALSE)+1)*2,
        IF(LEFT(Data!F23,2)="35",(
            VLOOKUP(K23,'CSB Data'!$N$4:$Y$39,4,FALSE)+1)*2)
    )),
    (IF(E23="Hse",
        IF(ISBLANK(A23)=TRUE, "",
            VLOOKUP(J23,Sheet1!$AA$4:$AQ$52,13,FALSE)),
        IF(E23="HDe",
            IF(ISBLANK(A23)=TRUE, "",
                VLOOKUP(J23,Sheet1!$AU$3:$BJ$19,13,FALSE)),
            IF(E23="HI",
                IF(LEFT(Data!F23,1)="3",
                    (VLOOKUP(F23,'HI Data'!$A$4:$K$15,4,FALSE)+1)*2,
                    IF(LEFT(Data!F23,1)="4",
                        (VLOOKUP(F23,'HI Data'!$A$28:$K$34,10,FALSE)+1)*2,
                        "series error")
                ),
                IF(ISBLANK(A23)=TRUE, "", "series error")
            )
        )
    )
))</f>
        <v>10</v>
      </c>
      <c r="AD23">
        <f t="shared" si="3"/>
        <v>10</v>
      </c>
      <c r="AH23" s="120"/>
      <c r="AI23" s="129" t="s">
        <v>93</v>
      </c>
      <c r="AJ23" s="91" t="s">
        <v>87</v>
      </c>
      <c r="AK23" s="91">
        <f>SUMIF($R$13:$R$50,"1-5/8*",$L$13:$L$50)</f>
        <v>1</v>
      </c>
      <c r="AM23" s="115"/>
      <c r="AN23" s="1"/>
      <c r="AS23" s="110"/>
    </row>
    <row r="24" spans="1:45" x14ac:dyDescent="0.3">
      <c r="A24" s="108" t="s">
        <v>625</v>
      </c>
      <c r="B24" s="108" t="s">
        <v>613</v>
      </c>
      <c r="C24" s="108" t="s">
        <v>282</v>
      </c>
      <c r="D24" s="108" t="s">
        <v>305</v>
      </c>
      <c r="E24" s="108" t="s">
        <v>593</v>
      </c>
      <c r="F24" s="108">
        <v>3044</v>
      </c>
      <c r="G24" s="108">
        <v>4</v>
      </c>
      <c r="H24" s="257" t="str">
        <f t="shared" ref="H24" si="10">IF(ISBLANK(A24)=TRUE,"",IF(C24="DT","N","E"))</f>
        <v>E</v>
      </c>
      <c r="I24" s="108">
        <v>1</v>
      </c>
      <c r="J24" s="91" t="str">
        <f t="shared" ref="J24" si="11">IF(ISBLANK(A24)=TRUE,"",CONCATENATE(,F24,"-",I24,G24,"N","X","0"))</f>
        <v>3044-14NX0</v>
      </c>
      <c r="K24" s="91" t="str">
        <f t="shared" si="5"/>
        <v>HI 3044L</v>
      </c>
      <c r="L24" s="108">
        <v>1</v>
      </c>
      <c r="M24" s="91" t="str">
        <f>IF(E24="CSB",
    (IF(LEFT(Data!F24,2)="30",
        VLOOKUP(K24,'CSB Data'!$A$4:$L$53,10,FALSE),
        IF(LEFT(Data!F24,2)="35",
            VLOOKUP(K24,'CSB Data'!$N$4:$Y$39,10,FALSE))
    )),
    (IF(E24="Hse",
        IF(ISBLANK(A24)=TRUE, "",
            VLOOKUP(J24,Sheet1!$AA$4:$AQ$52,13,FALSE)),
        IF(E24="HDe",
            IF(ISBLANK(A24)=TRUE, "",
                VLOOKUP(J24,Sheet1!$AU$3:$BJ$19,13,FALSE)),
            IF(E24="HI",
                IF(LEFT(Data!F24,1)="3",
                    VLOOKUP(F24,'HI Data'!$A$4:$K$15,10,FALSE),
                    IF(LEFT(Data!F24,1)="4",
                        VLOOKUP(F24,'HI Data'!$A$28:$K$34,10,FALSE),
                        "series error")
                ),
                IF(ISBLANK(A24)=TRUE, "", "series error")
            )
        )
    )
))</f>
        <v>1-1/8</v>
      </c>
      <c r="N24" s="91" t="str">
        <f>IF(E24="CSB",
    (IF(LEFT(Data!F24,2)="30",
        VLOOKUP(K24,'CSB Data'!$A$4:$L$53,11,FALSE),
        IF(LEFT(Data!F24,2)="35",
            VLOOKUP(K24,'CSB Data'!$N$4:$Y$39,11,FALSE))
    )),
    (IF(E24="Hse",
        IF(ISBLANK(A24)=TRUE, "",
            VLOOKUP(J24,Sheet1!$AA$4:$AQ$52,14,FALSE)),
        IF(E24="HDe",
            IF(ISBLANK(A24)=TRUE, "",
                VLOOKUP(J24,Sheet1!$AU$3:$BJ$19,14,FALSE)),
            IF(E24="HI",
                IF(LEFT(Data!F24,1)="3",
                    VLOOKUP(F24,'HI Data'!$A$4:$K$15,11,FALSE),
                    IF(LEFT(Data!F24,1)="4",
                        VLOOKUP(F24,'HI Data'!$A$28:$K$34,11,FALSE),
                        "series error")
                ),
                IF(ISBLANK(A24)=TRUE, "", "series error")
            )
        )
    )
))</f>
        <v>5/8</v>
      </c>
      <c r="O24" s="3"/>
      <c r="P24" s="91" t="str">
        <f t="shared" ref="P24" si="12">M24</f>
        <v>1-1/8</v>
      </c>
      <c r="Q24" s="91" t="str">
        <f t="shared" si="7"/>
        <v>1-3/8  &gt;  1-1/8</v>
      </c>
      <c r="R24" s="91" t="str">
        <f t="shared" ref="R24" si="13">IF(ISBLANK(A24)=TRUE,"",IF(E24="HDR","NONE",U24))</f>
        <v>1-3/8</v>
      </c>
      <c r="S24" s="273" t="s">
        <v>582</v>
      </c>
      <c r="T24" s="273" t="s">
        <v>579</v>
      </c>
      <c r="U24" s="108" t="s">
        <v>92</v>
      </c>
      <c r="V24" s="108" t="s">
        <v>88</v>
      </c>
      <c r="W24" s="108" t="s">
        <v>5</v>
      </c>
      <c r="X24" s="270" t="s">
        <v>110</v>
      </c>
      <c r="Y24" s="91" t="str">
        <f t="shared" si="1"/>
        <v>5/8 Castel</v>
      </c>
      <c r="Z24" s="91" t="str">
        <f t="shared" ref="Z24" si="14">IF(ISBLANK(A24)=TRUE,"",IF(E24="HSR","IN COIL"," IN COIL"))</f>
        <v xml:space="preserve"> IN COIL</v>
      </c>
      <c r="AA24" s="91" t="s">
        <v>576</v>
      </c>
      <c r="AB24" t="str">
        <f t="shared" ref="AB24" si="15">IF(ISBLANK(Q24)=TRUE,"N/A",IF(Q24="NONE","N/A",Q24))</f>
        <v>1-3/8  &gt;  1-1/8</v>
      </c>
      <c r="AC24" s="105">
        <f>IF(E24="CSB",
    (IF(LEFT(Data!F24,2)="30",
        (VLOOKUP(K24,'CSB Data'!$A$4:$L$53,4,FALSE)+1)*2,
        IF(LEFT(Data!F24,2)="35",(
            VLOOKUP(K24,'CSB Data'!$N$4:$Y$39,4,FALSE)+1)*2)
    )),
    (IF(E24="Hse",
        IF(ISBLANK(A24)=TRUE, "",
            VLOOKUP(J24,Sheet1!$AA$4:$AQ$52,13,FALSE)),
        IF(E24="HDe",
            IF(ISBLANK(A24)=TRUE, "",
                VLOOKUP(J24,Sheet1!$AU$3:$BJ$19,13,FALSE)),
            IF(E24="HI",
                IF(LEFT(Data!F24,1)="3",
                    (VLOOKUP(F24,'HI Data'!$A$4:$K$15,4,FALSE)+1)*2,
                    IF(LEFT(Data!F24,1)="4",
                        (VLOOKUP(F24,'HI Data'!$A$28:$K$34,10,FALSE)+1)*2,
                        "series error")
                ),
                IF(ISBLANK(A24)=TRUE, "", "series error")
            )
        )
    )
))</f>
        <v>10</v>
      </c>
      <c r="AD24">
        <f t="shared" ref="AD24" si="16">IF(ISBLANK(A24)=TRUE,0,AC24*L24)</f>
        <v>10</v>
      </c>
      <c r="AH24" s="120"/>
      <c r="AI24" s="129"/>
      <c r="AJ24" s="91"/>
      <c r="AK24" s="91"/>
      <c r="AM24" s="115"/>
      <c r="AN24" s="1"/>
      <c r="AS24" s="110"/>
    </row>
    <row r="25" spans="1:45" ht="15" thickBot="1" x14ac:dyDescent="0.35">
      <c r="A25" s="108"/>
      <c r="B25" s="108"/>
      <c r="C25" s="108"/>
      <c r="D25" s="108"/>
      <c r="E25" s="108"/>
      <c r="F25" s="108"/>
      <c r="G25" s="108"/>
      <c r="H25" s="257" t="str">
        <f t="shared" si="4"/>
        <v/>
      </c>
      <c r="I25" s="108"/>
      <c r="J25" s="91" t="str">
        <f t="shared" ref="J25:J35" si="17">IF(ISBLANK(A25)=TRUE,"",CONCATENATE(,F25,"-",I25,G25,"N","X","0"))</f>
        <v/>
      </c>
      <c r="K25" s="91" t="str">
        <f t="shared" si="5"/>
        <v/>
      </c>
      <c r="L25" s="108"/>
      <c r="M25" s="91" t="str">
        <f>IF(E25="CSB",
    (IF(LEFT(Data!F25,2)="30",
        VLOOKUP(K25,'CSB Data'!$A$4:$L$53,10,FALSE),
        IF(LEFT(Data!F25,2)="35",
            VLOOKUP(K25,'CSB Data'!$N$4:$Y$39,10,FALSE))
    )),
    (IF(E25="Hse",
        IF(ISBLANK(A25)=TRUE, "",
            VLOOKUP(J25,Sheet1!$AA$4:$AQ$52,13,FALSE)),
        IF(E25="HDe",
            IF(ISBLANK(A25)=TRUE, "",
                VLOOKUP(J25,Sheet1!$AU$3:$BJ$19,13,FALSE)),
            IF(E25="HI",
                IF(LEFT(Data!F25,1)="3",
                    VLOOKUP(F25,'HI Data'!$A$4:$K$15,10,FALSE),
                    IF(LEFT(Data!F25,1)="4",
                        VLOOKUP(F25,'HI Data'!$A$28:$K$34,10,FALSE),
                        "series error")
                ),
                IF(ISBLANK(A25)=TRUE, "", "series error")
            )
        )
    )
))</f>
        <v/>
      </c>
      <c r="N25" s="91" t="str">
        <f>IF(E25="CSB",
    (IF(LEFT(Data!F25,2)="30",
        VLOOKUP(K25,'CSB Data'!$A$4:$L$53,11,FALSE),
        IF(LEFT(Data!F25,2)="35",
            VLOOKUP(K25,'CSB Data'!$N$4:$Y$39,11,FALSE))
    )),
    (IF(E25="Hse",
        IF(ISBLANK(A25)=TRUE, "",
            VLOOKUP(J25,Sheet1!$AA$4:$AQ$52,14,FALSE)),
        IF(E25="HDe",
            IF(ISBLANK(A25)=TRUE, "",
                VLOOKUP(J25,Sheet1!$AU$3:$BJ$19,14,FALSE)),
            IF(E25="HI",
                IF(LEFT(Data!F25,1)="3",
                    VLOOKUP(F25,'HI Data'!$A$4:$K$15,11,FALSE),
                    IF(LEFT(Data!F25,1)="4",
                        VLOOKUP(F25,'HI Data'!$A$28:$K$34,11,FALSE),
                        "series error")
                ),
                IF(ISBLANK(A25)=TRUE, "", "series error")
            )
        )
    )
))</f>
        <v/>
      </c>
      <c r="O25" s="3"/>
      <c r="P25" s="91" t="str">
        <f t="shared" si="6"/>
        <v/>
      </c>
      <c r="Q25" s="91" t="str">
        <f t="shared" si="7"/>
        <v/>
      </c>
      <c r="R25" s="91" t="str">
        <f t="shared" si="8"/>
        <v/>
      </c>
      <c r="S25" s="110"/>
      <c r="T25" s="110"/>
      <c r="U25" s="108"/>
      <c r="V25" s="108"/>
      <c r="W25" s="108"/>
      <c r="X25" s="108"/>
      <c r="Y25" s="91" t="str">
        <f t="shared" si="1"/>
        <v/>
      </c>
      <c r="Z25" s="91" t="str">
        <f t="shared" si="2"/>
        <v/>
      </c>
      <c r="AA25" s="91"/>
      <c r="AB25" t="str">
        <f t="shared" si="9"/>
        <v/>
      </c>
      <c r="AC25" s="105" t="str">
        <f>IF(E25="CSB",
    (IF(LEFT(Data!F25,2)="30",
        (VLOOKUP(K25,'CSB Data'!$A$4:$L$53,4,FALSE)+1)*2,
        IF(LEFT(Data!F25,2)="35",(
            VLOOKUP(K25,'CSB Data'!$N$4:$Y$39,4,FALSE)+1)*2)
    )),
    (IF(E25="Hse",
        IF(ISBLANK(A25)=TRUE, "",
            VLOOKUP(J25,Sheet1!$AA$4:$AQ$52,13,FALSE)),
        IF(E25="HDe",
            IF(ISBLANK(A25)=TRUE, "",
                VLOOKUP(J25,Sheet1!$AU$3:$BJ$19,13,FALSE)),
            IF(E25="HI",
                IF(LEFT(Data!F25,1)="3",
                    (VLOOKUP(F25,'HI Data'!$A$4:$K$15,4,FALSE)+1)*2,
                    IF(LEFT(Data!F25,1)="4",
                        (VLOOKUP(F25,'HI Data'!$A$28:$K$34,10,FALSE)+1)*2,
                        "series error")
                ),
                IF(ISBLANK(A25)=TRUE, "", "series error")
            )
        )
    )
))</f>
        <v/>
      </c>
      <c r="AD25">
        <f t="shared" si="3"/>
        <v>0</v>
      </c>
      <c r="AH25" s="120"/>
      <c r="AK25" s="130">
        <f>SUM(AK17:AK24)</f>
        <v>17</v>
      </c>
      <c r="AM25" s="115"/>
      <c r="AN25" s="1"/>
      <c r="AS25" s="110"/>
    </row>
    <row r="26" spans="1:45" ht="15" thickBot="1" x14ac:dyDescent="0.35">
      <c r="A26" s="108"/>
      <c r="B26" s="108"/>
      <c r="C26" s="108"/>
      <c r="D26" s="108"/>
      <c r="E26" s="108"/>
      <c r="F26" s="108"/>
      <c r="G26" s="108"/>
      <c r="H26" s="257" t="str">
        <f t="shared" si="4"/>
        <v/>
      </c>
      <c r="I26" s="108"/>
      <c r="J26" s="91" t="str">
        <f t="shared" si="17"/>
        <v/>
      </c>
      <c r="K26" s="91" t="str">
        <f t="shared" si="5"/>
        <v/>
      </c>
      <c r="L26" s="108"/>
      <c r="M26" s="91" t="str">
        <f>IF(E26="CSB",
    (IF(LEFT(Data!F26,2)="30",
        VLOOKUP(K26,'CSB Data'!$A$4:$L$53,10,FALSE),
        IF(LEFT(Data!F26,2)="35",
            VLOOKUP(K26,'CSB Data'!$N$4:$Y$39,10,FALSE))
    )),
    (IF(E26="Hse",
        IF(ISBLANK(A26)=TRUE, "",
            VLOOKUP(J26,Sheet1!$AA$4:$AQ$52,13,FALSE)),
        IF(E26="HDe",
            IF(ISBLANK(A26)=TRUE, "",
                VLOOKUP(J26,Sheet1!$AU$3:$BJ$19,13,FALSE)),
            IF(E26="HI",
                IF(LEFT(Data!F26,1)="3",
                    VLOOKUP(F26,'HI Data'!$A$4:$K$15,10,FALSE),
                    IF(LEFT(Data!F26,1)="4",
                        VLOOKUP(F26,'HI Data'!$A$28:$K$34,10,FALSE),
                        "series error")
                ),
                IF(ISBLANK(A26)=TRUE, "", "series error")
            )
        )
    )
))</f>
        <v/>
      </c>
      <c r="N26" s="91" t="str">
        <f>IF(E26="CSB",
    (IF(LEFT(Data!F26,2)="30",
        VLOOKUP(K26,'CSB Data'!$A$4:$L$53,11,FALSE),
        IF(LEFT(Data!F26,2)="35",
            VLOOKUP(K26,'CSB Data'!$N$4:$Y$39,11,FALSE))
    )),
    (IF(E26="Hse",
        IF(ISBLANK(A26)=TRUE, "",
            VLOOKUP(J26,Sheet1!$AA$4:$AQ$52,14,FALSE)),
        IF(E26="HDe",
            IF(ISBLANK(A26)=TRUE, "",
                VLOOKUP(J26,Sheet1!$AU$3:$BJ$19,14,FALSE)),
            IF(E26="HI",
                IF(LEFT(Data!F26,1)="3",
                    VLOOKUP(F26,'HI Data'!$A$4:$K$15,11,FALSE),
                    IF(LEFT(Data!F26,1)="4",
                        VLOOKUP(F26,'HI Data'!$A$28:$K$34,11,FALSE),
                        "series error")
                ),
                IF(ISBLANK(A26)=TRUE, "", "series error")
            )
        )
    )
))</f>
        <v/>
      </c>
      <c r="O26" s="3"/>
      <c r="P26" s="91" t="str">
        <f t="shared" si="6"/>
        <v/>
      </c>
      <c r="Q26" s="91" t="str">
        <f t="shared" si="7"/>
        <v/>
      </c>
      <c r="R26" s="91" t="str">
        <f t="shared" si="8"/>
        <v/>
      </c>
      <c r="S26" s="110"/>
      <c r="T26" s="110"/>
      <c r="U26" s="108"/>
      <c r="V26" s="108"/>
      <c r="W26" s="108"/>
      <c r="X26" s="108"/>
      <c r="Y26" s="91" t="str">
        <f t="shared" si="1"/>
        <v/>
      </c>
      <c r="Z26" s="91" t="str">
        <f t="shared" si="2"/>
        <v/>
      </c>
      <c r="AA26" s="91" t="str">
        <f t="shared" ref="AA26:AA32" si="18">IF(ISBLANK(A26)=TRUE,"",IF(E26="HSR","AT COIL"," AT FAN SIDE"))</f>
        <v/>
      </c>
      <c r="AB26" t="str">
        <f t="shared" si="9"/>
        <v/>
      </c>
      <c r="AC26" s="105" t="str">
        <f>IF(E26="CSB",
    (IF(LEFT(Data!F26,2)="30",
        (VLOOKUP(K26,'CSB Data'!$A$4:$L$53,4,FALSE)+1)*2,
        IF(LEFT(Data!F26,2)="35",(
            VLOOKUP(K26,'CSB Data'!$N$4:$Y$39,4,FALSE)+1)*2)
    )),
    (IF(E26="Hse",
        IF(ISBLANK(A26)=TRUE, "",
            VLOOKUP(J26,Sheet1!$AA$4:$AQ$52,13,FALSE)),
        IF(E26="HDe",
            IF(ISBLANK(A26)=TRUE, "",
                VLOOKUP(J26,Sheet1!$AU$3:$BJ$19,13,FALSE)),
            IF(E26="HI",
                IF(LEFT(Data!F26,1)="3",
                    (VLOOKUP(F26,'HI Data'!$A$4:$K$15,4,FALSE)+1)*2,
                    IF(LEFT(Data!F26,1)="4",
                        (VLOOKUP(F26,'HI Data'!$A$28:$K$34,10,FALSE)+1)*2,
                        "series error")
                ),
                IF(ISBLANK(A26)=TRUE, "", "series error")
            )
        )
    )
))</f>
        <v/>
      </c>
      <c r="AD26">
        <f t="shared" si="3"/>
        <v>0</v>
      </c>
      <c r="AH26" s="299" t="s">
        <v>95</v>
      </c>
      <c r="AI26" s="300"/>
      <c r="AJ26" s="300"/>
      <c r="AK26" s="300"/>
      <c r="AL26" s="300"/>
      <c r="AM26" s="301"/>
      <c r="AN26" s="1"/>
      <c r="AS26" s="110"/>
    </row>
    <row r="27" spans="1:45" ht="15" thickBot="1" x14ac:dyDescent="0.35">
      <c r="A27" s="108"/>
      <c r="B27" s="108"/>
      <c r="C27" s="108"/>
      <c r="D27" s="108"/>
      <c r="E27" s="108"/>
      <c r="F27" s="108"/>
      <c r="G27" s="108"/>
      <c r="H27" s="257" t="str">
        <f t="shared" si="4"/>
        <v/>
      </c>
      <c r="I27" s="108"/>
      <c r="J27" s="91" t="str">
        <f t="shared" si="17"/>
        <v/>
      </c>
      <c r="K27" s="91" t="str">
        <f t="shared" si="5"/>
        <v/>
      </c>
      <c r="L27" s="108"/>
      <c r="M27" s="91" t="str">
        <f>IF(E27="CSB",
    (IF(LEFT(Data!F27,2)="30",
        VLOOKUP(K27,'CSB Data'!$A$4:$L$53,10,FALSE),
        IF(LEFT(Data!F27,2)="35",
            VLOOKUP(K27,'CSB Data'!$N$4:$Y$39,10,FALSE))
    )),
    (IF(E27="Hse",
        IF(ISBLANK(A27)=TRUE, "",
            VLOOKUP(J27,Sheet1!$AA$4:$AQ$52,13,FALSE)),
        IF(E27="HDe",
            IF(ISBLANK(A27)=TRUE, "",
                VLOOKUP(J27,Sheet1!$AU$3:$BJ$19,13,FALSE)),
            IF(E27="HI",
                IF(LEFT(Data!F27,1)="3",
                    VLOOKUP(F27,'HI Data'!$A$4:$K$15,10,FALSE),
                    IF(LEFT(Data!F27,1)="4",
                        VLOOKUP(F27,'HI Data'!$A$28:$K$34,10,FALSE),
                        "series error")
                ),
                IF(ISBLANK(A27)=TRUE, "", "series error")
            )
        )
    )
))</f>
        <v/>
      </c>
      <c r="N27" s="91" t="str">
        <f>IF(E27="CSB",
    (IF(LEFT(Data!F27,2)="30",
        VLOOKUP(K27,'CSB Data'!$A$4:$L$53,11,FALSE),
        IF(LEFT(Data!F27,2)="35",
            VLOOKUP(K27,'CSB Data'!$N$4:$Y$39,11,FALSE))
    )),
    (IF(E27="Hse",
        IF(ISBLANK(A27)=TRUE, "",
            VLOOKUP(J27,Sheet1!$AA$4:$AQ$52,14,FALSE)),
        IF(E27="HDe",
            IF(ISBLANK(A27)=TRUE, "",
                VLOOKUP(J27,Sheet1!$AU$3:$BJ$19,14,FALSE)),
            IF(E27="HI",
                IF(LEFT(Data!F27,1)="3",
                    VLOOKUP(F27,'HI Data'!$A$4:$K$15,11,FALSE),
                    IF(LEFT(Data!F27,1)="4",
                        VLOOKUP(F27,'HI Data'!$A$28:$K$34,11,FALSE),
                        "series error")
                ),
                IF(ISBLANK(A27)=TRUE, "", "series error")
            )
        )
    )
))</f>
        <v/>
      </c>
      <c r="O27" s="3"/>
      <c r="P27" s="91" t="str">
        <f t="shared" si="6"/>
        <v/>
      </c>
      <c r="Q27" s="91" t="str">
        <f t="shared" si="7"/>
        <v/>
      </c>
      <c r="R27" s="91" t="str">
        <f t="shared" si="8"/>
        <v/>
      </c>
      <c r="S27" s="110"/>
      <c r="T27" s="110"/>
      <c r="U27" s="108"/>
      <c r="V27" s="108"/>
      <c r="W27" s="108"/>
      <c r="X27" s="108"/>
      <c r="Y27" s="91" t="str">
        <f t="shared" si="1"/>
        <v/>
      </c>
      <c r="Z27" s="91" t="str">
        <f t="shared" si="2"/>
        <v/>
      </c>
      <c r="AA27" s="91" t="str">
        <f t="shared" si="18"/>
        <v/>
      </c>
      <c r="AB27" t="str">
        <f t="shared" si="9"/>
        <v/>
      </c>
      <c r="AC27" s="105" t="str">
        <f>IF(E27="CSB",
    (IF(LEFT(Data!F27,2)="30",
        (VLOOKUP(K27,'CSB Data'!$A$4:$L$53,4,FALSE)+1)*2,
        IF(LEFT(Data!F27,2)="35",(
            VLOOKUP(K27,'CSB Data'!$N$4:$Y$39,4,FALSE)+1)*2)
    )),
    (IF(E27="Hse",
        IF(ISBLANK(A27)=TRUE, "",
            VLOOKUP(J27,Sheet1!$AA$4:$AQ$52,13,FALSE)),
        IF(E27="HDe",
            IF(ISBLANK(A27)=TRUE, "",
                VLOOKUP(J27,Sheet1!$AU$3:$BJ$19,13,FALSE)),
            IF(E27="HI",
                IF(LEFT(Data!F27,1)="3",
                    (VLOOKUP(F27,'HI Data'!$A$4:$K$15,4,FALSE)+1)*2,
                    IF(LEFT(Data!F27,1)="4",
                        (VLOOKUP(F27,'HI Data'!$A$28:$K$34,10,FALSE)+1)*2,
                        "series error")
                ),
                IF(ISBLANK(A27)=TRUE, "", "series error")
            )
        )
    )
))</f>
        <v/>
      </c>
      <c r="AD27">
        <f t="shared" si="3"/>
        <v>0</v>
      </c>
      <c r="AH27" s="120"/>
      <c r="AI27" s="131"/>
      <c r="AJ27" s="114"/>
      <c r="AK27" s="114"/>
      <c r="AM27" s="115"/>
      <c r="AN27" s="1"/>
    </row>
    <row r="28" spans="1:45" ht="15" thickBot="1" x14ac:dyDescent="0.35">
      <c r="A28" s="108"/>
      <c r="B28" s="108"/>
      <c r="C28" s="108"/>
      <c r="D28" s="108"/>
      <c r="E28" s="108"/>
      <c r="F28" s="108"/>
      <c r="G28" s="108"/>
      <c r="H28" s="257" t="str">
        <f t="shared" si="4"/>
        <v/>
      </c>
      <c r="I28" s="108"/>
      <c r="J28" s="91" t="str">
        <f t="shared" si="17"/>
        <v/>
      </c>
      <c r="K28" s="91" t="str">
        <f t="shared" si="5"/>
        <v/>
      </c>
      <c r="L28" s="108"/>
      <c r="M28" s="91" t="str">
        <f>IF(E28="CSB",
    (IF(LEFT(Data!F28,2)="30",
        VLOOKUP(K28,'CSB Data'!$A$4:$L$53,10,FALSE),
        IF(LEFT(Data!F28,2)="35",
            VLOOKUP(K28,'CSB Data'!$N$4:$Y$39,10,FALSE))
    )),
    (IF(E28="Hse",
        IF(ISBLANK(A28)=TRUE, "",
            VLOOKUP(J28,Sheet1!$AA$4:$AQ$52,13,FALSE)),
        IF(E28="HDe",
            IF(ISBLANK(A28)=TRUE, "",
                VLOOKUP(J28,Sheet1!$AU$3:$BJ$19,13,FALSE)),
            IF(E28="HI",
                IF(LEFT(Data!F28,1)="3",
                    VLOOKUP(F28,'HI Data'!$A$4:$K$15,10,FALSE),
                    IF(LEFT(Data!F28,1)="4",
                        VLOOKUP(F28,'HI Data'!$A$28:$K$34,10,FALSE),
                        "series error")
                ),
                IF(ISBLANK(A28)=TRUE, "", "series error")
            )
        )
    )
))</f>
        <v/>
      </c>
      <c r="N28" s="91" t="str">
        <f>IF(E28="CSB",
    (IF(LEFT(Data!F28,2)="30",
        VLOOKUP(K28,'CSB Data'!$A$4:$L$53,11,FALSE),
        IF(LEFT(Data!F28,2)="35",
            VLOOKUP(K28,'CSB Data'!$N$4:$Y$39,11,FALSE))
    )),
    (IF(E28="Hse",
        IF(ISBLANK(A28)=TRUE, "",
            VLOOKUP(J28,Sheet1!$AA$4:$AQ$52,14,FALSE)),
        IF(E28="HDe",
            IF(ISBLANK(A28)=TRUE, "",
                VLOOKUP(J28,Sheet1!$AU$3:$BJ$19,14,FALSE)),
            IF(E28="HI",
                IF(LEFT(Data!F28,1)="3",
                    VLOOKUP(F28,'HI Data'!$A$4:$K$15,11,FALSE),
                    IF(LEFT(Data!F28,1)="4",
                        VLOOKUP(F28,'HI Data'!$A$28:$K$34,11,FALSE),
                        "series error")
                ),
                IF(ISBLANK(A28)=TRUE, "", "series error")
            )
        )
    )
))</f>
        <v/>
      </c>
      <c r="O28" s="3"/>
      <c r="P28" s="91" t="str">
        <f t="shared" si="6"/>
        <v/>
      </c>
      <c r="Q28" s="91" t="str">
        <f t="shared" si="7"/>
        <v/>
      </c>
      <c r="R28" s="91" t="str">
        <f t="shared" si="8"/>
        <v/>
      </c>
      <c r="S28" s="110"/>
      <c r="T28" s="110"/>
      <c r="U28" s="108"/>
      <c r="V28" s="108"/>
      <c r="W28" s="108"/>
      <c r="X28" s="108"/>
      <c r="Y28" s="91" t="str">
        <f t="shared" si="1"/>
        <v/>
      </c>
      <c r="Z28" s="91" t="str">
        <f t="shared" si="2"/>
        <v/>
      </c>
      <c r="AA28" s="91" t="str">
        <f t="shared" si="18"/>
        <v/>
      </c>
      <c r="AB28" t="str">
        <f t="shared" si="9"/>
        <v/>
      </c>
      <c r="AC28" s="105" t="str">
        <f>IF(E28="CSB",
    (IF(LEFT(Data!F28,2)="30",
        (VLOOKUP(K28,'CSB Data'!$A$4:$L$53,4,FALSE)+1)*2,
        IF(LEFT(Data!F28,2)="35",(
            VLOOKUP(K28,'CSB Data'!$N$4:$Y$39,4,FALSE)+1)*2)
    )),
    (IF(E28="Hse",
        IF(ISBLANK(A28)=TRUE, "",
            VLOOKUP(J28,Sheet1!$AA$4:$AQ$52,13,FALSE)),
        IF(E28="HDe",
            IF(ISBLANK(A28)=TRUE, "",
                VLOOKUP(J28,Sheet1!$AU$3:$BJ$19,13,FALSE)),
            IF(E28="HI",
                IF(LEFT(Data!F28,1)="3",
                    (VLOOKUP(F28,'HI Data'!$A$4:$K$15,4,FALSE)+1)*2,
                    IF(LEFT(Data!F28,1)="4",
                        (VLOOKUP(F28,'HI Data'!$A$28:$K$34,10,FALSE)+1)*2,
                        "series error")
                ),
                IF(ISBLANK(A28)=TRUE, "", "series error")
            )
        )
    )
))</f>
        <v/>
      </c>
      <c r="AD28">
        <f t="shared" si="3"/>
        <v>0</v>
      </c>
      <c r="AH28" s="120"/>
      <c r="AI28" s="124" t="s">
        <v>83</v>
      </c>
      <c r="AJ28" s="125" t="s">
        <v>84</v>
      </c>
      <c r="AK28" s="126" t="s">
        <v>85</v>
      </c>
      <c r="AM28" s="115"/>
      <c r="AN28" s="1"/>
      <c r="AO28" s="1"/>
      <c r="AP28" s="1"/>
    </row>
    <row r="29" spans="1:45" x14ac:dyDescent="0.3">
      <c r="A29" s="108"/>
      <c r="B29" s="108"/>
      <c r="C29" s="108"/>
      <c r="D29" s="108"/>
      <c r="E29" s="108"/>
      <c r="F29" s="108"/>
      <c r="G29" s="108"/>
      <c r="H29" s="257" t="str">
        <f t="shared" si="4"/>
        <v/>
      </c>
      <c r="I29" s="108"/>
      <c r="J29" s="91" t="str">
        <f t="shared" si="17"/>
        <v/>
      </c>
      <c r="K29" s="91" t="str">
        <f t="shared" si="5"/>
        <v/>
      </c>
      <c r="L29" s="108"/>
      <c r="M29" s="91" t="str">
        <f>IF(E29="CSB",
    (IF(LEFT(Data!F29,2)="30",
        VLOOKUP(K29,'CSB Data'!$A$4:$L$53,10,FALSE),
        IF(LEFT(Data!F29,2)="35",
            VLOOKUP(K29,'CSB Data'!$N$4:$Y$39,10,FALSE))
    )),
    (IF(E29="Hse",
        IF(ISBLANK(A29)=TRUE, "",
            VLOOKUP(J29,Sheet1!$AA$4:$AQ$52,13,FALSE)),
        IF(E29="HDe",
            IF(ISBLANK(A29)=TRUE, "",
                VLOOKUP(J29,Sheet1!$AU$3:$BJ$19,13,FALSE)),
            IF(E29="HI",
                IF(LEFT(Data!F29,1)="3",
                    VLOOKUP(F29,'HI Data'!$A$4:$K$15,10,FALSE),
                    IF(LEFT(Data!F29,1)="4",
                        VLOOKUP(F29,'HI Data'!$A$28:$K$34,10,FALSE),
                        "series error")
                ),
                IF(ISBLANK(A29)=TRUE, "", "series error")
            )
        )
    )
))</f>
        <v/>
      </c>
      <c r="N29" s="91" t="str">
        <f>IF(E29="CSB",
    (IF(LEFT(Data!F29,2)="30",
        VLOOKUP(K29,'CSB Data'!$A$4:$L$53,11,FALSE),
        IF(LEFT(Data!F29,2)="35",
            VLOOKUP(K29,'CSB Data'!$N$4:$Y$39,11,FALSE))
    )),
    (IF(E29="Hse",
        IF(ISBLANK(A29)=TRUE, "",
            VLOOKUP(J29,Sheet1!$AA$4:$AQ$52,14,FALSE)),
        IF(E29="HDe",
            IF(ISBLANK(A29)=TRUE, "",
                VLOOKUP(J29,Sheet1!$AU$3:$BJ$19,14,FALSE)),
            IF(E29="HI",
                IF(LEFT(Data!F29,1)="3",
                    VLOOKUP(F29,'HI Data'!$A$4:$K$15,11,FALSE),
                    IF(LEFT(Data!F29,1)="4",
                        VLOOKUP(F29,'HI Data'!$A$28:$K$34,11,FALSE),
                        "series error")
                ),
                IF(ISBLANK(A29)=TRUE, "", "series error")
            )
        )
    )
))</f>
        <v/>
      </c>
      <c r="O29" s="3"/>
      <c r="P29" s="91" t="str">
        <f t="shared" si="6"/>
        <v/>
      </c>
      <c r="Q29" s="91" t="str">
        <f t="shared" si="7"/>
        <v/>
      </c>
      <c r="R29" s="91" t="str">
        <f t="shared" si="8"/>
        <v/>
      </c>
      <c r="S29" s="110"/>
      <c r="T29" s="110"/>
      <c r="U29" s="108"/>
      <c r="V29" s="108"/>
      <c r="W29" s="108"/>
      <c r="X29" s="108"/>
      <c r="Y29" s="91" t="str">
        <f t="shared" si="1"/>
        <v/>
      </c>
      <c r="Z29" s="91" t="str">
        <f t="shared" si="2"/>
        <v/>
      </c>
      <c r="AA29" s="91" t="str">
        <f t="shared" si="18"/>
        <v/>
      </c>
      <c r="AB29" t="str">
        <f t="shared" si="9"/>
        <v/>
      </c>
      <c r="AC29" s="105" t="str">
        <f>IF(E29="CSB",
    (IF(LEFT(Data!F29,2)="30",
        (VLOOKUP(K29,'CSB Data'!$A$4:$L$53,4,FALSE)+1)*2,
        IF(LEFT(Data!F29,2)="35",(
            VLOOKUP(K29,'CSB Data'!$N$4:$Y$39,4,FALSE)+1)*2)
    )),
    (IF(E29="Hse",
        IF(ISBLANK(A29)=TRUE, "",
            VLOOKUP(J29,Sheet1!$AA$4:$AQ$52,13,FALSE)),
        IF(E29="HDe",
            IF(ISBLANK(A29)=TRUE, "",
                VLOOKUP(J29,Sheet1!$AU$3:$BJ$19,13,FALSE)),
            IF(E29="HI",
                IF(LEFT(Data!F29,1)="3",
                    (VLOOKUP(F29,'HI Data'!$A$4:$K$15,4,FALSE)+1)*2,
                    IF(LEFT(Data!F29,1)="4",
                        (VLOOKUP(F29,'HI Data'!$A$28:$K$34,10,FALSE)+1)*2,
                        "series error")
                ),
                IF(ISBLANK(A29)=TRUE, "", "series error")
            )
        )
    )
))</f>
        <v/>
      </c>
      <c r="AD29">
        <f t="shared" si="3"/>
        <v>0</v>
      </c>
      <c r="AH29" s="120"/>
      <c r="AI29" s="129" t="s">
        <v>86</v>
      </c>
      <c r="AJ29" s="91" t="s">
        <v>87</v>
      </c>
      <c r="AK29" s="91">
        <f>COUNTIF($V$13:$V$50,"1/2*")</f>
        <v>14</v>
      </c>
      <c r="AM29" s="115"/>
      <c r="AN29" s="1"/>
    </row>
    <row r="30" spans="1:45" x14ac:dyDescent="0.3">
      <c r="A30" s="108"/>
      <c r="B30" s="108"/>
      <c r="C30" s="108"/>
      <c r="D30" s="108"/>
      <c r="E30" s="108"/>
      <c r="F30" s="108"/>
      <c r="G30" s="108"/>
      <c r="H30" s="257" t="str">
        <f t="shared" si="4"/>
        <v/>
      </c>
      <c r="I30" s="108"/>
      <c r="J30" s="91" t="str">
        <f t="shared" si="17"/>
        <v/>
      </c>
      <c r="K30" s="91" t="str">
        <f t="shared" si="5"/>
        <v/>
      </c>
      <c r="L30" s="108"/>
      <c r="M30" s="91" t="str">
        <f>IF(E30="CSB",
    (IF(LEFT(Data!F30,2)="30",
        VLOOKUP(K30,'CSB Data'!$A$4:$L$53,10,FALSE),
        IF(LEFT(Data!F30,2)="35",
            VLOOKUP(K30,'CSB Data'!$N$4:$Y$39,10,FALSE))
    )),
    (IF(E30="Hse",
        IF(ISBLANK(A30)=TRUE, "",
            VLOOKUP(J30,Sheet1!$AA$4:$AQ$52,13,FALSE)),
        IF(E30="HDe",
            IF(ISBLANK(A30)=TRUE, "",
                VLOOKUP(J30,Sheet1!$AU$3:$BJ$19,13,FALSE)),
            IF(E30="HI",
                IF(LEFT(Data!F30,1)="3",
                    VLOOKUP(F30,'HI Data'!$A$4:$K$15,10,FALSE),
                    IF(LEFT(Data!F30,1)="4",
                        VLOOKUP(F30,'HI Data'!$A$28:$K$34,10,FALSE),
                        "series error")
                ),
                IF(ISBLANK(A30)=TRUE, "", "series error")
            )
        )
    )
))</f>
        <v/>
      </c>
      <c r="N30" s="91" t="str">
        <f>IF(E30="CSB",
    (IF(LEFT(Data!F30,2)="30",
        VLOOKUP(K30,'CSB Data'!$A$4:$L$53,11,FALSE),
        IF(LEFT(Data!F30,2)="35",
            VLOOKUP(K30,'CSB Data'!$N$4:$Y$39,11,FALSE))
    )),
    (IF(E30="Hse",
        IF(ISBLANK(A30)=TRUE, "",
            VLOOKUP(J30,Sheet1!$AA$4:$AQ$52,14,FALSE)),
        IF(E30="HDe",
            IF(ISBLANK(A30)=TRUE, "",
                VLOOKUP(J30,Sheet1!$AU$3:$BJ$19,14,FALSE)),
            IF(E30="HI",
                IF(LEFT(Data!F30,1)="3",
                    VLOOKUP(F30,'HI Data'!$A$4:$K$15,11,FALSE),
                    IF(LEFT(Data!F30,1)="4",
                        VLOOKUP(F30,'HI Data'!$A$28:$K$34,11,FALSE),
                        "series error")
                ),
                IF(ISBLANK(A30)=TRUE, "", "series error")
            )
        )
    )
))</f>
        <v/>
      </c>
      <c r="O30" s="3"/>
      <c r="P30" s="91" t="str">
        <f t="shared" si="6"/>
        <v/>
      </c>
      <c r="Q30" s="91" t="str">
        <f t="shared" si="7"/>
        <v/>
      </c>
      <c r="R30" s="91" t="str">
        <f t="shared" si="8"/>
        <v/>
      </c>
      <c r="S30" s="110"/>
      <c r="T30" s="110"/>
      <c r="U30" s="108"/>
      <c r="V30" s="108"/>
      <c r="W30" s="108"/>
      <c r="X30" s="108"/>
      <c r="Y30" s="91" t="str">
        <f t="shared" si="1"/>
        <v/>
      </c>
      <c r="Z30" s="91" t="str">
        <f t="shared" si="2"/>
        <v/>
      </c>
      <c r="AA30" s="91" t="str">
        <f t="shared" si="18"/>
        <v/>
      </c>
      <c r="AB30" t="str">
        <f t="shared" si="9"/>
        <v/>
      </c>
      <c r="AC30" s="105" t="str">
        <f>IF(E30="CSB",
    (IF(LEFT(Data!F30,2)="30",
        (VLOOKUP(K30,'CSB Data'!$A$4:$L$53,4,FALSE)+1)*2,
        IF(LEFT(Data!F30,2)="35",(
            VLOOKUP(K30,'CSB Data'!$N$4:$Y$39,4,FALSE)+1)*2)
    )),
    (IF(E30="Hse",
        IF(ISBLANK(A30)=TRUE, "",
            VLOOKUP(J30,Sheet1!$AA$4:$AQ$52,13,FALSE)),
        IF(E30="HDe",
            IF(ISBLANK(A30)=TRUE, "",
                VLOOKUP(J30,Sheet1!$AU$3:$BJ$19,13,FALSE)),
            IF(E30="HI",
                IF(LEFT(Data!F30,1)="3",
                    (VLOOKUP(F30,'HI Data'!$A$4:$K$15,4,FALSE)+1)*2,
                    IF(LEFT(Data!F30,1)="4",
                        (VLOOKUP(F30,'HI Data'!$A$28:$K$34,10,FALSE)+1)*2,
                        "series error")
                ),
                IF(ISBLANK(A30)=TRUE, "", "series error")
            )
        )
    )
))</f>
        <v/>
      </c>
      <c r="AD30">
        <f t="shared" si="3"/>
        <v>0</v>
      </c>
      <c r="AH30" s="120"/>
      <c r="AI30" s="129" t="s">
        <v>88</v>
      </c>
      <c r="AJ30" s="91" t="s">
        <v>87</v>
      </c>
      <c r="AK30" s="91">
        <f>COUNTIF($V$13:$V$50,"5/8*")</f>
        <v>3</v>
      </c>
      <c r="AM30" s="115"/>
      <c r="AN30" s="1"/>
    </row>
    <row r="31" spans="1:45" ht="15" thickBot="1" x14ac:dyDescent="0.35">
      <c r="A31" s="108"/>
      <c r="B31" s="108"/>
      <c r="C31" s="108"/>
      <c r="D31" s="108"/>
      <c r="E31" s="108"/>
      <c r="F31" s="108"/>
      <c r="G31" s="108"/>
      <c r="H31" s="257" t="str">
        <f t="shared" si="4"/>
        <v/>
      </c>
      <c r="I31" s="108"/>
      <c r="J31" s="91" t="str">
        <f t="shared" si="17"/>
        <v/>
      </c>
      <c r="K31" s="91" t="str">
        <f t="shared" si="5"/>
        <v/>
      </c>
      <c r="L31" s="108"/>
      <c r="M31" s="91" t="str">
        <f>IF(E31="CSB",
    (IF(LEFT(Data!F31,2)="30",
        VLOOKUP(K31,'CSB Data'!$A$4:$L$53,10,FALSE),
        IF(LEFT(Data!F31,2)="35",
            VLOOKUP(K31,'CSB Data'!$N$4:$Y$39,10,FALSE))
    )),
    (IF(E31="Hse",
        IF(ISBLANK(A31)=TRUE, "",
            VLOOKUP(J31,Sheet1!$AA$4:$AQ$52,13,FALSE)),
        IF(E31="HDe",
            IF(ISBLANK(A31)=TRUE, "",
                VLOOKUP(J31,Sheet1!$AU$3:$BJ$19,13,FALSE)),
            IF(E31="HI",
                IF(LEFT(Data!F31,1)="3",
                    VLOOKUP(F31,'HI Data'!$A$4:$K$15,10,FALSE),
                    IF(LEFT(Data!F31,1)="4",
                        VLOOKUP(F31,'HI Data'!$A$28:$K$34,10,FALSE),
                        "series error")
                ),
                IF(ISBLANK(A31)=TRUE, "", "series error")
            )
        )
    )
))</f>
        <v/>
      </c>
      <c r="N31" s="91" t="str">
        <f>IF(E31="CSB",
    (IF(LEFT(Data!F31,2)="30",
        VLOOKUP(K31,'CSB Data'!$A$4:$L$53,11,FALSE),
        IF(LEFT(Data!F31,2)="35",
            VLOOKUP(K31,'CSB Data'!$N$4:$Y$39,11,FALSE))
    )),
    (IF(E31="Hse",
        IF(ISBLANK(A31)=TRUE, "",
            VLOOKUP(J31,Sheet1!$AA$4:$AQ$52,14,FALSE)),
        IF(E31="HDe",
            IF(ISBLANK(A31)=TRUE, "",
                VLOOKUP(J31,Sheet1!$AU$3:$BJ$19,14,FALSE)),
            IF(E31="HI",
                IF(LEFT(Data!F31,1)="3",
                    VLOOKUP(F31,'HI Data'!$A$4:$K$15,11,FALSE),
                    IF(LEFT(Data!F31,1)="4",
                        VLOOKUP(F31,'HI Data'!$A$28:$K$34,11,FALSE),
                        "series error")
                ),
                IF(ISBLANK(A31)=TRUE, "", "series error")
            )
        )
    )
))</f>
        <v/>
      </c>
      <c r="O31" s="3"/>
      <c r="P31" s="91" t="str">
        <f t="shared" si="6"/>
        <v/>
      </c>
      <c r="Q31" s="91" t="str">
        <f t="shared" si="7"/>
        <v/>
      </c>
      <c r="R31" s="91" t="str">
        <f t="shared" si="8"/>
        <v/>
      </c>
      <c r="S31" s="110"/>
      <c r="T31" s="110"/>
      <c r="U31" s="108"/>
      <c r="V31" s="108"/>
      <c r="W31" s="108"/>
      <c r="X31" s="108"/>
      <c r="Y31" s="91" t="str">
        <f t="shared" si="1"/>
        <v/>
      </c>
      <c r="Z31" s="91" t="str">
        <f t="shared" si="2"/>
        <v/>
      </c>
      <c r="AA31" s="91" t="str">
        <f t="shared" si="18"/>
        <v/>
      </c>
      <c r="AB31" t="str">
        <f t="shared" si="9"/>
        <v/>
      </c>
      <c r="AC31" s="105" t="str">
        <f>IF(E31="CSB",
    (IF(LEFT(Data!F31,2)="30",
        (VLOOKUP(K31,'CSB Data'!$A$4:$L$53,4,FALSE)+1)*2,
        IF(LEFT(Data!F31,2)="35",(
            VLOOKUP(K31,'CSB Data'!$N$4:$Y$39,4,FALSE)+1)*2)
    )),
    (IF(E31="Hse",
        IF(ISBLANK(A31)=TRUE, "",
            VLOOKUP(J31,Sheet1!$AA$4:$AQ$52,13,FALSE)),
        IF(E31="HDe",
            IF(ISBLANK(A31)=TRUE, "",
                VLOOKUP(J31,Sheet1!$AU$3:$BJ$19,13,FALSE)),
            IF(E31="HI",
                IF(LEFT(Data!F31,1)="3",
                    (VLOOKUP(F31,'HI Data'!$A$4:$K$15,4,FALSE)+1)*2,
                    IF(LEFT(Data!F31,1)="4",
                        (VLOOKUP(F31,'HI Data'!$A$28:$K$34,10,FALSE)+1)*2,
                        "series error")
                ),
                IF(ISBLANK(A31)=TRUE, "", "series error")
            )
        )
    )
))</f>
        <v/>
      </c>
      <c r="AD31">
        <f t="shared" si="3"/>
        <v>0</v>
      </c>
      <c r="AH31" s="120"/>
      <c r="AK31" s="132">
        <f>SUM(AK29:AK30)</f>
        <v>17</v>
      </c>
      <c r="AM31" s="115"/>
      <c r="AN31" s="1"/>
      <c r="AO31" s="1"/>
      <c r="AP31" s="1"/>
    </row>
    <row r="32" spans="1:45" ht="15" thickBot="1" x14ac:dyDescent="0.35">
      <c r="A32" s="108"/>
      <c r="B32" s="108"/>
      <c r="C32" s="108"/>
      <c r="D32" s="108"/>
      <c r="E32" s="108"/>
      <c r="F32" s="108"/>
      <c r="G32" s="108"/>
      <c r="H32" s="257" t="str">
        <f t="shared" si="4"/>
        <v/>
      </c>
      <c r="I32" s="108"/>
      <c r="J32" s="91" t="str">
        <f t="shared" si="17"/>
        <v/>
      </c>
      <c r="K32" s="91" t="str">
        <f t="shared" si="5"/>
        <v/>
      </c>
      <c r="L32" s="108"/>
      <c r="M32" s="91" t="str">
        <f>IF(E32="CSB",
    (IF(LEFT(Data!F32,2)="30",
        VLOOKUP(K32,'CSB Data'!$A$4:$L$53,10,FALSE),
        IF(LEFT(Data!F32,2)="35",
            VLOOKUP(K32,'CSB Data'!$N$4:$Y$39,10,FALSE))
    )),
    (IF(E32="Hse",
        IF(ISBLANK(A32)=TRUE, "",
            VLOOKUP(J32,Sheet1!$AA$4:$AQ$52,13,FALSE)),
        IF(E32="HDe",
            IF(ISBLANK(A32)=TRUE, "",
                VLOOKUP(J32,Sheet1!$AU$3:$BJ$19,13,FALSE)),
            IF(E32="HI",
                IF(LEFT(Data!F32,1)="3",
                    VLOOKUP(F32,'HI Data'!$A$4:$K$15,10,FALSE),
                    IF(LEFT(Data!F32,1)="4",
                        VLOOKUP(F32,'HI Data'!$A$28:$K$34,10,FALSE),
                        "series error")
                ),
                IF(ISBLANK(A32)=TRUE, "", "series error")
            )
        )
    )
))</f>
        <v/>
      </c>
      <c r="N32" s="91" t="str">
        <f>IF(E32="CSB",
    (IF(LEFT(Data!F32,2)="30",
        VLOOKUP(K32,'CSB Data'!$A$4:$L$53,11,FALSE),
        IF(LEFT(Data!F32,2)="35",
            VLOOKUP(K32,'CSB Data'!$N$4:$Y$39,11,FALSE))
    )),
    (IF(E32="Hse",
        IF(ISBLANK(A32)=TRUE, "",
            VLOOKUP(J32,Sheet1!$AA$4:$AQ$52,14,FALSE)),
        IF(E32="HDe",
            IF(ISBLANK(A32)=TRUE, "",
                VLOOKUP(J32,Sheet1!$AU$3:$BJ$19,14,FALSE)),
            IF(E32="HI",
                IF(LEFT(Data!F32,1)="3",
                    VLOOKUP(F32,'HI Data'!$A$4:$K$15,11,FALSE),
                    IF(LEFT(Data!F32,1)="4",
                        VLOOKUP(F32,'HI Data'!$A$28:$K$34,11,FALSE),
                        "series error")
                ),
                IF(ISBLANK(A32)=TRUE, "", "series error")
            )
        )
    )
))</f>
        <v/>
      </c>
      <c r="O32" s="3"/>
      <c r="P32" s="91" t="str">
        <f t="shared" si="6"/>
        <v/>
      </c>
      <c r="Q32" s="91" t="str">
        <f t="shared" si="7"/>
        <v/>
      </c>
      <c r="R32" s="91" t="str">
        <f t="shared" si="8"/>
        <v/>
      </c>
      <c r="S32" s="110"/>
      <c r="T32" s="110"/>
      <c r="U32" s="108"/>
      <c r="V32" s="108"/>
      <c r="W32" s="108"/>
      <c r="X32" s="108"/>
      <c r="Y32" s="91" t="str">
        <f t="shared" si="1"/>
        <v/>
      </c>
      <c r="Z32" s="91" t="str">
        <f t="shared" si="2"/>
        <v/>
      </c>
      <c r="AA32" s="91" t="str">
        <f t="shared" si="18"/>
        <v/>
      </c>
      <c r="AB32" t="str">
        <f t="shared" si="9"/>
        <v/>
      </c>
      <c r="AC32" s="105" t="str">
        <f>IF(E32="CSB",
    (IF(LEFT(Data!F32,2)="30",
        (VLOOKUP(K32,'CSB Data'!$A$4:$L$53,4,FALSE)+1)*2,
        IF(LEFT(Data!F32,2)="35",(
            VLOOKUP(K32,'CSB Data'!$N$4:$Y$39,4,FALSE)+1)*2)
    )),
    (IF(E32="Hse",
        IF(ISBLANK(A32)=TRUE, "",
            VLOOKUP(J32,Sheet1!$AA$4:$AQ$52,13,FALSE)),
        IF(E32="HDe",
            IF(ISBLANK(A32)=TRUE, "",
                VLOOKUP(J32,Sheet1!$AU$3:$BJ$19,13,FALSE)),
            IF(E32="HI",
                IF(LEFT(Data!F32,1)="3",
                    (VLOOKUP(F32,'HI Data'!$A$4:$K$15,4,FALSE)+1)*2,
                    IF(LEFT(Data!F32,1)="4",
                        (VLOOKUP(F32,'HI Data'!$A$28:$K$34,10,FALSE)+1)*2,
                        "series error")
                ),
                IF(ISBLANK(A32)=TRUE, "", "series error")
            )
        )
    )
))</f>
        <v/>
      </c>
      <c r="AD32">
        <f t="shared" si="3"/>
        <v>0</v>
      </c>
      <c r="AH32" s="299" t="s">
        <v>96</v>
      </c>
      <c r="AI32" s="300"/>
      <c r="AJ32" s="300"/>
      <c r="AK32" s="300"/>
      <c r="AL32" s="300"/>
      <c r="AM32" s="301"/>
    </row>
    <row r="33" spans="1:42" ht="15" thickBot="1" x14ac:dyDescent="0.35">
      <c r="A33" s="258"/>
      <c r="B33" s="256"/>
      <c r="C33" s="256"/>
      <c r="D33" s="256"/>
      <c r="E33" s="256"/>
      <c r="F33" s="256"/>
      <c r="G33" s="256"/>
      <c r="H33" s="256"/>
      <c r="I33" s="256"/>
      <c r="J33" s="119" t="str">
        <f t="shared" si="17"/>
        <v/>
      </c>
      <c r="K33" s="258" t="str">
        <f t="shared" si="5"/>
        <v/>
      </c>
      <c r="L33" s="259">
        <f>SUM(L13:L32)</f>
        <v>12</v>
      </c>
      <c r="M33" s="258" t="str">
        <f>IF(E33="CSB",
    (IF(LEFT(Data!F33,2)="30",
        VLOOKUP(K33,'CSB Data'!$A$4:$L$53,10,FALSE),
        IF(LEFT(Data!F33,2)="35",
            VLOOKUP(K33,'CSB Data'!$N$4:$Y$39,10,FALSE))
    )),
    (IF(E33="Hse",
        IF(ISBLANK(A33)=TRUE, "",
            VLOOKUP(J33,Sheet1!$AA$4:$AQ$52,13,FALSE)),
        IF(E33="HDe",
            IF(ISBLANK(A33)=TRUE, "",
                VLOOKUP(J33,Sheet1!$AU$3:$BJ$19,13,FALSE)),
            IF(E33="HI",
                IF(LEFT(Data!F33,1)="3",
                    VLOOKUP(F33,'HI Data'!$A$4:$K$15,10,FALSE),
                    IF(LEFT(Data!F33,1)="4",
                        VLOOKUP(F33,'HI Data'!$A$28:$K$34,10,FALSE),
                        "series error")
                ),
                IF(ISBLANK(A33)=TRUE, "", "series error")
            )
        )
    )
))</f>
        <v/>
      </c>
      <c r="N33" s="258" t="str">
        <f>IF(E33="CSB",
    (IF(LEFT(Data!F33,2)="30",
        VLOOKUP(K33,'CSB Data'!$A$4:$L$53,11,FALSE),
        IF(LEFT(Data!F33,2)="35",
            VLOOKUP(K33,'CSB Data'!$N$4:$Y$39,11,FALSE))
    )),
    (IF(E33="Hse",
        IF(ISBLANK(A33)=TRUE, "",
            VLOOKUP(J33,Sheet1!$AA$4:$AQ$52,14,FALSE)),
        IF(E33="HDe",
            IF(ISBLANK(A33)=TRUE, "",
                VLOOKUP(J33,Sheet1!$AU$3:$BJ$19,14,FALSE)),
            IF(E33="HI",
                IF(LEFT(Data!F33,1)="3",
                    VLOOKUP(F33,'HI Data'!$A$4:$K$15,11,FALSE),
                    IF(LEFT(Data!F33,1)="4",
                        VLOOKUP(F33,'HI Data'!$A$28:$K$34,11,FALSE),
                        "series error")
                ),
                IF(ISBLANK(A33)=TRUE, "", "series error")
            )
        )
    )
))</f>
        <v/>
      </c>
      <c r="O33" s="258"/>
      <c r="P33" s="258"/>
      <c r="Q33" s="258"/>
      <c r="R33" s="258"/>
      <c r="S33" s="258"/>
      <c r="T33" s="119"/>
      <c r="U33" s="256"/>
      <c r="V33" s="256"/>
      <c r="W33" s="256"/>
      <c r="X33" s="256"/>
      <c r="Y33" s="256" t="str">
        <f t="shared" si="1"/>
        <v/>
      </c>
      <c r="Z33" s="119"/>
      <c r="AA33" s="134"/>
      <c r="AB33" t="str">
        <f t="shared" si="9"/>
        <v>N/A</v>
      </c>
      <c r="AC33" s="133" t="str">
        <f>IF(E33="CSB",
    (IF(LEFT(Data!F33,2)="30",
        (VLOOKUP(K33,'CSB Data'!$A$4:$L$53,4,FALSE)+1)*2,
        IF(LEFT(Data!F33,2)="35",(
            VLOOKUP(K33,'CSB Data'!$N$4:$Y$39,4,FALSE)+1)*2)
    )),
    (IF(E33="Hse",
        IF(ISBLANK(A33)=TRUE, "",
            VLOOKUP(J33,Sheet1!$AA$4:$AQ$52,13,FALSE)),
        IF(E33="HDe",
            IF(ISBLANK(A33)=TRUE, "",
                VLOOKUP(J33,Sheet1!$AU$3:$BJ$19,13,FALSE)),
            IF(E33="HI",
                IF(LEFT(Data!F33,1)="3",
                    (VLOOKUP(F33,'HI Data'!$A$4:$K$15,4,FALSE)+1)*2,
                    IF(LEFT(Data!F33,1)="4",
                        (VLOOKUP(F33,'HI Data'!$A$28:$K$34,10,FALSE)+1)*2,
                        "series error")
                ),
                IF(ISBLANK(A33)=TRUE, "", "series error")
            )
        )
    )
))</f>
        <v/>
      </c>
      <c r="AH33" s="120"/>
      <c r="AI33" s="131"/>
      <c r="AJ33" s="114"/>
      <c r="AK33" s="114"/>
      <c r="AM33" s="115"/>
    </row>
    <row r="34" spans="1:42" ht="15" thickBot="1" x14ac:dyDescent="0.35">
      <c r="A34" s="258"/>
      <c r="B34" s="258"/>
      <c r="C34" s="258"/>
      <c r="D34" s="258"/>
      <c r="E34" s="258"/>
      <c r="F34" s="258"/>
      <c r="G34" s="258"/>
      <c r="H34" s="258"/>
      <c r="I34" s="258"/>
      <c r="J34" s="119" t="str">
        <f t="shared" si="17"/>
        <v/>
      </c>
      <c r="K34" s="258" t="str">
        <f t="shared" si="5"/>
        <v/>
      </c>
      <c r="L34" s="258"/>
      <c r="M34" s="258" t="str">
        <f>IF(E34="CSB",
    (IF(LEFT(Data!F34,2)="30",
        VLOOKUP(K34,'CSB Data'!$A$4:$L$53,10,FALSE),
        IF(LEFT(Data!F34,2)="35",
            VLOOKUP(K34,'CSB Data'!$N$4:$Y$39,10,FALSE))
    )),
    (IF(E34="Hse",
        IF(ISBLANK(A34)=TRUE, "",
            VLOOKUP(J34,Sheet1!$AA$4:$AQ$52,13,FALSE)),
        IF(E34="HDe",
            IF(ISBLANK(A34)=TRUE, "",
                VLOOKUP(J34,Sheet1!$AU$3:$BJ$19,13,FALSE)),
            IF(E34="HI",
                IF(LEFT(Data!F34,1)="3",
                    VLOOKUP(F34,'HI Data'!$A$4:$K$15,10,FALSE),
                    IF(LEFT(Data!F34,1)="4",
                        VLOOKUP(F34,'HI Data'!$A$28:$K$34,10,FALSE),
                        "series error")
                ),
                IF(ISBLANK(A34)=TRUE, "", "series error")
            )
        )
    )
))</f>
        <v/>
      </c>
      <c r="N34" s="258" t="s">
        <v>24</v>
      </c>
      <c r="O34" s="258"/>
      <c r="P34" s="258"/>
      <c r="Q34" s="258"/>
      <c r="R34" s="258"/>
      <c r="S34" s="258"/>
      <c r="T34" s="133"/>
      <c r="U34" s="119"/>
      <c r="V34" s="119"/>
      <c r="W34" s="258"/>
      <c r="X34" s="258"/>
      <c r="Y34" s="256" t="str">
        <f t="shared" si="1"/>
        <v/>
      </c>
      <c r="Z34" s="133"/>
      <c r="AA34" s="133"/>
      <c r="AB34" t="e">
        <f>IF(ISBLANK(#REF!)=TRUE,"N/A",IF(#REF!="NONE","N/A",#REF!))</f>
        <v>#REF!</v>
      </c>
      <c r="AC34" s="133" t="str">
        <f>IF(E34="CSB",
    (IF(LEFT(Data!F34,2)="30",
        (VLOOKUP(K34,'CSB Data'!$A$4:$L$53,4,FALSE)+1)*2,
        IF(LEFT(Data!F34,2)="35",(
            VLOOKUP(K34,'CSB Data'!$N$4:$Y$39,4,FALSE)+1)*2)
    )),
    (IF(E34="Hse",
        IF(ISBLANK(A34)=TRUE, "",
            VLOOKUP(J34,Sheet1!$AA$4:$AQ$52,13,FALSE)),
        IF(E34="HDe",
            IF(ISBLANK(A34)=TRUE, "",
                VLOOKUP(J34,Sheet1!$AU$3:$BJ$19,13,FALSE)),
            IF(E34="HI",
                IF(LEFT(Data!F34,1)="3",
                    (VLOOKUP(F34,'HI Data'!$A$4:$K$15,4,FALSE)+1)*2,
                    IF(LEFT(Data!F34,1)="4",
                        (VLOOKUP(F34,'HI Data'!$A$28:$K$34,10,FALSE)+1)*2,
                        "series error")
                ),
                IF(ISBLANK(A34)=TRUE, "", "series error")
            )
        )
    )
))</f>
        <v/>
      </c>
      <c r="AH34" s="120"/>
      <c r="AI34" s="124" t="s">
        <v>83</v>
      </c>
      <c r="AJ34" s="125" t="s">
        <v>84</v>
      </c>
      <c r="AK34" s="126" t="s">
        <v>85</v>
      </c>
      <c r="AM34" s="115"/>
      <c r="AN34" s="1"/>
      <c r="AO34" s="1"/>
      <c r="AP34" s="1"/>
    </row>
    <row r="35" spans="1:42" x14ac:dyDescent="0.3">
      <c r="A35" s="256"/>
      <c r="B35" s="256"/>
      <c r="C35" s="256"/>
      <c r="D35" s="256"/>
      <c r="E35" s="256"/>
      <c r="F35" s="256"/>
      <c r="G35" s="256"/>
      <c r="H35" s="256"/>
      <c r="I35" s="256"/>
      <c r="J35" s="119" t="str">
        <f t="shared" si="17"/>
        <v/>
      </c>
      <c r="K35" s="258" t="str">
        <f t="shared" si="5"/>
        <v/>
      </c>
      <c r="L35" s="256"/>
      <c r="M35" s="258" t="str">
        <f>IF(E35="CSB",
    (IF(LEFT(Data!F35,2)="30",
        VLOOKUP(K35,'CSB Data'!$A$4:$L$53,10,FALSE),
        IF(LEFT(Data!F35,2)="35",
            VLOOKUP(K35,'CSB Data'!$N$4:$Y$39,10,FALSE))
    )),
    (IF(E35="Hse",
        IF(ISBLANK(A35)=TRUE, "",
            VLOOKUP(J35,Sheet1!$AA$4:$AQ$52,13,FALSE)),
        IF(E35="HDe",
            IF(ISBLANK(A35)=TRUE, "",
                VLOOKUP(J35,Sheet1!$AU$3:$BJ$19,13,FALSE)),
            IF(E35="HI",
                IF(LEFT(Data!F35,1)="3",
                    VLOOKUP(F35,'HI Data'!$A$4:$K$15,10,FALSE),
                    IF(LEFT(Data!F35,1)="4",
                        VLOOKUP(F35,'HI Data'!$A$28:$K$34,10,FALSE),
                        "series error")
                ),
                IF(ISBLANK(A35)=TRUE, "", "series error")
            )
        )
    )
))</f>
        <v/>
      </c>
      <c r="N35" s="258" t="str">
        <f>IF(E35="CSB",
    (IF(LEFT(Data!F35,2)="30",
        VLOOKUP(K35,'CSB Data'!$A$4:$L$53,11,FALSE),
        IF(LEFT(Data!F35,2)="35",
            VLOOKUP(K35,'CSB Data'!$N$4:$Y$39,11,FALSE))
    )),
    (IF(E35="Hse",
        IF(ISBLANK(A35)=TRUE, "",
            VLOOKUP(J35,Sheet1!$AA$4:$AQ$52,14,FALSE)),
        IF(E35="HDe",
            IF(ISBLANK(A35)=TRUE, "",
                VLOOKUP(J35,Sheet1!$AU$3:$BJ$19,14,FALSE)),
            IF(E35="HI",
                IF(LEFT(Data!F35,1)="3",
                    VLOOKUP(F35,'HI Data'!$A$4:$K$15,11,FALSE),
                    IF(LEFT(Data!F35,1)="4",
                        VLOOKUP(F35,'HI Data'!$A$28:$K$34,11,FALSE),
                        "series error")
                ),
                IF(ISBLANK(A35)=TRUE, "", "series error")
            )
        )
    )
))</f>
        <v/>
      </c>
      <c r="O35" s="258"/>
      <c r="P35" s="258"/>
      <c r="Q35" s="258"/>
      <c r="R35" s="258"/>
      <c r="S35" s="258"/>
      <c r="T35" s="119"/>
      <c r="U35" s="256"/>
      <c r="V35" s="256"/>
      <c r="W35" s="256"/>
      <c r="X35" s="256"/>
      <c r="Y35" s="256" t="str">
        <f t="shared" si="1"/>
        <v/>
      </c>
      <c r="Z35" s="119"/>
      <c r="AA35" s="134"/>
      <c r="AB35" t="str">
        <f t="shared" si="9"/>
        <v>N/A</v>
      </c>
      <c r="AC35" s="133" t="str">
        <f>IF(E35="CSB",
    (IF(LEFT(Data!F35,2)="30",
        (VLOOKUP(K35,'CSB Data'!$A$4:$L$53,4,FALSE)+1)*2,
        IF(LEFT(Data!F35,2)="35",(
            VLOOKUP(K35,'CSB Data'!$N$4:$Y$39,4,FALSE)+1)*2)
    )),
    (IF(E35="Hse",
        IF(ISBLANK(A35)=TRUE, "",
            VLOOKUP(J35,Sheet1!$AA$4:$AQ$52,13,FALSE)),
        IF(E35="HDe",
            IF(ISBLANK(A35)=TRUE, "",
                VLOOKUP(J35,Sheet1!$AU$3:$BJ$19,13,FALSE)),
            IF(E35="HI",
                IF(LEFT(Data!F35,1)="3",
                    (VLOOKUP(F35,'HI Data'!$A$4:$K$15,4,FALSE)+1)*2,
                    IF(LEFT(Data!F35,1)="4",
                        (VLOOKUP(F35,'HI Data'!$A$28:$K$34,10,FALSE)+1)*2,
                        "series error")
                ),
                IF(ISBLANK(A35)=TRUE, "", "series error")
            )
        )
    )
))</f>
        <v/>
      </c>
      <c r="AH35" s="120"/>
      <c r="AI35" s="129" t="s">
        <v>86</v>
      </c>
      <c r="AJ35" s="91" t="s">
        <v>87</v>
      </c>
      <c r="AK35" s="91">
        <f>COUNTIF(V13:V50,AI35)</f>
        <v>14</v>
      </c>
      <c r="AM35" s="115"/>
    </row>
    <row r="36" spans="1:42" x14ac:dyDescent="0.3">
      <c r="A36" s="108" t="s">
        <v>626</v>
      </c>
      <c r="B36" s="108" t="s">
        <v>631</v>
      </c>
      <c r="C36" s="108" t="s">
        <v>283</v>
      </c>
      <c r="D36" s="108" t="s">
        <v>11</v>
      </c>
      <c r="E36" s="108" t="s">
        <v>593</v>
      </c>
      <c r="F36" s="108">
        <v>4033</v>
      </c>
      <c r="G36" s="108">
        <v>3</v>
      </c>
      <c r="H36" s="257" t="str">
        <f>IF(ISBLANK(A36)=TRUE,"",IF(C36="DT","","E"))</f>
        <v>E</v>
      </c>
      <c r="I36" s="108">
        <v>1</v>
      </c>
      <c r="J36" s="91" t="str">
        <f>IF(ISBLANK(A36)=TRUE,"",CONCATENATE(,F36,"-",I36,G36,"W","X","0"))</f>
        <v>4033-13WX0</v>
      </c>
      <c r="K36" s="91" t="str">
        <f>IF(ISBLANK(A36)=TRUE,"",IF(E36="HI",CONCATENATE(E36," ",F36,IF(C36="MT","L","-4L"))))</f>
        <v>HI 4033-4L</v>
      </c>
      <c r="L36" s="108">
        <v>1</v>
      </c>
      <c r="M36" s="91" t="str">
        <f>IF(E36="CSB",
    (IF(LEFT(Data!F36,2)="30",
        VLOOKUP(K36,'CSB Data'!$A$4:$L$53,10,FALSE),
        IF(LEFT(Data!F36,2)="35",
            VLOOKUP(K36,'CSB Data'!$N$4:$Y$39,10,FALSE))
    )),
    (IF(E36="Hse",
        IF(ISBLANK(A36)=TRUE, "",
            VLOOKUP(J36,Sheet1!$AA$4:$AQ$52,13,FALSE)),
        IF(E36="HDe",
            IF(ISBLANK(A36)=TRUE, "",
                VLOOKUP(J36,Sheet1!$AU$3:$BJ$19,13,FALSE)),
            IF(E36="HI",
                IF(LEFT(Data!F36,1)="3",
                    VLOOKUP(F36,'HI Data'!$A$4:$K$15,10,FALSE),
                    IF(LEFT(Data!F36,1)="4",
                        VLOOKUP(F36,'HI Data'!$A$28:$K$34,10,FALSE),
                        "series error")
                ),
                IF(ISBLANK(A36)=TRUE, "", "series error")
            )
        )
    )
))</f>
        <v>1-3/8</v>
      </c>
      <c r="N36" s="91" t="str">
        <f>IF(E36="CSB",
    (IF(LEFT(Data!F36,2)="30",
        VLOOKUP(K36,'CSB Data'!$A$4:$L$53,11,FALSE),
        IF(LEFT(Data!F36,2)="35",
            VLOOKUP(K36,'CSB Data'!$N$4:$Y$39,11,FALSE))
    )),
    (IF(E36="Hse",
        IF(ISBLANK(A36)=TRUE, "",
            VLOOKUP(J36,Sheet1!$AA$4:$AQ$52,14,FALSE)),
        IF(E36="HDe",
            IF(ISBLANK(A36)=TRUE, "",
                VLOOKUP(J36,Sheet1!$AU$3:$BJ$19,14,FALSE)),
            IF(E36="HI",
                IF(LEFT(Data!F36,1)="3",
                    VLOOKUP(F36,'HI Data'!$A$4:$K$15,11,FALSE),
                    IF(LEFT(Data!F36,1)="4",
                        VLOOKUP(F36,'HI Data'!$A$28:$K$34,11,FALSE),
                        "series error")
                ),
                IF(ISBLANK(A36)=TRUE, "", "series error")
            )
        )
    )
))</f>
        <v>7/8</v>
      </c>
      <c r="O36" s="3"/>
      <c r="P36" s="91" t="str">
        <f>M36</f>
        <v>1-3/8</v>
      </c>
      <c r="Q36" s="91" t="str">
        <f t="array" ref="Q36">IF(ISBLANK(A36)=TRUE,"",IF(EXACT(M36,U36),"NONE",IF(VLOOKUP(M36,$AV$1:$AW$8,2,)&gt;VLOOKUP(U36,$AV$1:$AW$8,2,),CONCATENATE((M36),($A$4),(U36)),CONCATENATE((U36),($A$4),(M36)))))</f>
        <v>1-5/8  &gt;  1-3/8</v>
      </c>
      <c r="R36" s="91" t="str">
        <f>IF(ISBLANK(A36)=TRUE,"",IF(E36="HDR","NONE",U36))</f>
        <v>1-5/8</v>
      </c>
      <c r="S36" s="273" t="s">
        <v>583</v>
      </c>
      <c r="T36" s="273" t="s">
        <v>651</v>
      </c>
      <c r="U36" s="108" t="s">
        <v>93</v>
      </c>
      <c r="V36" s="108" t="s">
        <v>86</v>
      </c>
      <c r="W36" s="108" t="s">
        <v>5</v>
      </c>
      <c r="X36" s="108">
        <v>5</v>
      </c>
      <c r="Y36" s="91" t="str">
        <f t="shared" ref="Y36:Y39" si="19">IF(ISBLANK(A36)=TRUE,"",CONCATENATE(V36," Castel"))</f>
        <v>1/2 Castel</v>
      </c>
      <c r="Z36" s="91" t="str">
        <f t="shared" ref="Z36" si="20">IF(ISBLANK(A36)=TRUE,"",IF(E36="HSR","IN COIL"," IN COIL"))</f>
        <v xml:space="preserve"> IN COIL</v>
      </c>
      <c r="AA36" s="91" t="s">
        <v>576</v>
      </c>
      <c r="AB36" t="str">
        <f t="shared" si="9"/>
        <v>1-5/8  &gt;  1-3/8</v>
      </c>
      <c r="AC36" s="105">
        <f>IF(E36="CSB",
    (IF(LEFT(Data!F36,2)="30",
        (VLOOKUP(K36,'CSB Data'!$A$4:$L$53,4,FALSE)+1)*2,
        IF(LEFT(Data!F36,2)="35",(
            VLOOKUP(K36,'CSB Data'!$N$4:$Y$39,4,FALSE)+1)*2)
    )),
    (IF(E36="Hse",
        IF(ISBLANK(A36)=TRUE, "",
            VLOOKUP(J36,Sheet1!$AA$4:$AQ$52,13,FALSE)),
        IF(E36="HDe",
            IF(ISBLANK(A36)=TRUE, "",
                VLOOKUP(J36,Sheet1!$AU$3:$BJ$19,13,FALSE)),
            IF(E36="HI",
                IF(LEFT(Data!F36,1)="3",
                    (VLOOKUP(F36,'HI Data'!$A$4:$K$15,4,FALSE)+1)*2,
                    IF(LEFT(Data!F36,1)="4",
                        (VLOOKUP(F36,'HI Data'!$A$28:$K$34,4,FALSE)+1)*2,
                        "series error")
                ),
                IF(ISBLANK(A36)=TRUE, "", "series error")
            )
        )
    )
))</f>
        <v>8</v>
      </c>
      <c r="AD36">
        <f t="shared" ref="AD36:AD50" si="21">IF(ISBLANK(A36)=TRUE,0,AC36*L36)</f>
        <v>8</v>
      </c>
      <c r="AH36" s="120"/>
      <c r="AI36" s="129" t="s">
        <v>88</v>
      </c>
      <c r="AJ36" s="91" t="s">
        <v>87</v>
      </c>
      <c r="AK36" s="91">
        <f>COUNTIF(V14:V51,AI36)</f>
        <v>3</v>
      </c>
      <c r="AM36" s="115"/>
    </row>
    <row r="37" spans="1:42" ht="15" thickBot="1" x14ac:dyDescent="0.35">
      <c r="A37" s="108" t="s">
        <v>627</v>
      </c>
      <c r="B37" s="108" t="s">
        <v>632</v>
      </c>
      <c r="C37" s="108" t="s">
        <v>283</v>
      </c>
      <c r="D37" s="108" t="s">
        <v>12</v>
      </c>
      <c r="E37" s="108" t="s">
        <v>593</v>
      </c>
      <c r="F37" s="108">
        <v>4033</v>
      </c>
      <c r="G37" s="108">
        <v>3</v>
      </c>
      <c r="H37" s="257" t="str">
        <f t="shared" ref="H37:H50" si="22">IF(ISBLANK(A37)=TRUE,"",IF(C37="DT","","E"))</f>
        <v>E</v>
      </c>
      <c r="I37" s="108">
        <v>1</v>
      </c>
      <c r="J37" s="91" t="str">
        <f t="shared" ref="J37:J50" si="23">IF(ISBLANK(A37)=TRUE,"",CONCATENATE(,F37,"-",I37,G37,"W","X","0"))</f>
        <v>4033-13WX0</v>
      </c>
      <c r="K37" s="91" t="str">
        <f t="shared" ref="K37:K40" si="24">IF(ISBLANK(A37)=TRUE,"",IF(E37="HI",CONCATENATE(E37," ",F37,IF(C37="MT","L","-4L"))))</f>
        <v>HI 4033-4L</v>
      </c>
      <c r="L37" s="108">
        <v>1</v>
      </c>
      <c r="M37" s="91" t="str">
        <f>IF(E37="CSB",
    (IF(LEFT(Data!F37,2)="30",
        VLOOKUP(K37,'CSB Data'!$A$4:$L$53,10,FALSE),
        IF(LEFT(Data!F37,2)="35",
            VLOOKUP(K37,'CSB Data'!$N$4:$Y$39,10,FALSE))
    )),
    (IF(E37="Hse",
        IF(ISBLANK(A37)=TRUE, "",
            VLOOKUP(J37,Sheet1!$AA$4:$AQ$52,13,FALSE)),
        IF(E37="HDe",
            IF(ISBLANK(A37)=TRUE, "",
                VLOOKUP(J37,Sheet1!$AU$3:$BJ$19,13,FALSE)),
            IF(E37="HI",
                IF(LEFT(Data!F37,1)="3",
                    VLOOKUP(F37,'HI Data'!$A$4:$K$15,10,FALSE),
                    IF(LEFT(Data!F37,1)="4",
                        VLOOKUP(F37,'HI Data'!$A$28:$K$34,10,FALSE),
                        "series error")
                ),
                IF(ISBLANK(A37)=TRUE, "", "series error")
            )
        )
    )
))</f>
        <v>1-3/8</v>
      </c>
      <c r="N37" s="91" t="str">
        <f>IF(E37="CSB",
    (IF(LEFT(Data!F37,2)="30",
        VLOOKUP(K37,'CSB Data'!$A$4:$L$53,11,FALSE),
        IF(LEFT(Data!F37,2)="35",
            VLOOKUP(K37,'CSB Data'!$N$4:$Y$39,11,FALSE))
    )),
    (IF(E37="Hse",
        IF(ISBLANK(A37)=TRUE, "",
            VLOOKUP(J37,Sheet1!$AA$4:$AQ$52,14,FALSE)),
        IF(E37="HDe",
            IF(ISBLANK(A37)=TRUE, "",
                VLOOKUP(J37,Sheet1!$AU$3:$BJ$19,14,FALSE)),
            IF(E37="HI",
                IF(LEFT(Data!F37,1)="3",
                    VLOOKUP(F37,'HI Data'!$A$4:$K$15,11,FALSE),
                    IF(LEFT(Data!F37,1)="4",
                        VLOOKUP(F37,'HI Data'!$A$28:$K$34,11,FALSE),
                        "series error")
                ),
                IF(ISBLANK(A37)=TRUE, "", "series error")
            )
        )
    )
))</f>
        <v>7/8</v>
      </c>
      <c r="O37" s="3"/>
      <c r="P37" s="91" t="str">
        <f t="shared" ref="P37:P50" si="25">M37</f>
        <v>1-3/8</v>
      </c>
      <c r="Q37" s="91" t="str">
        <f t="array" ref="Q37">IF(ISBLANK(A37)=TRUE,"",IF(EXACT(M37,U37),"NONE",IF(VLOOKUP(M37,$AV$1:$AW$8,2,)&gt;VLOOKUP(U37,$AV$1:$AW$8,2,),CONCATENATE((M37),($A$4),(U37)),CONCATENATE((U37),($A$4),(M37)))))</f>
        <v>NONE</v>
      </c>
      <c r="R37" s="91" t="str">
        <f t="shared" ref="R37:R50" si="26">IF(ISBLANK(A37)=TRUE,"",IF(E37="HDR","NONE",U37))</f>
        <v>1-3/8</v>
      </c>
      <c r="S37" s="273" t="s">
        <v>583</v>
      </c>
      <c r="T37" s="273" t="s">
        <v>651</v>
      </c>
      <c r="U37" s="108" t="s">
        <v>92</v>
      </c>
      <c r="V37" s="108" t="s">
        <v>86</v>
      </c>
      <c r="W37" s="108" t="s">
        <v>5</v>
      </c>
      <c r="X37" s="108">
        <v>5</v>
      </c>
      <c r="Y37" s="91" t="str">
        <f t="shared" si="19"/>
        <v>1/2 Castel</v>
      </c>
      <c r="Z37" s="91" t="str">
        <f t="shared" ref="Z37:Z44" si="27">IF(ISBLANK(A37)=TRUE,"",IF(E37="HSR","IN COIL"," IN COIL"))</f>
        <v xml:space="preserve"> IN COIL</v>
      </c>
      <c r="AA37" s="91" t="s">
        <v>576</v>
      </c>
      <c r="AB37" t="str">
        <f t="shared" si="9"/>
        <v>N/A</v>
      </c>
      <c r="AC37" s="105">
        <f>IF(E37="CSB",
    (IF(LEFT(Data!F37,2)="30",
        (VLOOKUP(K37,'CSB Data'!$A$4:$L$53,4,FALSE)+1)*2,
        IF(LEFT(Data!F37,2)="35",(
            VLOOKUP(K37,'CSB Data'!$N$4:$Y$39,4,FALSE)+1)*2)
    )),
    (IF(E37="Hse",
        IF(ISBLANK(A37)=TRUE, "",
            VLOOKUP(J37,Sheet1!$AA$4:$AQ$52,13,FALSE)),
        IF(E37="HDe",
            IF(ISBLANK(A37)=TRUE, "",
                VLOOKUP(J37,Sheet1!$AU$3:$BJ$19,13,FALSE)),
            IF(E37="HI",
                IF(LEFT(Data!F37,1)="3",
                    (VLOOKUP(F37,'HI Data'!$A$4:$K$15,4,FALSE)+1)*2,
                    IF(LEFT(Data!F37,1)="4",
                        (VLOOKUP(F37,'HI Data'!$A$28:$K$34,4,FALSE)+1)*2,
                        "series error")
                ),
                IF(ISBLANK(A37)=TRUE, "", "series error")
            )
        )
    )
))</f>
        <v>8</v>
      </c>
      <c r="AD37">
        <f t="shared" si="21"/>
        <v>8</v>
      </c>
      <c r="AH37" s="120"/>
      <c r="AK37" s="132">
        <f>SUM(AK35:AK36)</f>
        <v>17</v>
      </c>
      <c r="AM37" s="115"/>
      <c r="AN37" s="1"/>
      <c r="AO37" s="1"/>
      <c r="AP37" s="1"/>
    </row>
    <row r="38" spans="1:42" ht="15" thickBot="1" x14ac:dyDescent="0.35">
      <c r="A38" s="108" t="s">
        <v>628</v>
      </c>
      <c r="B38" s="108" t="s">
        <v>633</v>
      </c>
      <c r="C38" s="108" t="s">
        <v>283</v>
      </c>
      <c r="D38" s="108" t="s">
        <v>12</v>
      </c>
      <c r="E38" s="108" t="s">
        <v>593</v>
      </c>
      <c r="F38" s="108">
        <v>4033</v>
      </c>
      <c r="G38" s="108">
        <v>3</v>
      </c>
      <c r="H38" s="257" t="str">
        <f t="shared" si="22"/>
        <v>E</v>
      </c>
      <c r="I38" s="108">
        <v>1</v>
      </c>
      <c r="J38" s="91" t="str">
        <f t="shared" si="23"/>
        <v>4033-13WX0</v>
      </c>
      <c r="K38" s="91" t="str">
        <f t="shared" si="24"/>
        <v>HI 4033-4L</v>
      </c>
      <c r="L38" s="108">
        <v>1</v>
      </c>
      <c r="M38" s="91" t="str">
        <f>IF(E38="CSB",
    (IF(LEFT(Data!F38,2)="30",
        VLOOKUP(K38,'CSB Data'!$A$4:$L$53,10,FALSE),
        IF(LEFT(Data!F38,2)="35",
            VLOOKUP(K38,'CSB Data'!$N$4:$Y$39,10,FALSE))
    )),
    (IF(E38="Hse",
        IF(ISBLANK(A38)=TRUE, "",
            VLOOKUP(J38,Sheet1!$AA$4:$AQ$52,13,FALSE)),
        IF(E38="HDe",
            IF(ISBLANK(A38)=TRUE, "",
                VLOOKUP(J38,Sheet1!$AU$3:$BJ$19,13,FALSE)),
            IF(E38="HI",
                IF(LEFT(Data!F38,1)="3",
                    VLOOKUP(F38,'HI Data'!$A$4:$K$15,10,FALSE),
                    IF(LEFT(Data!F38,1)="4",
                        VLOOKUP(F38,'HI Data'!$A$28:$K$34,10,FALSE),
                        "series error")
                ),
                IF(ISBLANK(A38)=TRUE, "", "series error")
            )
        )
    )
))</f>
        <v>1-3/8</v>
      </c>
      <c r="N38" s="91" t="str">
        <f>IF(E38="CSB",
    (IF(LEFT(Data!F38,2)="30",
        VLOOKUP(K38,'CSB Data'!$A$4:$L$53,11,FALSE),
        IF(LEFT(Data!F38,2)="35",
            VLOOKUP(K38,'CSB Data'!$N$4:$Y$39,11,FALSE))
    )),
    (IF(E38="Hse",
        IF(ISBLANK(A38)=TRUE, "",
            VLOOKUP(J38,Sheet1!$AA$4:$AQ$52,14,FALSE)),
        IF(E38="HDe",
            IF(ISBLANK(A38)=TRUE, "",
                VLOOKUP(J38,Sheet1!$AU$3:$BJ$19,14,FALSE)),
            IF(E38="HI",
                IF(LEFT(Data!F38,1)="3",
                    VLOOKUP(F38,'HI Data'!$A$4:$K$15,11,FALSE),
                    IF(LEFT(Data!F38,1)="4",
                        VLOOKUP(F38,'HI Data'!$A$28:$K$34,11,FALSE),
                        "series error")
                ),
                IF(ISBLANK(A38)=TRUE, "", "series error")
            )
        )
    )
))</f>
        <v>7/8</v>
      </c>
      <c r="O38" s="3"/>
      <c r="P38" s="91" t="str">
        <f t="shared" si="25"/>
        <v>1-3/8</v>
      </c>
      <c r="Q38" s="91" t="str">
        <f t="array" ref="Q38">IF(ISBLANK(A38)=TRUE,"",IF(EXACT(M38,U38),"NONE",IF(VLOOKUP(M38,$AV$1:$AW$8,2,)&gt;VLOOKUP(U38,$AV$1:$AW$8,2,),CONCATENATE((M38),($A$4),(U38)),CONCATENATE((U38),($A$4),(M38)))))</f>
        <v>1-3/8  &gt;  1-1/8</v>
      </c>
      <c r="R38" s="91" t="str">
        <f t="shared" si="26"/>
        <v>1-1/8</v>
      </c>
      <c r="S38" s="273" t="s">
        <v>583</v>
      </c>
      <c r="T38" s="273" t="s">
        <v>651</v>
      </c>
      <c r="U38" s="108" t="s">
        <v>91</v>
      </c>
      <c r="V38" s="108" t="s">
        <v>86</v>
      </c>
      <c r="W38" s="108" t="s">
        <v>5</v>
      </c>
      <c r="X38" s="108">
        <v>5</v>
      </c>
      <c r="Y38" s="91" t="str">
        <f t="shared" si="19"/>
        <v>1/2 Castel</v>
      </c>
      <c r="Z38" s="91" t="str">
        <f t="shared" si="27"/>
        <v xml:space="preserve"> IN COIL</v>
      </c>
      <c r="AA38" s="91" t="s">
        <v>576</v>
      </c>
      <c r="AB38" t="str">
        <f t="shared" si="9"/>
        <v>1-3/8  &gt;  1-1/8</v>
      </c>
      <c r="AC38" s="105">
        <f>IF(E38="CSB",
    (IF(LEFT(Data!F38,2)="30",
        (VLOOKUP(K38,'CSB Data'!$A$4:$L$53,4,FALSE)+1)*2,
        IF(LEFT(Data!F38,2)="35",(
            VLOOKUP(K38,'CSB Data'!$N$4:$Y$39,4,FALSE)+1)*2)
    )),
    (IF(E38="Hse",
        IF(ISBLANK(A38)=TRUE, "",
            VLOOKUP(J38,Sheet1!$AA$4:$AQ$52,13,FALSE)),
        IF(E38="HDe",
            IF(ISBLANK(A38)=TRUE, "",
                VLOOKUP(J38,Sheet1!$AU$3:$BJ$19,13,FALSE)),
            IF(E38="HI",
                IF(LEFT(Data!F38,1)="3",
                    (VLOOKUP(F38,'HI Data'!$A$4:$K$15,4,FALSE)+1)*2,
                    IF(LEFT(Data!F38,1)="4",
                        (VLOOKUP(F38,'HI Data'!$A$28:$K$34,4,FALSE)+1)*2,
                        "series error")
                ),
                IF(ISBLANK(A38)=TRUE, "", "series error")
            )
        )
    )
))</f>
        <v>8</v>
      </c>
      <c r="AD38">
        <f t="shared" si="21"/>
        <v>8</v>
      </c>
      <c r="AH38" s="299" t="s">
        <v>304</v>
      </c>
      <c r="AI38" s="300"/>
      <c r="AJ38" s="300"/>
      <c r="AK38" s="300"/>
      <c r="AL38" s="300"/>
      <c r="AM38" s="301"/>
    </row>
    <row r="39" spans="1:42" ht="15" thickBot="1" x14ac:dyDescent="0.35">
      <c r="A39" s="108" t="s">
        <v>629</v>
      </c>
      <c r="B39" s="108" t="s">
        <v>634</v>
      </c>
      <c r="C39" s="108" t="s">
        <v>283</v>
      </c>
      <c r="D39" s="108" t="s">
        <v>447</v>
      </c>
      <c r="E39" s="108" t="s">
        <v>593</v>
      </c>
      <c r="F39" s="108">
        <v>4033</v>
      </c>
      <c r="G39" s="108">
        <v>3</v>
      </c>
      <c r="H39" s="257" t="str">
        <f t="shared" si="22"/>
        <v>E</v>
      </c>
      <c r="I39" s="108">
        <v>1</v>
      </c>
      <c r="J39" s="91" t="str">
        <f t="shared" si="23"/>
        <v>4033-13WX0</v>
      </c>
      <c r="K39" s="91" t="str">
        <f t="shared" si="24"/>
        <v>HI 4033-4L</v>
      </c>
      <c r="L39" s="108">
        <v>1</v>
      </c>
      <c r="M39" s="91" t="str">
        <f>IF(E39="CSB",
    (IF(LEFT(Data!F39,2)="30",
        VLOOKUP(K39,'CSB Data'!$A$4:$L$53,10,FALSE),
        IF(LEFT(Data!F39,2)="35",
            VLOOKUP(K39,'CSB Data'!$N$4:$Y$39,10,FALSE))
    )),
    (IF(E39="Hse",
        IF(ISBLANK(A39)=TRUE, "",
            VLOOKUP(J39,Sheet1!$AA$4:$AQ$52,13,FALSE)),
        IF(E39="HDe",
            IF(ISBLANK(A39)=TRUE, "",
                VLOOKUP(J39,Sheet1!$AU$3:$BJ$19,13,FALSE)),
            IF(E39="HI",
                IF(LEFT(Data!F39,1)="3",
                    VLOOKUP(F39,'HI Data'!$A$4:$K$15,10,FALSE),
                    IF(LEFT(Data!F39,1)="4",
                        VLOOKUP(F39,'HI Data'!$A$28:$K$34,10,FALSE),
                        "series error")
                ),
                IF(ISBLANK(A39)=TRUE, "", "series error")
            )
        )
    )
))</f>
        <v>1-3/8</v>
      </c>
      <c r="N39" s="91" t="str">
        <f>IF(E39="CSB",
    (IF(LEFT(Data!F39,2)="30",
        VLOOKUP(K39,'CSB Data'!$A$4:$L$53,11,FALSE),
        IF(LEFT(Data!F39,2)="35",
            VLOOKUP(K39,'CSB Data'!$N$4:$Y$39,11,FALSE))
    )),
    (IF(E39="Hse",
        IF(ISBLANK(A39)=TRUE, "",
            VLOOKUP(J39,Sheet1!$AA$4:$AQ$52,14,FALSE)),
        IF(E39="HDe",
            IF(ISBLANK(A39)=TRUE, "",
                VLOOKUP(J39,Sheet1!$AU$3:$BJ$19,14,FALSE)),
            IF(E39="HI",
                IF(LEFT(Data!F39,1)="3",
                    VLOOKUP(F39,'HI Data'!$A$4:$K$15,11,FALSE),
                    IF(LEFT(Data!F39,1)="4",
                        VLOOKUP(F39,'HI Data'!$A$28:$K$34,11,FALSE),
                        "series error")
                ),
                IF(ISBLANK(A39)=TRUE, "", "series error")
            )
        )
    )
))</f>
        <v>7/8</v>
      </c>
      <c r="O39" s="3"/>
      <c r="P39" s="91" t="str">
        <f t="shared" si="25"/>
        <v>1-3/8</v>
      </c>
      <c r="Q39" s="91" t="str">
        <f t="array" ref="Q39">IF(ISBLANK(A39)=TRUE,"",IF(EXACT(M39,U39),"NONE",IF(VLOOKUP(M39,$AV$1:$AW$8,2,)&gt;VLOOKUP(U39,$AV$1:$AW$8,2,),CONCATENATE((M39),($A$4),(U39)),CONCATENATE((U39),($A$4),(M39)))))</f>
        <v>1-3/8  &gt;  1-1/8</v>
      </c>
      <c r="R39" s="91" t="str">
        <f t="shared" si="26"/>
        <v>1-1/8</v>
      </c>
      <c r="S39" s="273" t="s">
        <v>583</v>
      </c>
      <c r="T39" s="273" t="s">
        <v>651</v>
      </c>
      <c r="U39" s="108" t="s">
        <v>91</v>
      </c>
      <c r="V39" s="108" t="s">
        <v>86</v>
      </c>
      <c r="W39" s="108" t="s">
        <v>5</v>
      </c>
      <c r="X39" s="108">
        <v>6</v>
      </c>
      <c r="Y39" s="91" t="str">
        <f t="shared" si="19"/>
        <v>1/2 Castel</v>
      </c>
      <c r="Z39" s="91" t="str">
        <f t="shared" si="27"/>
        <v xml:space="preserve"> IN COIL</v>
      </c>
      <c r="AA39" s="91" t="s">
        <v>576</v>
      </c>
      <c r="AB39" t="str">
        <f t="shared" si="9"/>
        <v>1-3/8  &gt;  1-1/8</v>
      </c>
      <c r="AC39" s="105">
        <f>IF(E39="CSB",
    (IF(LEFT(Data!F39,2)="30",
        (VLOOKUP(K39,'CSB Data'!$A$4:$L$53,4,FALSE)+1)*2,
        IF(LEFT(Data!F39,2)="35",(
            VLOOKUP(K39,'CSB Data'!$N$4:$Y$39,4,FALSE)+1)*2)
    )),
    (IF(E39="Hse",
        IF(ISBLANK(A39)=TRUE, "",
            VLOOKUP(J39,Sheet1!$AA$4:$AQ$52,13,FALSE)),
        IF(E39="HDe",
            IF(ISBLANK(A39)=TRUE, "",
                VLOOKUP(J39,Sheet1!$AU$3:$BJ$19,13,FALSE)),
            IF(E39="HI",
                IF(LEFT(Data!F39,1)="3",
                    (VLOOKUP(F39,'HI Data'!$A$4:$K$15,4,FALSE)+1)*2,
                    IF(LEFT(Data!F39,1)="4",
                        (VLOOKUP(F39,'HI Data'!$A$28:$K$34,4,FALSE)+1)*2,
                        "series error")
                ),
                IF(ISBLANK(A39)=TRUE, "", "series error")
            )
        )
    )
))</f>
        <v>8</v>
      </c>
      <c r="AD39">
        <f t="shared" si="21"/>
        <v>8</v>
      </c>
      <c r="AH39" s="120"/>
      <c r="AI39" s="131"/>
      <c r="AJ39" s="114"/>
      <c r="AK39" s="114"/>
      <c r="AM39" s="115"/>
    </row>
    <row r="40" spans="1:42" ht="15" thickBot="1" x14ac:dyDescent="0.35">
      <c r="A40" s="108" t="s">
        <v>630</v>
      </c>
      <c r="B40" s="108" t="s">
        <v>635</v>
      </c>
      <c r="C40" s="108" t="s">
        <v>283</v>
      </c>
      <c r="D40" s="108" t="s">
        <v>303</v>
      </c>
      <c r="E40" s="108" t="s">
        <v>593</v>
      </c>
      <c r="F40" s="108">
        <v>3034</v>
      </c>
      <c r="G40" s="108">
        <v>4</v>
      </c>
      <c r="H40" s="257" t="str">
        <f t="shared" si="22"/>
        <v>E</v>
      </c>
      <c r="I40" s="108">
        <v>1</v>
      </c>
      <c r="J40" s="91" t="str">
        <f t="shared" si="23"/>
        <v>3034-14WX0</v>
      </c>
      <c r="K40" s="91" t="str">
        <f t="shared" si="24"/>
        <v>HI 3034-4L</v>
      </c>
      <c r="L40" s="108">
        <v>1</v>
      </c>
      <c r="M40" s="91" t="str">
        <f>IF(E40="CSB",
    (IF(LEFT(Data!F40,2)="30",
        VLOOKUP(K40,'CSB Data'!$A$4:$L$53,10,FALSE),
        IF(LEFT(Data!F40,2)="35",
            VLOOKUP(K40,'CSB Data'!$N$4:$Y$39,10,FALSE))
    )),
    (IF(E40="Hse",
        IF(ISBLANK(A40)=TRUE, "",
            VLOOKUP(J40,Sheet1!$AA$4:$AQ$52,13,FALSE)),
        IF(E40="HDe",
            IF(ISBLANK(A40)=TRUE, "",
                VLOOKUP(J40,Sheet1!$AU$3:$BJ$19,13,FALSE)),
            IF(E40="HI",
                IF(LEFT(Data!F40,1)="3",
                    VLOOKUP(F40,'HI Data'!$A$4:$K$15,10,FALSE),
                    IF(LEFT(Data!F40,1)="4",
                        VLOOKUP(F40,'HI Data'!$A$28:$K$34,10,FALSE),
                        "series error")
                ),
                IF(ISBLANK(A40)=TRUE, "", "series error")
            )
        )
    )
))</f>
        <v>7/8</v>
      </c>
      <c r="N40" s="91" t="str">
        <f>IF(E40="CSB",
    (IF(LEFT(Data!F40,2)="30",
        VLOOKUP(K40,'CSB Data'!$A$4:$L$53,11,FALSE),
        IF(LEFT(Data!F40,2)="35",
            VLOOKUP(K40,'CSB Data'!$N$4:$Y$39,11,FALSE))
    )),
    (IF(E40="Hse",
        IF(ISBLANK(A40)=TRUE, "",
            VLOOKUP(J40,Sheet1!$AA$4:$AQ$52,14,FALSE)),
        IF(E40="HDe",
            IF(ISBLANK(A40)=TRUE, "",
                VLOOKUP(J40,Sheet1!$AU$3:$BJ$19,14,FALSE)),
            IF(E40="HI",
                IF(LEFT(Data!F40,1)="3",
                    VLOOKUP(F40,'HI Data'!$A$4:$K$15,11,FALSE),
                    IF(LEFT(Data!F40,1)="4",
                        VLOOKUP(F40,'HI Data'!$A$28:$K$34,11,FALSE),
                        "series error")
                ),
                IF(ISBLANK(A40)=TRUE, "", "series error")
            )
        )
    )
))</f>
        <v>5/8</v>
      </c>
      <c r="O40" s="3"/>
      <c r="P40" s="91" t="str">
        <f t="shared" si="25"/>
        <v>7/8</v>
      </c>
      <c r="Q40" s="91" t="str">
        <f t="array" ref="Q40">IF(ISBLANK(A40)=TRUE,"",IF(EXACT(M40,U40),"NONE",IF(VLOOKUP(M40,$AV$1:$AW$8,2,)&gt;VLOOKUP(U40,$AV$1:$AW$8,2,),CONCATENATE((M40),($A$4),(U40)),CONCATENATE((U40),($A$4),(M40)))))</f>
        <v>1-1/8  &gt;  7/8</v>
      </c>
      <c r="R40" s="91" t="str">
        <f t="shared" si="26"/>
        <v>1-1/8</v>
      </c>
      <c r="S40" s="273" t="s">
        <v>583</v>
      </c>
      <c r="T40" s="273" t="s">
        <v>579</v>
      </c>
      <c r="U40" s="108" t="s">
        <v>91</v>
      </c>
      <c r="V40" s="108" t="s">
        <v>86</v>
      </c>
      <c r="W40" s="108" t="s">
        <v>5</v>
      </c>
      <c r="X40" s="108">
        <v>3</v>
      </c>
      <c r="Y40" s="91" t="str">
        <f t="shared" ref="Y40:Y43" si="28">IF(ISBLANK(A40)=TRUE,"",CONCATENATE(V40," Castel"))</f>
        <v>1/2 Castel</v>
      </c>
      <c r="Z40" s="91" t="str">
        <f t="shared" si="27"/>
        <v xml:space="preserve"> IN COIL</v>
      </c>
      <c r="AA40" s="91" t="s">
        <v>576</v>
      </c>
      <c r="AB40" t="str">
        <f t="shared" si="9"/>
        <v>1-1/8  &gt;  7/8</v>
      </c>
      <c r="AC40" s="105">
        <f>IF(E40="CSB",
    (IF(LEFT(Data!F40,2)="30",
        (VLOOKUP(K40,'CSB Data'!$A$4:$L$53,4,FALSE)+1)*2,
        IF(LEFT(Data!F40,2)="35",(
            VLOOKUP(K40,'CSB Data'!$N$4:$Y$39,4,FALSE)+1)*2)
    )),
    (IF(E40="Hse",
        IF(ISBLANK(A40)=TRUE, "",
            VLOOKUP(J40,Sheet1!$AA$4:$AQ$52,13,FALSE)),
        IF(E40="HDe",
            IF(ISBLANK(A40)=TRUE, "",
                VLOOKUP(J40,Sheet1!$AU$3:$BJ$19,13,FALSE)),
            IF(E40="HI",
                IF(LEFT(Data!F40,1)="3",
                    (VLOOKUP(F40,'HI Data'!$A$4:$K$15,4,FALSE)+1)*2,
                    IF(LEFT(Data!F40,1)="4",
                        (VLOOKUP(F40,'HI Data'!$A$28:$K$34,4,FALSE)+1)*2,
                        "series error")
                ),
                IF(ISBLANK(A40)=TRUE, "", "series error")
            )
        )
    )
))</f>
        <v>8</v>
      </c>
      <c r="AD40">
        <f t="shared" si="21"/>
        <v>8</v>
      </c>
      <c r="AH40" s="120"/>
      <c r="AI40" s="124" t="s">
        <v>83</v>
      </c>
      <c r="AJ40" s="125" t="s">
        <v>84</v>
      </c>
      <c r="AK40" s="126" t="s">
        <v>85</v>
      </c>
      <c r="AM40" s="115"/>
      <c r="AN40" s="1"/>
      <c r="AO40" s="1"/>
      <c r="AP40" s="1"/>
    </row>
    <row r="41" spans="1:42" x14ac:dyDescent="0.3">
      <c r="A41" s="108"/>
      <c r="B41" s="108"/>
      <c r="C41" s="108"/>
      <c r="D41" s="108"/>
      <c r="E41" s="108"/>
      <c r="F41" s="108"/>
      <c r="G41" s="108"/>
      <c r="H41" s="257" t="str">
        <f t="shared" si="22"/>
        <v/>
      </c>
      <c r="I41" s="108"/>
      <c r="J41" s="91" t="str">
        <f t="shared" si="23"/>
        <v/>
      </c>
      <c r="K41" s="91" t="str">
        <f t="shared" ref="K41:K50" si="29">IF(ISBLANK(A41)=TRUE,"",CONCATENATE(E41,"-",F41,"-",IF(C41="LT","04","06"),"0",G41,IF(H41="E","-E","")))</f>
        <v/>
      </c>
      <c r="L41" s="108"/>
      <c r="M41" s="91" t="str">
        <f>IF(E41="CSB",(IF(LEFT(Data!F41,2)="30",VLOOKUP(K41,'CSB Data'!$A$4:$L$53,10,FALSE),IF(LEFT(Data!F41,2)="35",VLOOKUP(K41,'CSB Data'!$N$4:$Y$39,10,FALSE)))),(IF(E41="Hse",IF(ISBLANK(A41)=TRUE,"",VLOOKUP(J41,Sheet1!$AA$4:$AQ$52,13,FALSE)),IF(E41="HDe",IF(ISBLANK(A41)=TRUE,"",VLOOKUP(J41,Sheet1!$AU$3:$BJ$19,13,FALSE)),IF(ISBLANK(A41)=TRUE,"","series error")))))</f>
        <v/>
      </c>
      <c r="N41" s="91" t="str">
        <f>IF(E41="CSB",(IF(LEFT(Data!F41,2)="30",VLOOKUP(K41,'CSB Data'!$A$4:$L$53,11,FALSE),IF(LEFT(Data!F41,2)="35",VLOOKUP(K41,'CSB Data'!$N$4:$Y$39,11,FALSE)))),(IF(E41="Hse",IF(ISBLANK(A41)=TRUE,"",VLOOKUP(J41,Sheet1!$AA$4:$AQ$52,12,FALSE)),IF(E41="HDe",IF(ISBLANK(A41)=TRUE,"",VLOOKUP(J41,Sheet1!$AU$3:$BJ$19,12,FALSE)),IF(ISBLANK(A41)=TRUE,"","series error")))))</f>
        <v/>
      </c>
      <c r="O41" s="3"/>
      <c r="P41" s="91" t="str">
        <f t="shared" si="25"/>
        <v/>
      </c>
      <c r="Q41" s="91" t="str">
        <f t="array" ref="Q41">IF(ISBLANK(A41)=TRUE,"",IF(EXACT(M41,U41),"NONE",IF(VLOOKUP(M41,$AV$1:$AW$8,2,)&gt;VLOOKUP(U41,$AV$1:$AW$8,2,),CONCATENATE((M41),($A$4),(U41)),CONCATENATE((U41),($A$4),(M41)))))</f>
        <v/>
      </c>
      <c r="R41" s="91" t="str">
        <f t="shared" si="26"/>
        <v/>
      </c>
      <c r="S41" s="110"/>
      <c r="T41" s="110"/>
      <c r="U41" s="108"/>
      <c r="V41" s="108"/>
      <c r="W41" s="108"/>
      <c r="X41" s="108"/>
      <c r="Y41" s="91" t="str">
        <f t="shared" si="28"/>
        <v/>
      </c>
      <c r="Z41" s="91" t="str">
        <f t="shared" si="27"/>
        <v/>
      </c>
      <c r="AA41" s="91" t="str">
        <f t="shared" ref="AA41:AA50" si="30">IF(ISBLANK(A41)=TRUE,"",IF(E41="HSe","AT COIL"," AT FAN SIDE"))</f>
        <v/>
      </c>
      <c r="AB41" t="str">
        <f t="shared" si="9"/>
        <v/>
      </c>
      <c r="AC41" s="105" t="str">
        <f>IF(E41="CSB",(IF(LEFT(Data!F41,2)="30",(VLOOKUP(K41,'CSB Data'!$A$4:$L$53,4,FALSE)+1)*2,IF(LEFT(Data!F41,2)="35",(VLOOKUP(K41,'CSB Data'!$N$4:$Y$39,4,FALSE)+1)*2))),(IF(E41="Hse",IF(ISBLANK(A41)=TRUE,"",(VLOOKUP(J41,Sheet1!$AA$4:$AQ$52,8,FALSE)+1)*2),IF(E41="HDe",IF(ISBLANK(A41)=TRUE,"",(VLOOKUP(J41,Sheet1!$AU$3:$BJ$19,8,FALSE)+1)*2),IF(ISBLANK(A41)=TRUE,"","series error")))))</f>
        <v/>
      </c>
      <c r="AD41">
        <f t="shared" si="21"/>
        <v>0</v>
      </c>
      <c r="AH41" s="120"/>
      <c r="AI41" s="135" t="s">
        <v>97</v>
      </c>
      <c r="AJ41" s="136" t="s">
        <v>98</v>
      </c>
      <c r="AK41" s="137">
        <v>0</v>
      </c>
      <c r="AM41" s="115"/>
    </row>
    <row r="42" spans="1:42" x14ac:dyDescent="0.3">
      <c r="A42" s="108"/>
      <c r="B42" s="108"/>
      <c r="C42" s="108"/>
      <c r="D42" s="108"/>
      <c r="E42" s="108"/>
      <c r="F42" s="108"/>
      <c r="G42" s="108"/>
      <c r="H42" s="257" t="str">
        <f t="shared" si="22"/>
        <v/>
      </c>
      <c r="I42" s="108"/>
      <c r="J42" s="91" t="str">
        <f t="shared" si="23"/>
        <v/>
      </c>
      <c r="K42" s="91" t="str">
        <f t="shared" si="29"/>
        <v/>
      </c>
      <c r="L42" s="108"/>
      <c r="M42" s="91" t="str">
        <f>IF(E42="CSB",(IF(LEFT(Data!F42,2)="30",VLOOKUP(K42,'CSB Data'!$A$4:$L$53,10,FALSE),IF(LEFT(Data!F42,2)="35",VLOOKUP(K42,'CSB Data'!$N$4:$Y$39,10,FALSE)))),(IF(E42="Hse",IF(ISBLANK(A42)=TRUE,"",VLOOKUP(J42,Sheet1!$AA$4:$AQ$52,13,FALSE)),IF(E42="HDe",IF(ISBLANK(A42)=TRUE,"",VLOOKUP(J42,Sheet1!$AU$3:$BJ$19,13,FALSE)),IF(ISBLANK(A42)=TRUE,"","series error")))))</f>
        <v/>
      </c>
      <c r="N42" s="91" t="str">
        <f>IF(E42="CSB",(IF(LEFT(Data!F42,2)="30",VLOOKUP(K42,'CSB Data'!$A$4:$L$53,11,FALSE),IF(LEFT(Data!F42,2)="35",VLOOKUP(K42,'CSB Data'!$N$4:$Y$39,11,FALSE)))),(IF(E42="Hse",IF(ISBLANK(A42)=TRUE,"",VLOOKUP(J42,Sheet1!$AA$4:$AQ$52,12,FALSE)),IF(E42="HDe",IF(ISBLANK(A42)=TRUE,"",VLOOKUP(J42,Sheet1!$AU$3:$BJ$19,12,FALSE)),IF(ISBLANK(A42)=TRUE,"","series error")))))</f>
        <v/>
      </c>
      <c r="O42" s="3"/>
      <c r="P42" s="91" t="str">
        <f t="shared" si="25"/>
        <v/>
      </c>
      <c r="Q42" s="91" t="str">
        <f t="array" ref="Q42">IF(ISBLANK(A42)=TRUE,"",IF(EXACT(M42,U42),"NONE",IF(VLOOKUP(M42,$AV$1:$AW$8,2,)&gt;VLOOKUP(U42,$AV$1:$AW$8,2,),CONCATENATE((M42),($A$4),(U42)),CONCATENATE((U42),($A$4),(M42)))))</f>
        <v/>
      </c>
      <c r="R42" s="91" t="str">
        <f t="shared" si="26"/>
        <v/>
      </c>
      <c r="S42" s="110"/>
      <c r="T42" s="110"/>
      <c r="U42" s="108"/>
      <c r="V42" s="108"/>
      <c r="W42" s="108"/>
      <c r="X42" s="108"/>
      <c r="Y42" s="91" t="str">
        <f t="shared" si="28"/>
        <v/>
      </c>
      <c r="Z42" s="91" t="str">
        <f t="shared" si="27"/>
        <v/>
      </c>
      <c r="AA42" s="91" t="str">
        <f t="shared" si="30"/>
        <v/>
      </c>
      <c r="AB42" t="str">
        <f t="shared" si="9"/>
        <v/>
      </c>
      <c r="AC42" s="105" t="str">
        <f>IF(E42="CSB",(IF(LEFT(Data!F42,2)="30",(VLOOKUP(K42,'CSB Data'!$A$4:$L$53,4,FALSE)+1)*2,IF(LEFT(Data!F42,2)="35",(VLOOKUP(K42,'CSB Data'!$N$4:$Y$39,4,FALSE)+1)*2))),(IF(E42="Hse",IF(ISBLANK(A42)=TRUE,"",(VLOOKUP(J42,Sheet1!$AA$4:$AQ$52,8,FALSE)+1)*2),IF(E42="HDe",IF(ISBLANK(A42)=TRUE,"",(VLOOKUP(J42,Sheet1!$AU$3:$BJ$19,8,FALSE)+1)*2),IF(ISBLANK(A42)=TRUE,"","series error")))))</f>
        <v/>
      </c>
      <c r="AD42">
        <f t="shared" si="21"/>
        <v>0</v>
      </c>
      <c r="AH42" s="120"/>
      <c r="AI42" s="135" t="s">
        <v>4</v>
      </c>
      <c r="AJ42" s="136" t="s">
        <v>98</v>
      </c>
      <c r="AK42" s="137">
        <v>0</v>
      </c>
      <c r="AM42" s="115"/>
    </row>
    <row r="43" spans="1:42" ht="15" thickBot="1" x14ac:dyDescent="0.35">
      <c r="A43" s="108"/>
      <c r="B43" s="108"/>
      <c r="C43" s="108"/>
      <c r="D43" s="108"/>
      <c r="E43" s="108"/>
      <c r="F43" s="108"/>
      <c r="G43" s="108"/>
      <c r="H43" s="257" t="str">
        <f t="shared" si="22"/>
        <v/>
      </c>
      <c r="I43" s="108"/>
      <c r="J43" s="91" t="str">
        <f t="shared" si="23"/>
        <v/>
      </c>
      <c r="K43" s="91" t="str">
        <f t="shared" si="29"/>
        <v/>
      </c>
      <c r="L43" s="108"/>
      <c r="M43" s="91" t="str">
        <f>IF(E43="CSB",(IF(LEFT(Data!F43,2)="30",VLOOKUP(K43,'CSB Data'!$A$4:$L$53,10,FALSE),IF(LEFT(Data!F43,2)="35",VLOOKUP(K43,'CSB Data'!$N$4:$Y$39,10,FALSE)))),(IF(E43="Hse",IF(ISBLANK(A43)=TRUE,"",VLOOKUP(J43,Sheet1!$AA$4:$AQ$52,13,FALSE)),IF(E43="HDe",IF(ISBLANK(A43)=TRUE,"",VLOOKUP(J43,Sheet1!$AU$3:$BJ$19,13,FALSE)),IF(ISBLANK(A43)=TRUE,"","series error")))))</f>
        <v/>
      </c>
      <c r="N43" s="91" t="str">
        <f>IF(E43="CSB",(IF(LEFT(Data!F43,2)="30",VLOOKUP(K43,'CSB Data'!$A$4:$L$53,11,FALSE),IF(LEFT(Data!F43,2)="35",VLOOKUP(K43,'CSB Data'!$N$4:$Y$39,11,FALSE)))),(IF(E43="Hse",IF(ISBLANK(A43)=TRUE,"",VLOOKUP(J43,Sheet1!$AA$4:$AQ$52,12,FALSE)),IF(E43="HDe",IF(ISBLANK(A43)=TRUE,"",VLOOKUP(J43,Sheet1!$AU$3:$BJ$19,12,FALSE)),IF(ISBLANK(A43)=TRUE,"","series error")))))</f>
        <v/>
      </c>
      <c r="O43" s="3"/>
      <c r="P43" s="91" t="str">
        <f t="shared" si="25"/>
        <v/>
      </c>
      <c r="Q43" s="91" t="str">
        <f t="array" ref="Q43">IF(ISBLANK(A43)=TRUE,"",IF(EXACT(M43,U43),"NONE",IF(VLOOKUP(M43,$AV$1:$AW$8,2,)&gt;VLOOKUP(U43,$AV$1:$AW$8,2,),CONCATENATE((M43),($A$4),(U43)),CONCATENATE((U43),($A$4),(M43)))))</f>
        <v/>
      </c>
      <c r="R43" s="91" t="str">
        <f t="shared" si="26"/>
        <v/>
      </c>
      <c r="S43" s="110"/>
      <c r="T43" s="110"/>
      <c r="U43" s="108"/>
      <c r="V43" s="108"/>
      <c r="W43" s="108"/>
      <c r="X43" s="108"/>
      <c r="Y43" s="91" t="str">
        <f t="shared" si="28"/>
        <v/>
      </c>
      <c r="Z43" s="91" t="str">
        <f t="shared" si="27"/>
        <v/>
      </c>
      <c r="AA43" s="91" t="str">
        <f t="shared" si="30"/>
        <v/>
      </c>
      <c r="AB43" t="str">
        <f t="shared" si="9"/>
        <v/>
      </c>
      <c r="AC43" s="105" t="str">
        <f>IF(E43="CSB",(IF(LEFT(Data!F43,2)="30",(VLOOKUP(K43,'CSB Data'!$A$4:$L$53,4,FALSE)+1)*2,IF(LEFT(Data!F43,2)="35",(VLOOKUP(K43,'CSB Data'!$N$4:$Y$39,4,FALSE)+1)*2))),(IF(E43="Hse",IF(ISBLANK(A43)=TRUE,"",(VLOOKUP(J43,Sheet1!$AA$4:$AQ$52,8,FALSE)+1)*2),IF(E43="HDe",IF(ISBLANK(A43)=TRUE,"",(VLOOKUP(J43,Sheet1!$AU$3:$BJ$19,8,FALSE)+1)*2),IF(ISBLANK(A43)=TRUE,"","series error")))))</f>
        <v/>
      </c>
      <c r="AD43">
        <f t="shared" si="21"/>
        <v>0</v>
      </c>
      <c r="AH43" s="120"/>
      <c r="AM43" s="115"/>
      <c r="AN43" s="1"/>
      <c r="AO43" s="1"/>
      <c r="AP43" s="1"/>
    </row>
    <row r="44" spans="1:42" ht="15" thickBot="1" x14ac:dyDescent="0.35">
      <c r="A44" s="108"/>
      <c r="B44" s="108"/>
      <c r="C44" s="108"/>
      <c r="D44" s="108"/>
      <c r="E44" s="108"/>
      <c r="F44" s="108"/>
      <c r="G44" s="108"/>
      <c r="H44" s="257" t="str">
        <f t="shared" si="22"/>
        <v/>
      </c>
      <c r="I44" s="108"/>
      <c r="J44" s="91" t="str">
        <f t="shared" si="23"/>
        <v/>
      </c>
      <c r="K44" s="91" t="str">
        <f t="shared" si="29"/>
        <v/>
      </c>
      <c r="L44" s="108"/>
      <c r="M44" s="91" t="str">
        <f>IF(E44="CSB",(IF(LEFT(Data!F44,2)="30",VLOOKUP(K44,'CSB Data'!$A$4:$L$53,10,FALSE),IF(LEFT(Data!F44,2)="35",VLOOKUP(K44,'CSB Data'!$N$4:$Y$39,10,FALSE)))),(IF(E44="Hse",IF(ISBLANK(A44)=TRUE,"",VLOOKUP(J44,Sheet1!$AA$4:$AQ$52,13,FALSE)),IF(E44="HDe",IF(ISBLANK(A44)=TRUE,"",VLOOKUP(J44,Sheet1!$AU$3:$BJ$19,13,FALSE)),IF(ISBLANK(A44)=TRUE,"","series error")))))</f>
        <v/>
      </c>
      <c r="N44" s="91" t="str">
        <f>IF(E44="CSB",(IF(LEFT(Data!F44,2)="30",VLOOKUP(K44,'CSB Data'!$A$4:$L$53,11,FALSE),IF(LEFT(Data!F44,2)="35",VLOOKUP(K44,'CSB Data'!$N$4:$Y$39,11,FALSE)))),(IF(E44="Hse",IF(ISBLANK(A44)=TRUE,"",VLOOKUP(J44,Sheet1!$AA$4:$AQ$52,12,FALSE)),IF(E44="HDe",IF(ISBLANK(A44)=TRUE,"",VLOOKUP(J44,Sheet1!$AU$3:$BJ$19,12,FALSE)),IF(ISBLANK(A44)=TRUE,"","series error")))))</f>
        <v/>
      </c>
      <c r="O44" s="3"/>
      <c r="P44" s="91" t="str">
        <f t="shared" si="25"/>
        <v/>
      </c>
      <c r="Q44" s="91" t="str">
        <f t="array" ref="Q44">IF(ISBLANK(A44)=TRUE,"",IF(EXACT(M44,U44),"NONE",IF(VLOOKUP(M44,$AV$1:$AW$8,2,)&gt;VLOOKUP(U44,$AV$1:$AW$8,2,),CONCATENATE((M44),($A$4),(U44)),CONCATENATE((U44),($A$4),(M44)))))</f>
        <v/>
      </c>
      <c r="R44" s="91" t="str">
        <f t="shared" si="26"/>
        <v/>
      </c>
      <c r="S44" s="110"/>
      <c r="T44" s="110"/>
      <c r="U44" s="108"/>
      <c r="V44" s="108"/>
      <c r="W44" s="108"/>
      <c r="X44" s="108"/>
      <c r="Y44" s="91" t="str">
        <f>IF(ISBLANK(A44)=TRUE,"",CONCATENATE(V44," Castel"))</f>
        <v/>
      </c>
      <c r="Z44" s="91" t="str">
        <f t="shared" si="27"/>
        <v/>
      </c>
      <c r="AA44" s="91" t="str">
        <f t="shared" si="30"/>
        <v/>
      </c>
      <c r="AB44" t="str">
        <f t="shared" si="9"/>
        <v/>
      </c>
      <c r="AC44" s="105" t="str">
        <f>IF(E44="CSB",(IF(LEFT(Data!F44,2)="30",(VLOOKUP(K44,'CSB Data'!$A$4:$L$53,4,FALSE)+1)*2,IF(LEFT(Data!F44,2)="35",(VLOOKUP(K44,'CSB Data'!$N$4:$Y$39,4,FALSE)+1)*2))),(IF(E44="Hse",IF(ISBLANK(A44)=TRUE,"",(VLOOKUP(J44,Sheet1!$AA$4:$AQ$52,8,FALSE)+1)*2),IF(E44="HDe",IF(ISBLANK(A44)=TRUE,"",(VLOOKUP(J44,Sheet1!$AU$3:$BJ$19,8,FALSE)+1)*2),IF(ISBLANK(A44)=TRUE,"","series error")))))</f>
        <v/>
      </c>
      <c r="AD44">
        <f t="shared" si="21"/>
        <v>0</v>
      </c>
      <c r="AH44" s="299" t="s">
        <v>99</v>
      </c>
      <c r="AI44" s="300"/>
      <c r="AJ44" s="300"/>
      <c r="AK44" s="300"/>
      <c r="AL44" s="300"/>
      <c r="AM44" s="301"/>
    </row>
    <row r="45" spans="1:42" ht="15" thickBot="1" x14ac:dyDescent="0.35">
      <c r="A45" s="108"/>
      <c r="B45" s="108"/>
      <c r="C45" s="108"/>
      <c r="D45" s="108"/>
      <c r="E45" s="108"/>
      <c r="F45" s="108"/>
      <c r="G45" s="108"/>
      <c r="H45" s="257" t="str">
        <f t="shared" si="22"/>
        <v/>
      </c>
      <c r="I45" s="108"/>
      <c r="J45" s="91" t="str">
        <f t="shared" si="23"/>
        <v/>
      </c>
      <c r="K45" s="91" t="str">
        <f t="shared" si="29"/>
        <v/>
      </c>
      <c r="L45" s="108"/>
      <c r="M45" s="91" t="str">
        <f>IF(E45="CSB",(IF(LEFT(Data!F45,2)="30",VLOOKUP(K45,'CSB Data'!$A$4:$L$53,10,FALSE),IF(LEFT(Data!F45,2)="35",VLOOKUP(K45,'CSB Data'!$N$4:$Y$39,10,FALSE)))),(IF(E45="Hse",IF(ISBLANK(A45)=TRUE,"",VLOOKUP(J45,Sheet1!$AA$4:$AQ$52,13,FALSE)),IF(E45="HDe",IF(ISBLANK(A45)=TRUE,"",VLOOKUP(J45,Sheet1!$AU$3:$BJ$19,13,FALSE)),IF(ISBLANK(A45)=TRUE,"","series error")))))</f>
        <v/>
      </c>
      <c r="N45" s="91" t="str">
        <f>IF(E45="CSB",(IF(LEFT(Data!F45,2)="30",VLOOKUP(K45,'CSB Data'!$A$4:$L$53,11,FALSE),IF(LEFT(Data!F45,2)="35",VLOOKUP(K45,'CSB Data'!$N$4:$Y$39,11,FALSE)))),(IF(E45="Hse",IF(ISBLANK(A45)=TRUE,"",VLOOKUP(J45,Sheet1!$AA$4:$AQ$52,12,FALSE)),IF(E45="HDe",IF(ISBLANK(A45)=TRUE,"",VLOOKUP(J45,Sheet1!$AU$3:$BJ$19,12,FALSE)),IF(ISBLANK(A45)=TRUE,"","series error")))))</f>
        <v/>
      </c>
      <c r="O45" s="3"/>
      <c r="P45" s="91" t="str">
        <f t="shared" si="25"/>
        <v/>
      </c>
      <c r="Q45" s="91" t="str">
        <f t="array" ref="Q45">IF(ISBLANK(A45)=TRUE,"",IF(EXACT(M45,U45),"NONE",IF(VLOOKUP(M45,$AV$1:$AW$8,2,)&gt;VLOOKUP(U45,$AV$1:$AW$8,2,),CONCATENATE((M45),($A$4),(U45)),CONCATENATE((U45),($A$4),(M45)))))</f>
        <v/>
      </c>
      <c r="R45" s="91" t="str">
        <f t="shared" si="26"/>
        <v/>
      </c>
      <c r="S45" s="110"/>
      <c r="T45" s="110"/>
      <c r="U45" s="108"/>
      <c r="V45" s="108"/>
      <c r="W45" s="108"/>
      <c r="X45" s="108"/>
      <c r="Y45" s="91" t="str">
        <f t="shared" ref="Y45:Y50" si="31">IF(ISBLANK(A45)=TRUE,"",CONCATENATE(V45," Castel"))</f>
        <v/>
      </c>
      <c r="Z45" s="91" t="str">
        <f t="shared" ref="Z45:Z50" si="32">IF(ISBLANK(A45)=TRUE,"",IF(E45="HSR","IN COIL"," IN COIL"))</f>
        <v/>
      </c>
      <c r="AA45" s="91" t="str">
        <f t="shared" si="30"/>
        <v/>
      </c>
      <c r="AB45" t="str">
        <f t="shared" si="9"/>
        <v/>
      </c>
      <c r="AC45" s="105" t="str">
        <f>IF(E45="CSB",(IF(LEFT(Data!F45,2)="30",(VLOOKUP(K45,'CSB Data'!$A$4:$L$53,4,FALSE)+1)*2,IF(LEFT(Data!F45,2)="35",(VLOOKUP(K45,'CSB Data'!$N$4:$Y$39,4,FALSE)+1)*2))),(IF(E45="Hse",IF(ISBLANK(A45)=TRUE,"",(VLOOKUP(J45,Sheet1!$AA$4:$AQ$52,8,FALSE)+1)*2),IF(E45="HDe",IF(ISBLANK(A45)=TRUE,"",(VLOOKUP(J45,Sheet1!$AU$3:$BJ$19,8,FALSE)+1)*2),IF(ISBLANK(A45)=TRUE,"","series error")))))</f>
        <v/>
      </c>
      <c r="AD45">
        <f t="shared" si="21"/>
        <v>0</v>
      </c>
      <c r="AH45" s="120"/>
      <c r="AI45" s="131"/>
      <c r="AJ45" s="114"/>
      <c r="AK45" s="114"/>
      <c r="AM45" s="115"/>
    </row>
    <row r="46" spans="1:42" ht="15" thickBot="1" x14ac:dyDescent="0.35">
      <c r="A46" s="108"/>
      <c r="B46" s="108"/>
      <c r="C46" s="108"/>
      <c r="D46" s="108"/>
      <c r="E46" s="108"/>
      <c r="F46" s="108"/>
      <c r="G46" s="108"/>
      <c r="H46" s="257" t="str">
        <f t="shared" si="22"/>
        <v/>
      </c>
      <c r="I46" s="108"/>
      <c r="J46" s="91" t="str">
        <f t="shared" si="23"/>
        <v/>
      </c>
      <c r="K46" s="91" t="str">
        <f t="shared" si="29"/>
        <v/>
      </c>
      <c r="L46" s="108"/>
      <c r="M46" s="91" t="str">
        <f>IF(E46="CSB",(IF(LEFT(Data!F46,2)="30",VLOOKUP(K46,'CSB Data'!$A$4:$L$53,10,FALSE),IF(LEFT(Data!F46,2)="35",VLOOKUP(K46,'CSB Data'!$N$4:$Y$39,10,FALSE)))),(IF(E46="Hse",IF(ISBLANK(A46)=TRUE,"",VLOOKUP(J46,Sheet1!$AA$4:$AQ$52,13,FALSE)),IF(E46="HDe",IF(ISBLANK(A46)=TRUE,"",VLOOKUP(J46,Sheet1!$AU$3:$BJ$19,13,FALSE)),IF(ISBLANK(A46)=TRUE,"","series error")))))</f>
        <v/>
      </c>
      <c r="N46" s="91" t="str">
        <f>IF(E46="CSB",(IF(LEFT(Data!F46,2)="30",VLOOKUP(K46,'CSB Data'!$A$4:$L$53,11,FALSE),IF(LEFT(Data!F46,2)="35",VLOOKUP(K46,'CSB Data'!$N$4:$Y$39,11,FALSE)))),(IF(E46="Hse",IF(ISBLANK(A46)=TRUE,"",VLOOKUP(J46,Sheet1!$AA$4:$AQ$52,12,FALSE)),IF(E46="HDe",IF(ISBLANK(A46)=TRUE,"",VLOOKUP(J46,Sheet1!$AU$3:$BJ$19,12,FALSE)),IF(ISBLANK(A46)=TRUE,"","series error")))))</f>
        <v/>
      </c>
      <c r="O46" s="3"/>
      <c r="P46" s="91" t="str">
        <f t="shared" si="25"/>
        <v/>
      </c>
      <c r="Q46" s="91" t="str">
        <f t="array" ref="Q46">IF(ISBLANK(A46)=TRUE,"",IF(EXACT(M46,U46),"NONE",IF(VLOOKUP(M46,$AV$1:$AW$8,2,)&gt;VLOOKUP(U46,$AV$1:$AW$8,2,),CONCATENATE((M46),($A$4),(U46)),CONCATENATE((U46),($A$4),(M46)))))</f>
        <v/>
      </c>
      <c r="R46" s="91" t="str">
        <f t="shared" si="26"/>
        <v/>
      </c>
      <c r="S46" s="110"/>
      <c r="T46" s="110"/>
      <c r="U46" s="108"/>
      <c r="V46" s="108"/>
      <c r="W46" s="108"/>
      <c r="X46" s="108"/>
      <c r="Y46" s="91" t="str">
        <f t="shared" si="31"/>
        <v/>
      </c>
      <c r="Z46" s="91" t="str">
        <f t="shared" si="32"/>
        <v/>
      </c>
      <c r="AA46" s="91" t="str">
        <f t="shared" si="30"/>
        <v/>
      </c>
      <c r="AB46" t="str">
        <f t="shared" si="9"/>
        <v/>
      </c>
      <c r="AC46" s="105" t="str">
        <f>IF(E46="CSB",(IF(LEFT(Data!F46,2)="30",(VLOOKUP(K46,'CSB Data'!$A$4:$L$53,4,FALSE)+1)*2,IF(LEFT(Data!F46,2)="35",(VLOOKUP(K46,'CSB Data'!$N$4:$Y$39,4,FALSE)+1)*2))),(IF(E46="Hse",IF(ISBLANK(A46)=TRUE,"",(VLOOKUP(J46,Sheet1!$AA$4:$AQ$52,8,FALSE)+1)*2),IF(E46="HDe",IF(ISBLANK(A46)=TRUE,"",(VLOOKUP(J46,Sheet1!$AU$3:$BJ$19,8,FALSE)+1)*2),IF(ISBLANK(A46)=TRUE,"","series error")))))</f>
        <v/>
      </c>
      <c r="AD46">
        <f t="shared" si="21"/>
        <v>0</v>
      </c>
      <c r="AH46" s="120"/>
      <c r="AI46" s="124" t="s">
        <v>83</v>
      </c>
      <c r="AJ46" s="125" t="s">
        <v>84</v>
      </c>
      <c r="AK46" s="126" t="s">
        <v>85</v>
      </c>
      <c r="AM46" s="115"/>
      <c r="AN46" s="1"/>
      <c r="AO46" s="1"/>
      <c r="AP46" s="1"/>
    </row>
    <row r="47" spans="1:42" x14ac:dyDescent="0.3">
      <c r="A47" s="108"/>
      <c r="B47" s="108"/>
      <c r="C47" s="108"/>
      <c r="D47" s="108"/>
      <c r="E47" s="108"/>
      <c r="F47" s="108"/>
      <c r="G47" s="108"/>
      <c r="H47" s="257" t="str">
        <f t="shared" si="22"/>
        <v/>
      </c>
      <c r="I47" s="108"/>
      <c r="J47" s="91" t="str">
        <f t="shared" si="23"/>
        <v/>
      </c>
      <c r="K47" s="91" t="str">
        <f t="shared" si="29"/>
        <v/>
      </c>
      <c r="L47" s="108"/>
      <c r="M47" s="91" t="str">
        <f>IF(E47="CSB",(IF(LEFT(Data!F47,2)="30",VLOOKUP(K47,'CSB Data'!$A$4:$L$53,10,FALSE),IF(LEFT(Data!F47,2)="35",VLOOKUP(K47,'CSB Data'!$N$4:$Y$39,10,FALSE)))),(IF(E47="Hse",IF(ISBLANK(A47)=TRUE,"",VLOOKUP(J47,Sheet1!$AA$4:$AQ$52,13,FALSE)),IF(E47="HDe",IF(ISBLANK(A47)=TRUE,"",VLOOKUP(J47,Sheet1!$AU$3:$BJ$19,13,FALSE)),IF(ISBLANK(A47)=TRUE,"","series error")))))</f>
        <v/>
      </c>
      <c r="N47" s="91" t="str">
        <f>IF(E47="CSB",(IF(LEFT(Data!F47,2)="30",VLOOKUP(K47,'CSB Data'!$A$4:$L$53,11,FALSE),IF(LEFT(Data!F47,2)="35",VLOOKUP(K47,'CSB Data'!$N$4:$Y$39,11,FALSE)))),(IF(E47="Hse",IF(ISBLANK(A47)=TRUE,"",VLOOKUP(J47,Sheet1!$AA$4:$AQ$52,12,FALSE)),IF(E47="HDe",IF(ISBLANK(A47)=TRUE,"",VLOOKUP(J47,Sheet1!$AU$3:$BJ$19,12,FALSE)),IF(ISBLANK(A47)=TRUE,"","series error")))))</f>
        <v/>
      </c>
      <c r="O47" s="3"/>
      <c r="P47" s="91" t="str">
        <f t="shared" si="25"/>
        <v/>
      </c>
      <c r="Q47" s="91" t="str">
        <f t="array" ref="Q47">IF(ISBLANK(A47)=TRUE,"",IF(EXACT(M47,U47),"NONE",IF(VLOOKUP(M47,$AV$1:$AW$8,2,)&gt;VLOOKUP(U47,$AV$1:$AW$8,2,),CONCATENATE((M47),($A$4),(U47)),CONCATENATE((U47),($A$4),(M47)))))</f>
        <v/>
      </c>
      <c r="R47" s="91" t="str">
        <f t="shared" si="26"/>
        <v/>
      </c>
      <c r="S47" s="110"/>
      <c r="T47" s="110"/>
      <c r="U47" s="108"/>
      <c r="V47" s="108"/>
      <c r="W47" s="108"/>
      <c r="X47" s="108"/>
      <c r="Y47" s="91" t="str">
        <f t="shared" si="31"/>
        <v/>
      </c>
      <c r="Z47" s="91" t="str">
        <f t="shared" si="32"/>
        <v/>
      </c>
      <c r="AA47" s="91" t="str">
        <f t="shared" si="30"/>
        <v/>
      </c>
      <c r="AB47" t="str">
        <f t="shared" si="9"/>
        <v/>
      </c>
      <c r="AC47" s="105" t="str">
        <f>IF(E47="CSB",(IF(LEFT(Data!F47,2)="30",(VLOOKUP(K47,'CSB Data'!$A$4:$L$53,4,FALSE)+1)*2,IF(LEFT(Data!F47,2)="35",(VLOOKUP(K47,'CSB Data'!$N$4:$Y$39,4,FALSE)+1)*2))),(IF(E47="Hse",IF(ISBLANK(A47)=TRUE,"",(VLOOKUP(J47,Sheet1!$AA$4:$AQ$52,8,FALSE)+1)*2),IF(E47="HDe",IF(ISBLANK(A47)=TRUE,"",(VLOOKUP(J47,Sheet1!$AU$3:$BJ$19,8,FALSE)+1)*2),IF(ISBLANK(A47)=TRUE,"","series error")))))</f>
        <v/>
      </c>
      <c r="AD47">
        <f t="shared" si="21"/>
        <v>0</v>
      </c>
      <c r="AH47" s="120"/>
      <c r="AI47" s="129" t="s">
        <v>88</v>
      </c>
      <c r="AJ47" s="91" t="s">
        <v>100</v>
      </c>
      <c r="AK47" s="91">
        <f>SUMIF($U$13:$U$32,"5/8*",$L$13:$L$32)</f>
        <v>0</v>
      </c>
      <c r="AM47" s="115"/>
    </row>
    <row r="48" spans="1:42" x14ac:dyDescent="0.3">
      <c r="A48" s="108"/>
      <c r="B48" s="108"/>
      <c r="C48" s="108"/>
      <c r="D48" s="108"/>
      <c r="E48" s="108"/>
      <c r="F48" s="108"/>
      <c r="G48" s="108"/>
      <c r="H48" s="257" t="str">
        <f t="shared" si="22"/>
        <v/>
      </c>
      <c r="I48" s="108"/>
      <c r="J48" s="91" t="str">
        <f t="shared" si="23"/>
        <v/>
      </c>
      <c r="K48" s="91" t="str">
        <f t="shared" si="29"/>
        <v/>
      </c>
      <c r="L48" s="108"/>
      <c r="M48" s="91" t="str">
        <f>IF(E48="CSB",(IF(LEFT(Data!F48,2)="30",VLOOKUP(K48,'CSB Data'!$A$4:$L$53,10,FALSE),IF(LEFT(Data!F48,2)="35",VLOOKUP(K48,'CSB Data'!$N$4:$Y$39,10,FALSE)))),(IF(E48="Hse",IF(ISBLANK(A48)=TRUE,"",VLOOKUP(J48,Sheet1!$AA$4:$AQ$52,13,FALSE)),IF(E48="HDe",IF(ISBLANK(A48)=TRUE,"",VLOOKUP(J48,Sheet1!$AU$3:$BJ$19,13,FALSE)),IF(ISBLANK(A48)=TRUE,"","series error")))))</f>
        <v/>
      </c>
      <c r="N48" s="91" t="str">
        <f>IF(E48="CSB",(IF(LEFT(Data!F48,2)="30",VLOOKUP(K48,'CSB Data'!$A$4:$L$53,11,FALSE),IF(LEFT(Data!F48,2)="35",VLOOKUP(K48,'CSB Data'!$N$4:$Y$39,11,FALSE)))),(IF(E48="Hse",IF(ISBLANK(A48)=TRUE,"",VLOOKUP(J48,Sheet1!$AA$4:$AQ$52,12,FALSE)),IF(E48="HDe",IF(ISBLANK(A48)=TRUE,"",VLOOKUP(J48,Sheet1!$AU$3:$BJ$19,12,FALSE)),IF(ISBLANK(A48)=TRUE,"","series error")))))</f>
        <v/>
      </c>
      <c r="O48" s="3"/>
      <c r="P48" s="91" t="str">
        <f t="shared" si="25"/>
        <v/>
      </c>
      <c r="Q48" s="91" t="str">
        <f t="array" ref="Q48">IF(ISBLANK(A48)=TRUE,"",IF(EXACT(M48,U48),"NONE",IF(VLOOKUP(M48,$AV$1:$AW$8,2,)&gt;VLOOKUP(U48,$AV$1:$AW$8,2,),CONCATENATE((M48),($A$4),(U48)),CONCATENATE((U48),($A$4),(M48)))))</f>
        <v/>
      </c>
      <c r="R48" s="91" t="str">
        <f t="shared" si="26"/>
        <v/>
      </c>
      <c r="S48" s="110"/>
      <c r="T48" s="110"/>
      <c r="U48" s="108"/>
      <c r="V48" s="108"/>
      <c r="W48" s="108"/>
      <c r="X48" s="108"/>
      <c r="Y48" s="91" t="str">
        <f t="shared" si="31"/>
        <v/>
      </c>
      <c r="Z48" s="91" t="str">
        <f t="shared" si="32"/>
        <v/>
      </c>
      <c r="AA48" s="91" t="str">
        <f t="shared" si="30"/>
        <v/>
      </c>
      <c r="AB48" t="str">
        <f t="shared" si="9"/>
        <v/>
      </c>
      <c r="AC48" s="105" t="str">
        <f>IF(E48="CSB",(IF(LEFT(Data!F48,2)="30",(VLOOKUP(K48,'CSB Data'!$A$4:$L$53,4,FALSE)+1)*2,IF(LEFT(Data!F48,2)="35",(VLOOKUP(K48,'CSB Data'!$N$4:$Y$39,4,FALSE)+1)*2))),(IF(E48="Hse",IF(ISBLANK(A48)=TRUE,"",(VLOOKUP(J48,Sheet1!$AA$4:$AQ$52,8,FALSE)+1)*2),IF(E48="HDe",IF(ISBLANK(A48)=TRUE,"",(VLOOKUP(J48,Sheet1!$AU$3:$BJ$19,8,FALSE)+1)*2),IF(ISBLANK(A48)=TRUE,"","series error")))))</f>
        <v/>
      </c>
      <c r="AD48">
        <f t="shared" si="21"/>
        <v>0</v>
      </c>
      <c r="AH48" s="120"/>
      <c r="AI48" s="129" t="s">
        <v>89</v>
      </c>
      <c r="AJ48" s="91" t="s">
        <v>100</v>
      </c>
      <c r="AK48" s="91">
        <f>SUMIF($U$13:$U$32,"3/4*",$L$13:$L$32)</f>
        <v>2</v>
      </c>
      <c r="AM48" s="115"/>
    </row>
    <row r="49" spans="1:42" x14ac:dyDescent="0.3">
      <c r="A49" s="108"/>
      <c r="B49" s="108"/>
      <c r="C49" s="108"/>
      <c r="D49" s="108"/>
      <c r="E49" s="108"/>
      <c r="F49" s="108"/>
      <c r="G49" s="108"/>
      <c r="H49" s="257" t="str">
        <f t="shared" si="22"/>
        <v/>
      </c>
      <c r="I49" s="108"/>
      <c r="J49" s="91" t="str">
        <f t="shared" si="23"/>
        <v/>
      </c>
      <c r="K49" s="91" t="str">
        <f t="shared" si="29"/>
        <v/>
      </c>
      <c r="L49" s="108"/>
      <c r="M49" s="91" t="str">
        <f>IF(E49="CSB",(IF(LEFT(Data!F49,2)="30",VLOOKUP(K49,'CSB Data'!$A$4:$L$53,10,FALSE),IF(LEFT(Data!F49,2)="35",VLOOKUP(K49,'CSB Data'!$N$4:$Y$39,10,FALSE)))),(IF(E49="Hse",IF(ISBLANK(A49)=TRUE,"",VLOOKUP(J49,Sheet1!$AA$4:$AQ$52,13,FALSE)),IF(E49="HDe",IF(ISBLANK(A49)=TRUE,"",VLOOKUP(J49,Sheet1!$AU$3:$BJ$19,13,FALSE)),IF(ISBLANK(A49)=TRUE,"","series error")))))</f>
        <v/>
      </c>
      <c r="N49" s="91" t="str">
        <f>IF(E49="CSB",(IF(LEFT(Data!F49,2)="30",VLOOKUP(K49,'CSB Data'!$A$4:$L$53,11,FALSE),IF(LEFT(Data!F49,2)="35",VLOOKUP(K49,'CSB Data'!$N$4:$Y$39,11,FALSE)))),(IF(E49="Hse",IF(ISBLANK(A49)=TRUE,"",VLOOKUP(J49,Sheet1!$AA$4:$AQ$52,12,FALSE)),IF(E49="HDe",IF(ISBLANK(A49)=TRUE,"",VLOOKUP(J49,Sheet1!$AU$3:$BJ$19,12,FALSE)),IF(ISBLANK(A49)=TRUE,"","series error")))))</f>
        <v/>
      </c>
      <c r="O49" s="3"/>
      <c r="P49" s="91" t="str">
        <f t="shared" si="25"/>
        <v/>
      </c>
      <c r="Q49" s="91" t="str">
        <f t="array" ref="Q49">IF(ISBLANK(A49)=TRUE,"",IF(EXACT(M49,U49),"NONE",IF(VLOOKUP(M49,$AV$1:$AW$8,2,)&gt;VLOOKUP(U49,$AV$1:$AW$8,2,),CONCATENATE((M49),($A$4),(U49)),CONCATENATE((U49),($A$4),(M49)))))</f>
        <v/>
      </c>
      <c r="R49" s="91" t="str">
        <f t="shared" si="26"/>
        <v/>
      </c>
      <c r="S49" s="110"/>
      <c r="T49" s="110"/>
      <c r="U49" s="108"/>
      <c r="V49" s="108"/>
      <c r="W49" s="108"/>
      <c r="X49" s="108"/>
      <c r="Y49" s="91" t="str">
        <f t="shared" si="31"/>
        <v/>
      </c>
      <c r="Z49" s="91" t="str">
        <f t="shared" si="32"/>
        <v/>
      </c>
      <c r="AA49" s="91" t="str">
        <f t="shared" si="30"/>
        <v/>
      </c>
      <c r="AB49" t="str">
        <f t="shared" si="9"/>
        <v/>
      </c>
      <c r="AC49" s="105" t="str">
        <f>IF(E49="CSB",(IF(LEFT(Data!F49,2)="30",(VLOOKUP(K49,'CSB Data'!$A$4:$L$53,4,FALSE)+1)*2,IF(LEFT(Data!F49,2)="35",(VLOOKUP(K49,'CSB Data'!$N$4:$Y$39,4,FALSE)+1)*2))),(IF(E49="Hse",IF(ISBLANK(A49)=TRUE,"",(VLOOKUP(J49,Sheet1!$AA$4:$AQ$52,8,FALSE)+1)*2),IF(E49="HDe",IF(ISBLANK(A49)=TRUE,"",(VLOOKUP(J49,Sheet1!$AU$3:$BJ$19,8,FALSE)+1)*2),IF(ISBLANK(A49)=TRUE,"","series error")))))</f>
        <v/>
      </c>
      <c r="AD49">
        <f t="shared" si="21"/>
        <v>0</v>
      </c>
      <c r="AH49" s="120"/>
      <c r="AI49" s="129" t="s">
        <v>90</v>
      </c>
      <c r="AJ49" s="91" t="s">
        <v>100</v>
      </c>
      <c r="AK49" s="91">
        <f>SUMIF($U$13:$U$32,"7/8*",$L$13:$L$32)</f>
        <v>1</v>
      </c>
      <c r="AM49" s="115"/>
    </row>
    <row r="50" spans="1:42" x14ac:dyDescent="0.3">
      <c r="A50" s="108"/>
      <c r="B50" s="108"/>
      <c r="C50" s="108"/>
      <c r="D50" s="108"/>
      <c r="E50" s="108"/>
      <c r="F50" s="108"/>
      <c r="G50" s="108"/>
      <c r="H50" s="257" t="str">
        <f t="shared" si="22"/>
        <v/>
      </c>
      <c r="I50" s="108"/>
      <c r="J50" s="91" t="str">
        <f t="shared" si="23"/>
        <v/>
      </c>
      <c r="K50" s="91" t="str">
        <f t="shared" si="29"/>
        <v/>
      </c>
      <c r="L50" s="108"/>
      <c r="M50" s="91" t="str">
        <f>IF(E50="CSB",(IF(LEFT(Data!F50,2)="30",VLOOKUP(K50,'CSB Data'!$A$4:$L$53,10,FALSE),IF(LEFT(Data!F50,2)="35",VLOOKUP(K50,'CSB Data'!$N$4:$Y$39,10,FALSE)))),(IF(E50="Hse",IF(ISBLANK(A50)=TRUE,"",VLOOKUP(J50,Sheet1!$AA$4:$AQ$52,13,FALSE)),IF(E50="HDe",IF(ISBLANK(A50)=TRUE,"",VLOOKUP(J50,Sheet1!$AU$3:$BJ$19,13,FALSE)),IF(ISBLANK(A50)=TRUE,"","series error")))))</f>
        <v/>
      </c>
      <c r="N50" s="91" t="str">
        <f>IF(E50="CSB",(IF(LEFT(Data!F50,2)="30",VLOOKUP(K50,'CSB Data'!$A$4:$L$53,11,FALSE),IF(LEFT(Data!F50,2)="35",VLOOKUP(K50,'CSB Data'!$N$4:$Y$39,11,FALSE)))),(IF(E50="Hse",IF(ISBLANK(A50)=TRUE,"",VLOOKUP(J50,Sheet1!$AA$4:$AQ$52,12,FALSE)),IF(E50="HDe",IF(ISBLANK(A50)=TRUE,"",VLOOKUP(J50,Sheet1!$AU$3:$BJ$19,12,FALSE)),IF(ISBLANK(A50)=TRUE,"","series error")))))</f>
        <v/>
      </c>
      <c r="O50" s="3"/>
      <c r="P50" s="91" t="str">
        <f t="shared" si="25"/>
        <v/>
      </c>
      <c r="Q50" s="91" t="str">
        <f t="array" ref="Q50">IF(ISBLANK(A50)=TRUE,"",IF(EXACT(M50,U50),"NONE",IF(VLOOKUP(M50,$AV$1:$AW$8,2,)&gt;VLOOKUP(U50,$AV$1:$AW$8,2,),CONCATENATE((M50),($A$4),(U50)),CONCATENATE((U50),($A$4),(M50)))))</f>
        <v/>
      </c>
      <c r="R50" s="91" t="str">
        <f t="shared" si="26"/>
        <v/>
      </c>
      <c r="S50" s="110"/>
      <c r="T50" s="110"/>
      <c r="U50" s="108"/>
      <c r="V50" s="108"/>
      <c r="W50" s="108"/>
      <c r="X50" s="108"/>
      <c r="Y50" s="91" t="str">
        <f t="shared" si="31"/>
        <v/>
      </c>
      <c r="Z50" s="91" t="str">
        <f t="shared" si="32"/>
        <v/>
      </c>
      <c r="AA50" s="91" t="str">
        <f t="shared" si="30"/>
        <v/>
      </c>
      <c r="AB50" t="str">
        <f t="shared" si="9"/>
        <v/>
      </c>
      <c r="AC50" s="105" t="str">
        <f>IF(E50="CSB",(IF(LEFT(Data!F50,2)="30",(VLOOKUP(K50,'CSB Data'!$A$4:$L$53,4,FALSE)+1)*2,IF(LEFT(Data!F50,2)="35",(VLOOKUP(K50,'CSB Data'!$N$4:$Y$39,4,FALSE)+1)*2))),(IF(E50="Hse",IF(ISBLANK(A50)=TRUE,"",(VLOOKUP(J50,Sheet1!$AA$4:$AQ$52,8,FALSE)+1)*2),IF(E50="HDe",IF(ISBLANK(A50)=TRUE,"",(VLOOKUP(J50,Sheet1!$AU$3:$BJ$19,8,FALSE)+1)*2),IF(ISBLANK(A50)=TRUE,"","series error")))))</f>
        <v/>
      </c>
      <c r="AD50">
        <f t="shared" si="21"/>
        <v>0</v>
      </c>
      <c r="AH50" s="120"/>
      <c r="AI50" s="129" t="s">
        <v>91</v>
      </c>
      <c r="AJ50" s="91" t="s">
        <v>100</v>
      </c>
      <c r="AK50" s="91">
        <f>SUMIF($U$13:$U$32,"1-1/8*",$L$13:$L$32)</f>
        <v>7</v>
      </c>
      <c r="AM50" s="115"/>
    </row>
    <row r="51" spans="1:42" x14ac:dyDescent="0.3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90">
        <f>SUM(L36:L50)</f>
        <v>5</v>
      </c>
      <c r="M51" s="73"/>
      <c r="N51" s="73"/>
      <c r="O51" s="138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t="str">
        <f t="shared" ref="AB51" si="33">IF(ISBLANK(Q51)=TRUE,"",IF(Q51="NONE","",Q51))</f>
        <v/>
      </c>
      <c r="AC51" s="3"/>
      <c r="AH51" s="120"/>
      <c r="AI51" s="129" t="s">
        <v>92</v>
      </c>
      <c r="AJ51" s="91" t="s">
        <v>100</v>
      </c>
      <c r="AK51" s="91">
        <f>SUMIF($U$13:$U$32,"1-3/8*",$L$13:$L$32)</f>
        <v>2</v>
      </c>
      <c r="AM51" s="115"/>
    </row>
    <row r="52" spans="1:4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U52" s="1"/>
      <c r="V52" s="1"/>
      <c r="W52" s="1"/>
      <c r="X52" s="1"/>
      <c r="Y52" s="1"/>
      <c r="Z52" s="1"/>
      <c r="AA52" s="1"/>
      <c r="AH52" s="120"/>
      <c r="AI52" s="129" t="s">
        <v>93</v>
      </c>
      <c r="AJ52" s="91" t="s">
        <v>100</v>
      </c>
      <c r="AK52" s="91">
        <f>SUMIF($U$13:$U$32,"1-5/8*",$L$13:$L$32)</f>
        <v>0</v>
      </c>
      <c r="AM52" s="115"/>
    </row>
    <row r="53" spans="1:4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U53" s="1"/>
      <c r="V53" s="1"/>
      <c r="W53" s="1"/>
      <c r="X53" s="1"/>
      <c r="Y53" s="1"/>
      <c r="Z53" s="1"/>
      <c r="AA53" s="1"/>
      <c r="AH53" s="120"/>
      <c r="AI53" s="129" t="s">
        <v>94</v>
      </c>
      <c r="AJ53" s="91" t="s">
        <v>100</v>
      </c>
      <c r="AK53" s="91">
        <f>SUMIF($U$13:$U$32,"2-1/8*",$L$13:$L$32)</f>
        <v>0</v>
      </c>
      <c r="AM53" s="115"/>
    </row>
    <row r="54" spans="1:4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U54" s="1"/>
      <c r="V54" s="1"/>
      <c r="W54" s="1"/>
      <c r="X54" s="1"/>
      <c r="Y54" s="1"/>
      <c r="Z54" s="1"/>
      <c r="AA54" s="1"/>
      <c r="AH54" s="120"/>
      <c r="AI54" s="139"/>
      <c r="AJ54" s="1"/>
      <c r="AK54" s="130">
        <f>SUM(AK46:AK53)</f>
        <v>12</v>
      </c>
      <c r="AM54" s="115"/>
    </row>
    <row r="55" spans="1:42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U55" s="1"/>
      <c r="V55" s="1"/>
      <c r="W55" s="1"/>
      <c r="X55" s="1"/>
      <c r="Y55" s="1"/>
      <c r="Z55" s="1"/>
      <c r="AA55" s="1"/>
      <c r="AH55" s="121"/>
      <c r="AI55" s="122"/>
      <c r="AJ55" s="122"/>
      <c r="AK55" s="122"/>
      <c r="AL55" s="122"/>
      <c r="AM55" s="123"/>
      <c r="AN55" s="1"/>
      <c r="AO55" s="1"/>
      <c r="AP55" s="1"/>
    </row>
    <row r="56" spans="1:42" ht="246" customHeight="1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U56" s="1"/>
      <c r="V56" s="1"/>
      <c r="W56" s="1"/>
      <c r="X56" s="1"/>
      <c r="Y56" s="1"/>
      <c r="Z56" s="1"/>
      <c r="AA56" s="1"/>
      <c r="AH56" s="120"/>
      <c r="AM56" s="115"/>
      <c r="AN56" s="1"/>
      <c r="AO56" s="1"/>
      <c r="AP56" s="1"/>
    </row>
    <row r="57" spans="1:42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U57" s="1"/>
      <c r="V57" s="1"/>
      <c r="W57" s="1"/>
      <c r="X57" s="1"/>
      <c r="Y57" s="1"/>
      <c r="Z57" s="1"/>
      <c r="AA57" s="1"/>
      <c r="AH57" s="299" t="s">
        <v>101</v>
      </c>
      <c r="AI57" s="300"/>
      <c r="AJ57" s="300"/>
      <c r="AK57" s="300"/>
      <c r="AL57" s="300"/>
      <c r="AM57" s="301"/>
    </row>
    <row r="58" spans="1:42" x14ac:dyDescent="0.3">
      <c r="A58" s="1"/>
      <c r="B58" s="1"/>
      <c r="C58" s="1"/>
      <c r="Z58" s="1"/>
      <c r="AA58" s="1"/>
      <c r="AH58" s="120"/>
      <c r="AI58" s="131" t="s">
        <v>83</v>
      </c>
      <c r="AJ58" s="114" t="s">
        <v>84</v>
      </c>
      <c r="AK58" s="114" t="s">
        <v>85</v>
      </c>
      <c r="AM58" s="115"/>
    </row>
    <row r="59" spans="1:42" x14ac:dyDescent="0.3">
      <c r="A59" s="1"/>
      <c r="B59" s="1"/>
      <c r="C59" s="1"/>
      <c r="Z59" s="1"/>
      <c r="AA59" s="1"/>
      <c r="AH59" s="120"/>
      <c r="AI59" s="131"/>
      <c r="AJ59" s="114"/>
      <c r="AK59" s="114"/>
      <c r="AM59" s="115"/>
    </row>
    <row r="60" spans="1:42" x14ac:dyDescent="0.3">
      <c r="A60" s="1"/>
      <c r="B60" s="1"/>
      <c r="C60" s="1"/>
      <c r="Z60" s="1"/>
      <c r="AA60" s="1"/>
      <c r="AH60" s="120"/>
      <c r="AI60" s="129" t="s">
        <v>88</v>
      </c>
      <c r="AJ60" s="91" t="s">
        <v>100</v>
      </c>
      <c r="AK60" s="91">
        <f>SUMIF($U$35:$U$54,"5/8*",$L$35:$L$54)</f>
        <v>0</v>
      </c>
      <c r="AM60" s="115"/>
    </row>
    <row r="61" spans="1:42" x14ac:dyDescent="0.3">
      <c r="A61" s="1"/>
      <c r="B61" s="1"/>
      <c r="C61" s="1"/>
      <c r="Z61" s="1"/>
      <c r="AA61" s="1"/>
      <c r="AH61" s="120"/>
      <c r="AI61" s="129" t="s">
        <v>89</v>
      </c>
      <c r="AJ61" s="91" t="s">
        <v>100</v>
      </c>
      <c r="AK61" s="91">
        <f>SUMIF($U$35:$U$54,"3/4*",$L$35:$L$54)</f>
        <v>0</v>
      </c>
      <c r="AM61" s="115"/>
    </row>
    <row r="62" spans="1:42" x14ac:dyDescent="0.3">
      <c r="A62" s="1"/>
      <c r="B62" s="1"/>
      <c r="C62" s="1"/>
      <c r="Z62" s="1"/>
      <c r="AA62" s="1"/>
      <c r="AH62" s="120"/>
      <c r="AI62" s="129" t="s">
        <v>90</v>
      </c>
      <c r="AJ62" s="91" t="s">
        <v>100</v>
      </c>
      <c r="AK62" s="91">
        <f>SUMIF($U$35:$U$54,"7/8*",$L$35:$L$54)</f>
        <v>0</v>
      </c>
      <c r="AM62" s="115"/>
    </row>
    <row r="63" spans="1:42" x14ac:dyDescent="0.3">
      <c r="AH63" s="120"/>
      <c r="AI63" s="129" t="s">
        <v>91</v>
      </c>
      <c r="AJ63" s="91" t="s">
        <v>100</v>
      </c>
      <c r="AK63" s="91">
        <f>SUMIF($U$35:$U$54,"1-1/8*",$L$35:$L$54)</f>
        <v>3</v>
      </c>
      <c r="AM63" s="115"/>
    </row>
    <row r="64" spans="1:42" x14ac:dyDescent="0.3">
      <c r="AH64" s="120"/>
      <c r="AI64" s="129" t="s">
        <v>92</v>
      </c>
      <c r="AJ64" s="91" t="s">
        <v>100</v>
      </c>
      <c r="AK64" s="91">
        <f>SUMIF($U$35:$U$54,"1-3/8*",$L$35:$L$54)</f>
        <v>1</v>
      </c>
      <c r="AM64" s="115"/>
    </row>
    <row r="65" spans="16:42" x14ac:dyDescent="0.3">
      <c r="P65"/>
      <c r="Q65"/>
      <c r="R65"/>
      <c r="S65"/>
      <c r="T65"/>
      <c r="AH65" s="120"/>
      <c r="AI65" s="129" t="s">
        <v>93</v>
      </c>
      <c r="AJ65" s="91" t="s">
        <v>100</v>
      </c>
      <c r="AK65" s="91">
        <f>SUMIF($U$35:$U$54,"1-5/8*",$L$35:$L$54)</f>
        <v>1</v>
      </c>
      <c r="AM65" s="115"/>
    </row>
    <row r="66" spans="16:42" x14ac:dyDescent="0.3">
      <c r="P66"/>
      <c r="Q66"/>
      <c r="R66"/>
      <c r="S66"/>
      <c r="T66"/>
      <c r="AH66" s="120"/>
      <c r="AI66" s="129" t="s">
        <v>94</v>
      </c>
      <c r="AJ66" s="91" t="s">
        <v>100</v>
      </c>
      <c r="AK66" s="91">
        <f>SUMIF($U$35:$U$54,"2-1/8*",$L$35:$L$54)</f>
        <v>0</v>
      </c>
      <c r="AM66" s="115"/>
    </row>
    <row r="67" spans="16:42" x14ac:dyDescent="0.3">
      <c r="P67"/>
      <c r="Q67"/>
      <c r="R67"/>
      <c r="S67"/>
      <c r="T67"/>
      <c r="AH67" s="120"/>
      <c r="AK67" s="130">
        <f>SUM(AK59:AK66)</f>
        <v>5</v>
      </c>
      <c r="AM67" s="115"/>
    </row>
    <row r="68" spans="16:42" ht="15" thickBot="1" x14ac:dyDescent="0.35">
      <c r="P68"/>
      <c r="Q68"/>
      <c r="R68"/>
      <c r="S68"/>
      <c r="T68"/>
      <c r="AH68" s="120"/>
      <c r="AM68" s="115"/>
      <c r="AN68" s="1"/>
      <c r="AO68" s="1"/>
      <c r="AP68" s="1"/>
    </row>
    <row r="69" spans="16:42" ht="15" thickBot="1" x14ac:dyDescent="0.35">
      <c r="P69"/>
      <c r="Q69"/>
      <c r="R69"/>
      <c r="S69"/>
      <c r="T69"/>
      <c r="AH69" s="299" t="s">
        <v>102</v>
      </c>
      <c r="AI69" s="300"/>
      <c r="AJ69" s="300"/>
      <c r="AK69" s="300"/>
      <c r="AL69" s="300"/>
      <c r="AM69" s="301"/>
      <c r="AO69" s="132"/>
    </row>
    <row r="70" spans="16:42" x14ac:dyDescent="0.3">
      <c r="P70"/>
      <c r="Q70"/>
      <c r="R70"/>
      <c r="S70"/>
      <c r="T70"/>
      <c r="AH70" s="120"/>
      <c r="AI70" s="131" t="s">
        <v>83</v>
      </c>
      <c r="AJ70" s="114" t="s">
        <v>84</v>
      </c>
      <c r="AK70" s="114" t="s">
        <v>85</v>
      </c>
      <c r="AM70" s="115"/>
    </row>
    <row r="71" spans="16:42" x14ac:dyDescent="0.3">
      <c r="P71"/>
      <c r="Q71"/>
      <c r="R71"/>
      <c r="S71"/>
      <c r="T71"/>
      <c r="AH71" s="120" t="s">
        <v>263</v>
      </c>
      <c r="AI71" s="140" t="s">
        <v>578</v>
      </c>
      <c r="AJ71" s="140" t="s">
        <v>87</v>
      </c>
      <c r="AK71" s="141">
        <f>(COUNTIF(S13:S50,"5/8 &gt; 1/2"))+(COUNTIF(T13:T50,"5/8 &gt; 1/2"))</f>
        <v>10</v>
      </c>
      <c r="AM71" s="115"/>
      <c r="AN71" s="1"/>
      <c r="AO71" s="1"/>
      <c r="AP71" s="1"/>
    </row>
    <row r="72" spans="16:42" ht="15" thickBot="1" x14ac:dyDescent="0.35">
      <c r="P72"/>
      <c r="Q72"/>
      <c r="R72"/>
      <c r="S72"/>
      <c r="T72"/>
      <c r="AH72" s="120" t="s">
        <v>263</v>
      </c>
      <c r="AI72" s="274" t="s">
        <v>585</v>
      </c>
      <c r="AJ72" s="140"/>
      <c r="AK72" s="141">
        <f>(COUNTIF(S13:S50,"5/8 &gt; 3/8"))+(COUNTIF(T13:T50,"5/8 &gt; 3/8"))</f>
        <v>3</v>
      </c>
      <c r="AM72" s="115"/>
      <c r="AN72" s="1"/>
      <c r="AO72" s="1"/>
      <c r="AP72" s="1"/>
    </row>
    <row r="73" spans="16:42" ht="15" thickBot="1" x14ac:dyDescent="0.35">
      <c r="P73"/>
      <c r="Q73"/>
      <c r="R73"/>
      <c r="S73"/>
      <c r="T73"/>
      <c r="AH73" s="120" t="s">
        <v>263</v>
      </c>
      <c r="AI73" s="142" t="s">
        <v>586</v>
      </c>
      <c r="AJ73" s="140" t="s">
        <v>87</v>
      </c>
      <c r="AK73" s="141">
        <f>(COUNTIF(S13:S50,"1/2 &gt; 3/8"))+(COUNTIF(T13:T50,"1/2 &gt; 3/8"))</f>
        <v>14</v>
      </c>
      <c r="AL73" s="144" t="s">
        <v>452</v>
      </c>
      <c r="AM73" s="145">
        <f>SUM(AK71:AK74)</f>
        <v>27</v>
      </c>
    </row>
    <row r="74" spans="16:42" x14ac:dyDescent="0.3">
      <c r="P74"/>
      <c r="Q74"/>
      <c r="R74"/>
      <c r="S74"/>
      <c r="T74"/>
      <c r="AH74" s="120"/>
      <c r="AI74" s="105" t="str">
        <f>IFERROR(INDEX($AC$13:$AC$50,MATCH(0,COUNTIF($AJ$74:AJ74,$AC$13:$AC$50),0)),"")</f>
        <v/>
      </c>
      <c r="AJ74" s="91" t="s">
        <v>87</v>
      </c>
      <c r="AK74" s="272">
        <v>0</v>
      </c>
      <c r="AM74" s="115"/>
    </row>
    <row r="75" spans="16:42" x14ac:dyDescent="0.3">
      <c r="P75"/>
      <c r="Q75"/>
      <c r="R75"/>
      <c r="S75"/>
      <c r="T75"/>
      <c r="AH75" s="120"/>
      <c r="AI75" s="105" t="str">
        <f t="array" ref="AI75">IFERROR(INDEX($AB$13:$AB$50,MATCH(0,COUNTIF($AI$73:AI74,$AB$13:$AB$50),0)),"")</f>
        <v>N/A</v>
      </c>
      <c r="AJ75" s="91" t="s">
        <v>87</v>
      </c>
      <c r="AK75" s="143" t="str">
        <f t="shared" ref="AK75:AK80" si="34">IF(AI75="N/A","0",SUMIF($AB$13:$AB$50,AI75,$L$13:$L$50))</f>
        <v>0</v>
      </c>
      <c r="AM75" s="115"/>
    </row>
    <row r="76" spans="16:42" x14ac:dyDescent="0.3">
      <c r="P76"/>
      <c r="Q76"/>
      <c r="R76"/>
      <c r="S76"/>
      <c r="T76"/>
      <c r="AH76" s="120"/>
      <c r="AI76" s="105" t="str">
        <f t="array" ref="AI76">IFERROR(INDEX($AB$13:$AB$50,MATCH(0,COUNTIF($AI$73:AI75,$AB$13:$AB$50),0)),"")</f>
        <v>7/8  &gt;  3/4</v>
      </c>
      <c r="AJ76" s="91" t="s">
        <v>87</v>
      </c>
      <c r="AK76" s="143">
        <f>(COUNTIF(AB13:AB50,AI76))</f>
        <v>2</v>
      </c>
      <c r="AM76" s="115"/>
    </row>
    <row r="77" spans="16:42" x14ac:dyDescent="0.3">
      <c r="P77"/>
      <c r="Q77"/>
      <c r="R77"/>
      <c r="S77"/>
      <c r="T77"/>
      <c r="AH77" s="120"/>
      <c r="AI77" s="105" t="str">
        <f t="array" ref="AI77">IFERROR(INDEX($AB$13:$AB$50,MATCH(0,COUNTIF($AI$73:AI76,$AB$13:$AB$50),0)),"")</f>
        <v>1-3/8  &gt;  1-1/8</v>
      </c>
      <c r="AJ77" s="91" t="s">
        <v>87</v>
      </c>
      <c r="AK77" s="143">
        <f>(COUNTIF(AB13:AB50,AI77))</f>
        <v>4</v>
      </c>
      <c r="AM77" s="115"/>
    </row>
    <row r="78" spans="16:42" x14ac:dyDescent="0.3">
      <c r="P78"/>
      <c r="Q78"/>
      <c r="R78"/>
      <c r="S78"/>
      <c r="T78"/>
      <c r="AH78" s="120"/>
      <c r="AI78" s="283" t="s">
        <v>652</v>
      </c>
      <c r="AJ78" s="91" t="s">
        <v>87</v>
      </c>
      <c r="AK78" s="143">
        <f>(COUNTIF(AB14:AB51,AI78))</f>
        <v>1</v>
      </c>
      <c r="AM78" s="115"/>
    </row>
    <row r="79" spans="16:42" x14ac:dyDescent="0.3">
      <c r="P79"/>
      <c r="Q79"/>
      <c r="R79"/>
      <c r="S79"/>
      <c r="T79"/>
      <c r="AH79" s="120"/>
      <c r="AI79" s="283" t="s">
        <v>653</v>
      </c>
      <c r="AJ79" s="91" t="s">
        <v>87</v>
      </c>
      <c r="AK79" s="143">
        <f>(COUNTIF(AB15:AB52,AI79))</f>
        <v>1</v>
      </c>
      <c r="AM79" s="115"/>
    </row>
    <row r="80" spans="16:42" x14ac:dyDescent="0.3">
      <c r="P80"/>
      <c r="Q80"/>
      <c r="R80"/>
      <c r="S80"/>
      <c r="T80"/>
      <c r="AH80" s="120"/>
      <c r="AI80" s="105" t="str">
        <f t="array" ref="AI80">IFERROR(INDEX($AB$13:$AB$50,MATCH(0,COUNTIF($AI$73:AI79,$AB$13:$AB$50),0)),"")</f>
        <v/>
      </c>
      <c r="AJ80" s="91" t="s">
        <v>87</v>
      </c>
      <c r="AK80" s="143">
        <f t="shared" si="34"/>
        <v>0</v>
      </c>
      <c r="AM80" s="115"/>
      <c r="AN80" s="1"/>
      <c r="AO80" s="1"/>
      <c r="AP80" s="1"/>
    </row>
    <row r="81" spans="16:42" ht="15" thickBot="1" x14ac:dyDescent="0.35">
      <c r="P81"/>
      <c r="Q81"/>
      <c r="R81"/>
      <c r="S81"/>
      <c r="T81"/>
      <c r="AH81" s="120"/>
      <c r="AI81" s="105" t="str">
        <f t="array" ref="AI81">IFERROR(INDEX($AB$13:$AB$50,MATCH(0,COUNTIF($AI$73:AI80,$AB$13:$AB$50),0)),"")</f>
        <v/>
      </c>
      <c r="AJ81" s="91" t="s">
        <v>87</v>
      </c>
      <c r="AK81" s="143">
        <f>IF(AI81="N/A","0",SUMIF($AB$13:$AB$50,AI81,$L$13:$L$50))</f>
        <v>0</v>
      </c>
      <c r="AM81" s="115"/>
      <c r="AN81" s="1"/>
      <c r="AO81" s="1"/>
      <c r="AP81" s="1"/>
    </row>
    <row r="82" spans="16:42" ht="15" thickBot="1" x14ac:dyDescent="0.35">
      <c r="P82"/>
      <c r="Q82"/>
      <c r="R82"/>
      <c r="S82"/>
      <c r="T82"/>
      <c r="AH82" s="120"/>
      <c r="AK82" s="143">
        <f>SUM(AK74:AK81)</f>
        <v>8</v>
      </c>
      <c r="AL82" s="144" t="s">
        <v>291</v>
      </c>
      <c r="AM82" s="145">
        <f>SUM($L$13:$L$32,$L$36:$L$50)-SUMIF($Q$13:$Q$50,"NONE",$L$13:$L$50)</f>
        <v>8</v>
      </c>
      <c r="AN82" s="1"/>
      <c r="AO82" s="1"/>
      <c r="AP82" s="1"/>
    </row>
    <row r="83" spans="16:42" ht="15" thickBot="1" x14ac:dyDescent="0.35">
      <c r="P83"/>
      <c r="Q83"/>
      <c r="R83"/>
      <c r="S83"/>
      <c r="T83"/>
      <c r="AH83" s="299" t="s">
        <v>103</v>
      </c>
      <c r="AI83" s="300"/>
      <c r="AJ83" s="300"/>
      <c r="AK83" s="300"/>
      <c r="AL83" s="300"/>
      <c r="AM83" s="301"/>
      <c r="AN83" s="1"/>
      <c r="AO83" s="1"/>
      <c r="AP83" s="1"/>
    </row>
    <row r="84" spans="16:42" x14ac:dyDescent="0.3">
      <c r="P84"/>
      <c r="Q84"/>
      <c r="R84"/>
      <c r="S84"/>
      <c r="T84"/>
      <c r="AH84" s="120"/>
      <c r="AI84" s="131" t="s">
        <v>83</v>
      </c>
      <c r="AJ84" s="114" t="s">
        <v>84</v>
      </c>
      <c r="AK84" s="114" t="s">
        <v>85</v>
      </c>
      <c r="AM84" s="115"/>
      <c r="AN84" s="1"/>
      <c r="AO84" s="1"/>
      <c r="AP84" s="1"/>
    </row>
    <row r="85" spans="16:42" x14ac:dyDescent="0.3">
      <c r="P85"/>
      <c r="Q85"/>
      <c r="R85"/>
      <c r="S85"/>
      <c r="T85"/>
      <c r="AH85" s="120"/>
      <c r="AM85" s="115"/>
      <c r="AN85" s="1"/>
      <c r="AO85" s="1"/>
      <c r="AP85" s="1"/>
    </row>
    <row r="86" spans="16:42" x14ac:dyDescent="0.3">
      <c r="P86"/>
      <c r="Q86"/>
      <c r="R86"/>
      <c r="S86"/>
      <c r="T86"/>
      <c r="AH86" s="120"/>
      <c r="AI86" s="129" t="s">
        <v>88</v>
      </c>
      <c r="AJ86" s="91" t="s">
        <v>87</v>
      </c>
      <c r="AK86" s="91">
        <f>SUMIF($P$13:$P$50,"5/8*",$L$13:$L$50)</f>
        <v>0</v>
      </c>
      <c r="AM86" s="115"/>
      <c r="AN86" s="1"/>
      <c r="AO86" s="1"/>
      <c r="AP86" s="1"/>
    </row>
    <row r="87" spans="16:42" x14ac:dyDescent="0.3">
      <c r="P87"/>
      <c r="Q87"/>
      <c r="R87"/>
      <c r="S87"/>
      <c r="T87"/>
      <c r="AH87" s="120"/>
      <c r="AI87" s="129" t="s">
        <v>89</v>
      </c>
      <c r="AJ87" s="91" t="s">
        <v>87</v>
      </c>
      <c r="AK87" s="91">
        <f>SUMIF($P$13:$P$50,"3/4*",$L$13:$L$50)</f>
        <v>0</v>
      </c>
      <c r="AM87" s="115"/>
      <c r="AN87" s="1"/>
      <c r="AO87" s="1"/>
      <c r="AP87" s="1"/>
    </row>
    <row r="88" spans="16:42" x14ac:dyDescent="0.3">
      <c r="P88"/>
      <c r="Q88"/>
      <c r="R88"/>
      <c r="S88"/>
      <c r="T88"/>
      <c r="AH88" s="120"/>
      <c r="AI88" s="129" t="s">
        <v>90</v>
      </c>
      <c r="AJ88" s="91" t="s">
        <v>87</v>
      </c>
      <c r="AK88" s="91">
        <f>SUMIF($P$13:$P$50,"7/8*",$L$13:$L$50)</f>
        <v>4</v>
      </c>
      <c r="AM88" s="115"/>
      <c r="AN88" s="1"/>
      <c r="AO88" s="1"/>
      <c r="AP88" s="1"/>
    </row>
    <row r="89" spans="16:42" x14ac:dyDescent="0.3">
      <c r="P89"/>
      <c r="Q89"/>
      <c r="R89"/>
      <c r="S89"/>
      <c r="T89"/>
      <c r="AH89" s="120"/>
      <c r="AI89" s="129" t="s">
        <v>91</v>
      </c>
      <c r="AJ89" s="91" t="s">
        <v>87</v>
      </c>
      <c r="AK89" s="91">
        <f>SUMIF($P$13:$P$50,"1-1/8*",$L$13:$L$50)</f>
        <v>9</v>
      </c>
      <c r="AM89" s="115"/>
      <c r="AN89" s="1"/>
      <c r="AO89" s="1"/>
      <c r="AP89" s="1"/>
    </row>
    <row r="90" spans="16:42" x14ac:dyDescent="0.3">
      <c r="P90"/>
      <c r="Q90"/>
      <c r="R90"/>
      <c r="S90"/>
      <c r="T90"/>
      <c r="AH90" s="120"/>
      <c r="AI90" s="129" t="s">
        <v>92</v>
      </c>
      <c r="AJ90" s="91" t="s">
        <v>87</v>
      </c>
      <c r="AK90" s="91">
        <f>SUMIF($P$13:$P$50,"1-3/8*",$L$13:$L$50)</f>
        <v>4</v>
      </c>
      <c r="AM90" s="115"/>
      <c r="AN90" s="1"/>
      <c r="AO90" s="1"/>
      <c r="AP90" s="1"/>
    </row>
    <row r="91" spans="16:42" x14ac:dyDescent="0.3">
      <c r="P91"/>
      <c r="Q91"/>
      <c r="R91"/>
      <c r="S91"/>
      <c r="T91"/>
      <c r="AH91" s="120"/>
      <c r="AI91" s="129" t="s">
        <v>93</v>
      </c>
      <c r="AJ91" s="91" t="s">
        <v>87</v>
      </c>
      <c r="AK91" s="91">
        <f>SUMIF($P$13:$P$50,"1-5/8*",$L$13:$L$50)</f>
        <v>0</v>
      </c>
      <c r="AM91" s="115"/>
      <c r="AN91" s="1"/>
      <c r="AO91" s="1"/>
      <c r="AP91" s="1"/>
    </row>
    <row r="92" spans="16:42" x14ac:dyDescent="0.3">
      <c r="P92"/>
      <c r="Q92"/>
      <c r="R92"/>
      <c r="S92"/>
      <c r="T92"/>
      <c r="AH92" s="120"/>
      <c r="AI92" s="129" t="s">
        <v>94</v>
      </c>
      <c r="AJ92" s="91" t="s">
        <v>87</v>
      </c>
      <c r="AK92" s="91">
        <f>SUMIF($P$13:$P$32,"2-1/8*",$L$13:$L$32)</f>
        <v>0</v>
      </c>
      <c r="AM92" s="115"/>
      <c r="AN92" s="1"/>
      <c r="AO92" s="1"/>
      <c r="AP92" s="1"/>
    </row>
    <row r="93" spans="16:42" x14ac:dyDescent="0.3">
      <c r="P93"/>
      <c r="Q93"/>
      <c r="R93"/>
      <c r="S93"/>
      <c r="T93"/>
      <c r="AH93" s="120"/>
      <c r="AI93" s="139"/>
      <c r="AJ93" s="1"/>
      <c r="AK93" s="130">
        <f>SUM(AK85:AK92)</f>
        <v>17</v>
      </c>
      <c r="AM93" s="115"/>
      <c r="AN93" s="1"/>
      <c r="AO93" s="1"/>
      <c r="AP93" s="1"/>
    </row>
    <row r="94" spans="16:42" x14ac:dyDescent="0.3">
      <c r="P94"/>
      <c r="Q94"/>
      <c r="R94"/>
      <c r="S94"/>
      <c r="T94"/>
      <c r="AH94" s="120"/>
      <c r="AI94" s="139"/>
      <c r="AJ94" s="1"/>
      <c r="AK94" s="1"/>
      <c r="AM94" s="115"/>
      <c r="AN94" s="1"/>
      <c r="AO94" s="1"/>
      <c r="AP94" s="1"/>
    </row>
    <row r="95" spans="16:42" ht="15" thickBot="1" x14ac:dyDescent="0.35">
      <c r="P95"/>
      <c r="Q95"/>
      <c r="R95"/>
      <c r="S95"/>
      <c r="T95"/>
      <c r="AH95" s="120"/>
      <c r="AM95" s="115"/>
      <c r="AN95" s="1"/>
      <c r="AO95" s="1"/>
      <c r="AP95" s="1"/>
    </row>
    <row r="96" spans="16:42" ht="15" thickBot="1" x14ac:dyDescent="0.35">
      <c r="P96"/>
      <c r="Q96"/>
      <c r="R96"/>
      <c r="S96"/>
      <c r="T96"/>
      <c r="AH96" s="299" t="s">
        <v>104</v>
      </c>
      <c r="AI96" s="300"/>
      <c r="AJ96" s="300"/>
      <c r="AK96" s="300"/>
      <c r="AL96" s="300"/>
      <c r="AM96" s="301"/>
      <c r="AN96" s="130"/>
    </row>
    <row r="97" spans="16:42" x14ac:dyDescent="0.3">
      <c r="P97"/>
      <c r="Q97"/>
      <c r="R97"/>
      <c r="S97"/>
      <c r="T97"/>
      <c r="AH97" s="120"/>
      <c r="AI97" s="131" t="s">
        <v>83</v>
      </c>
      <c r="AJ97" s="114" t="s">
        <v>84</v>
      </c>
      <c r="AK97" s="114" t="s">
        <v>85</v>
      </c>
      <c r="AM97" s="115"/>
      <c r="AN97" s="1"/>
    </row>
    <row r="98" spans="16:42" x14ac:dyDescent="0.3">
      <c r="P98"/>
      <c r="Q98"/>
      <c r="R98"/>
      <c r="S98"/>
      <c r="T98"/>
      <c r="AH98" s="120"/>
      <c r="AI98" s="135" t="s">
        <v>105</v>
      </c>
      <c r="AJ98" s="136" t="s">
        <v>98</v>
      </c>
      <c r="AK98" s="136">
        <v>0</v>
      </c>
      <c r="AM98" s="115"/>
      <c r="AN98" s="1"/>
    </row>
    <row r="99" spans="16:42" x14ac:dyDescent="0.3">
      <c r="P99"/>
      <c r="Q99"/>
      <c r="R99"/>
      <c r="S99"/>
      <c r="T99"/>
      <c r="AH99" s="120"/>
      <c r="AI99" s="135"/>
      <c r="AJ99" s="136"/>
      <c r="AK99" s="136"/>
      <c r="AM99" s="115"/>
      <c r="AN99" s="1"/>
    </row>
    <row r="100" spans="16:42" x14ac:dyDescent="0.3">
      <c r="P100"/>
      <c r="Q100"/>
      <c r="R100"/>
      <c r="S100"/>
      <c r="T100"/>
      <c r="AH100" s="120"/>
      <c r="AM100" s="115"/>
      <c r="AN100" s="1"/>
      <c r="AO100" s="1"/>
      <c r="AP100" s="1"/>
    </row>
    <row r="101" spans="16:42" x14ac:dyDescent="0.3">
      <c r="P101"/>
      <c r="Q101"/>
      <c r="R101"/>
      <c r="S101"/>
      <c r="T101"/>
      <c r="AH101" s="302" t="s">
        <v>315</v>
      </c>
      <c r="AI101" s="303"/>
      <c r="AJ101" s="303"/>
      <c r="AK101" s="303"/>
      <c r="AL101" s="303"/>
      <c r="AM101" s="304"/>
      <c r="AN101" s="1"/>
    </row>
    <row r="102" spans="16:42" x14ac:dyDescent="0.3">
      <c r="P102"/>
      <c r="Q102"/>
      <c r="R102"/>
      <c r="S102"/>
      <c r="T102"/>
      <c r="AH102" s="120"/>
      <c r="AI102" s="131" t="s">
        <v>83</v>
      </c>
      <c r="AJ102" s="114" t="s">
        <v>84</v>
      </c>
      <c r="AK102" s="114" t="s">
        <v>85</v>
      </c>
      <c r="AM102" s="115"/>
      <c r="AN102" s="1"/>
    </row>
    <row r="103" spans="16:42" x14ac:dyDescent="0.3">
      <c r="P103"/>
      <c r="Q103"/>
      <c r="R103"/>
      <c r="S103"/>
      <c r="T103"/>
      <c r="AH103" s="120"/>
      <c r="AM103" s="115"/>
      <c r="AN103" s="1"/>
      <c r="AO103" s="1"/>
      <c r="AP103" s="1"/>
    </row>
    <row r="104" spans="16:42" x14ac:dyDescent="0.3">
      <c r="P104"/>
      <c r="Q104"/>
      <c r="R104"/>
      <c r="S104"/>
      <c r="T104"/>
      <c r="AH104" s="120"/>
      <c r="AI104" s="129" t="s">
        <v>5</v>
      </c>
      <c r="AJ104" s="91" t="s">
        <v>87</v>
      </c>
      <c r="AK104" s="91">
        <f>SUMIF($W$13:$W$50,AI104,$L$13:$L$50)</f>
        <v>17</v>
      </c>
      <c r="AM104" s="115"/>
      <c r="AN104" s="1"/>
    </row>
    <row r="105" spans="16:42" x14ac:dyDescent="0.3">
      <c r="P105"/>
      <c r="Q105"/>
      <c r="R105"/>
      <c r="S105"/>
      <c r="T105"/>
      <c r="AH105" s="120"/>
      <c r="AI105" s="129"/>
      <c r="AJ105" s="91" t="s">
        <v>87</v>
      </c>
      <c r="AK105" s="91">
        <f t="shared" ref="AK105:AK106" si="35">SUMIF($W$13:$W$50,AI105,$L$13:$L$50)</f>
        <v>0</v>
      </c>
      <c r="AM105" s="115"/>
      <c r="AN105" s="1"/>
    </row>
    <row r="106" spans="16:42" x14ac:dyDescent="0.3">
      <c r="P106"/>
      <c r="Q106"/>
      <c r="R106"/>
      <c r="S106"/>
      <c r="T106"/>
      <c r="AH106" s="120"/>
      <c r="AI106" s="129"/>
      <c r="AJ106" s="91" t="s">
        <v>87</v>
      </c>
      <c r="AK106" s="91">
        <f t="shared" si="35"/>
        <v>0</v>
      </c>
      <c r="AM106" s="115"/>
      <c r="AN106" s="1"/>
    </row>
    <row r="107" spans="16:42" x14ac:dyDescent="0.3">
      <c r="P107"/>
      <c r="Q107"/>
      <c r="R107"/>
      <c r="S107"/>
      <c r="T107"/>
      <c r="AH107" s="120"/>
      <c r="AI107" s="129" t="s">
        <v>450</v>
      </c>
      <c r="AJ107" s="91" t="s">
        <v>87</v>
      </c>
      <c r="AK107" s="91">
        <f t="shared" ref="AK107" si="36">SUMIF($W$13:$W$50,AI107,$L$13:$L$50)</f>
        <v>0</v>
      </c>
      <c r="AM107" s="115"/>
      <c r="AN107" s="1"/>
    </row>
    <row r="108" spans="16:42" ht="15" thickBot="1" x14ac:dyDescent="0.35">
      <c r="P108"/>
      <c r="Q108"/>
      <c r="R108"/>
      <c r="S108"/>
      <c r="T108"/>
      <c r="AH108" s="120"/>
      <c r="AK108" s="132">
        <f>SUM(AK104:AK106)</f>
        <v>17</v>
      </c>
      <c r="AM108" s="115"/>
      <c r="AN108" s="1"/>
      <c r="AO108" s="1"/>
      <c r="AP108" s="1"/>
    </row>
    <row r="109" spans="16:42" ht="15" thickBot="1" x14ac:dyDescent="0.35">
      <c r="P109"/>
      <c r="Q109"/>
      <c r="R109"/>
      <c r="S109"/>
      <c r="T109"/>
      <c r="AH109" s="299" t="s">
        <v>307</v>
      </c>
      <c r="AI109" s="300"/>
      <c r="AJ109" s="300"/>
      <c r="AK109" s="300"/>
      <c r="AL109" s="300"/>
      <c r="AM109" s="301"/>
      <c r="AN109" s="1"/>
    </row>
    <row r="110" spans="16:42" x14ac:dyDescent="0.3">
      <c r="P110"/>
      <c r="Q110"/>
      <c r="R110"/>
      <c r="S110"/>
      <c r="T110"/>
      <c r="AH110" s="120"/>
      <c r="AI110" s="131" t="s">
        <v>83</v>
      </c>
      <c r="AJ110" s="114" t="s">
        <v>84</v>
      </c>
      <c r="AK110" s="114" t="s">
        <v>85</v>
      </c>
      <c r="AM110" s="115"/>
      <c r="AN110" s="1"/>
    </row>
    <row r="111" spans="16:42" x14ac:dyDescent="0.3">
      <c r="P111"/>
      <c r="Q111"/>
      <c r="R111"/>
      <c r="S111"/>
      <c r="T111"/>
      <c r="AH111" s="120"/>
      <c r="AM111" s="115"/>
      <c r="AN111" s="1"/>
      <c r="AO111" s="1"/>
      <c r="AP111" s="1"/>
    </row>
    <row r="112" spans="16:42" x14ac:dyDescent="0.3">
      <c r="P112"/>
      <c r="Q112"/>
      <c r="R112"/>
      <c r="S112"/>
      <c r="T112"/>
      <c r="AH112" s="120"/>
      <c r="AI112" s="129" t="s">
        <v>106</v>
      </c>
      <c r="AJ112" s="91" t="s">
        <v>87</v>
      </c>
      <c r="AK112" s="91">
        <f>SUMIF($X$13:$X$50,AI112,$L$13:$L$50)</f>
        <v>0</v>
      </c>
      <c r="AM112" s="115"/>
      <c r="AN112" s="1"/>
    </row>
    <row r="113" spans="16:42" x14ac:dyDescent="0.3">
      <c r="P113"/>
      <c r="Q113"/>
      <c r="R113"/>
      <c r="S113"/>
      <c r="T113"/>
      <c r="AH113" s="120"/>
      <c r="AI113" s="129" t="s">
        <v>107</v>
      </c>
      <c r="AJ113" s="91" t="s">
        <v>87</v>
      </c>
      <c r="AK113" s="91">
        <f t="shared" ref="AK113:AK121" si="37">SUMIF($X$13:$X$50,AI113,$L$13:$L$50)</f>
        <v>0</v>
      </c>
      <c r="AM113" s="115"/>
    </row>
    <row r="114" spans="16:42" x14ac:dyDescent="0.3">
      <c r="P114"/>
      <c r="Q114"/>
      <c r="R114"/>
      <c r="S114"/>
      <c r="T114"/>
      <c r="AH114" s="120"/>
      <c r="AI114" s="129" t="s">
        <v>108</v>
      </c>
      <c r="AJ114" s="91" t="s">
        <v>87</v>
      </c>
      <c r="AK114" s="91">
        <f t="shared" si="37"/>
        <v>2</v>
      </c>
      <c r="AM114" s="115"/>
    </row>
    <row r="115" spans="16:42" x14ac:dyDescent="0.3">
      <c r="P115"/>
      <c r="Q115"/>
      <c r="R115"/>
      <c r="S115"/>
      <c r="T115"/>
      <c r="AH115" s="120"/>
      <c r="AI115" s="129" t="s">
        <v>109</v>
      </c>
      <c r="AJ115" s="91" t="s">
        <v>87</v>
      </c>
      <c r="AK115" s="91">
        <f t="shared" si="37"/>
        <v>2</v>
      </c>
      <c r="AM115" s="115"/>
    </row>
    <row r="116" spans="16:42" x14ac:dyDescent="0.3">
      <c r="P116"/>
      <c r="Q116"/>
      <c r="R116"/>
      <c r="S116"/>
      <c r="T116"/>
      <c r="AH116" s="120"/>
      <c r="AI116" s="129" t="s">
        <v>110</v>
      </c>
      <c r="AJ116" s="91" t="s">
        <v>87</v>
      </c>
      <c r="AK116" s="91">
        <f t="shared" si="37"/>
        <v>8</v>
      </c>
      <c r="AM116" s="115"/>
    </row>
    <row r="117" spans="16:42" x14ac:dyDescent="0.3">
      <c r="P117"/>
      <c r="Q117"/>
      <c r="R117"/>
      <c r="S117"/>
      <c r="T117"/>
      <c r="AH117" s="120"/>
      <c r="AI117" s="129" t="s">
        <v>111</v>
      </c>
      <c r="AJ117" s="91" t="s">
        <v>87</v>
      </c>
      <c r="AK117" s="91">
        <f t="shared" si="37"/>
        <v>4</v>
      </c>
      <c r="AM117" s="115"/>
    </row>
    <row r="118" spans="16:42" x14ac:dyDescent="0.3">
      <c r="P118"/>
      <c r="Q118"/>
      <c r="R118"/>
      <c r="S118"/>
      <c r="T118"/>
      <c r="AH118" s="120"/>
      <c r="AI118" s="129" t="s">
        <v>112</v>
      </c>
      <c r="AJ118" s="91" t="s">
        <v>87</v>
      </c>
      <c r="AK118" s="91">
        <f t="shared" si="37"/>
        <v>1</v>
      </c>
      <c r="AM118" s="115"/>
    </row>
    <row r="119" spans="16:42" x14ac:dyDescent="0.3">
      <c r="P119"/>
      <c r="Q119"/>
      <c r="R119"/>
      <c r="S119"/>
      <c r="T119"/>
      <c r="AH119" s="120"/>
      <c r="AI119" s="129" t="s">
        <v>275</v>
      </c>
      <c r="AJ119" s="91" t="s">
        <v>87</v>
      </c>
      <c r="AK119" s="91">
        <f t="shared" si="37"/>
        <v>0</v>
      </c>
      <c r="AM119" s="115"/>
    </row>
    <row r="120" spans="16:42" x14ac:dyDescent="0.3">
      <c r="P120"/>
      <c r="Q120"/>
      <c r="R120"/>
      <c r="S120"/>
      <c r="T120"/>
      <c r="AH120" s="120"/>
      <c r="AI120" s="129" t="s">
        <v>276</v>
      </c>
      <c r="AJ120" s="91" t="s">
        <v>87</v>
      </c>
      <c r="AK120" s="91">
        <f t="shared" si="37"/>
        <v>0</v>
      </c>
      <c r="AM120" s="115"/>
    </row>
    <row r="121" spans="16:42" x14ac:dyDescent="0.3">
      <c r="P121"/>
      <c r="Q121"/>
      <c r="R121"/>
      <c r="S121"/>
      <c r="T121"/>
      <c r="AH121" s="120"/>
      <c r="AI121" s="129" t="s">
        <v>277</v>
      </c>
      <c r="AJ121" s="91" t="s">
        <v>87</v>
      </c>
      <c r="AK121" s="91">
        <f t="shared" si="37"/>
        <v>0</v>
      </c>
      <c r="AM121" s="115"/>
    </row>
    <row r="122" spans="16:42" x14ac:dyDescent="0.3">
      <c r="P122"/>
      <c r="Q122"/>
      <c r="R122"/>
      <c r="S122"/>
      <c r="T122"/>
      <c r="AH122" s="120"/>
      <c r="AM122" s="115"/>
      <c r="AN122" s="1"/>
      <c r="AO122" s="1"/>
      <c r="AP122" s="1"/>
    </row>
    <row r="123" spans="16:42" ht="15" thickBot="1" x14ac:dyDescent="0.35">
      <c r="P123"/>
      <c r="Q123"/>
      <c r="R123"/>
      <c r="S123"/>
      <c r="T123"/>
      <c r="AH123" s="120"/>
      <c r="AK123" s="130">
        <f>SUM(AK112:AK121)</f>
        <v>17</v>
      </c>
      <c r="AM123" s="115"/>
    </row>
    <row r="124" spans="16:42" ht="15" thickBot="1" x14ac:dyDescent="0.35">
      <c r="P124"/>
      <c r="Q124"/>
      <c r="R124"/>
      <c r="S124"/>
      <c r="T124"/>
      <c r="AH124" s="299" t="s">
        <v>316</v>
      </c>
      <c r="AI124" s="310"/>
      <c r="AJ124" s="310"/>
      <c r="AK124" s="310"/>
      <c r="AL124" s="300"/>
      <c r="AM124" s="301"/>
    </row>
    <row r="125" spans="16:42" x14ac:dyDescent="0.3">
      <c r="P125"/>
      <c r="Q125"/>
      <c r="R125"/>
      <c r="S125"/>
      <c r="T125"/>
      <c r="AH125" s="120"/>
      <c r="AI125" s="146" t="s">
        <v>83</v>
      </c>
      <c r="AJ125" s="147" t="s">
        <v>84</v>
      </c>
      <c r="AK125" s="147" t="s">
        <v>85</v>
      </c>
      <c r="AM125" s="115"/>
    </row>
    <row r="126" spans="16:42" ht="28.8" x14ac:dyDescent="0.3">
      <c r="P126"/>
      <c r="Q126"/>
      <c r="R126"/>
      <c r="S126"/>
      <c r="T126"/>
      <c r="AH126" s="120"/>
      <c r="AI126" s="165" t="s">
        <v>317</v>
      </c>
      <c r="AJ126" s="105" t="s">
        <v>318</v>
      </c>
      <c r="AK126" s="143">
        <f>SUM(L33,L51)</f>
        <v>17</v>
      </c>
      <c r="AM126" s="115"/>
    </row>
    <row r="127" spans="16:42" ht="15" thickBot="1" x14ac:dyDescent="0.35">
      <c r="P127"/>
      <c r="Q127"/>
      <c r="R127"/>
      <c r="S127"/>
      <c r="T127"/>
      <c r="AH127" s="120"/>
      <c r="AK127" s="130"/>
      <c r="AM127" s="115"/>
    </row>
    <row r="128" spans="16:42" ht="15" thickBot="1" x14ac:dyDescent="0.35">
      <c r="P128"/>
      <c r="Q128"/>
      <c r="R128"/>
      <c r="S128"/>
      <c r="T128"/>
      <c r="AH128" s="299" t="s">
        <v>264</v>
      </c>
      <c r="AI128" s="310"/>
      <c r="AJ128" s="310"/>
      <c r="AK128" s="310"/>
      <c r="AL128" s="300"/>
      <c r="AM128" s="301"/>
      <c r="AN128" s="1"/>
      <c r="AO128" s="1"/>
      <c r="AP128" s="1"/>
    </row>
    <row r="129" spans="16:42" x14ac:dyDescent="0.3">
      <c r="P129"/>
      <c r="Q129"/>
      <c r="R129"/>
      <c r="S129"/>
      <c r="T129"/>
      <c r="AH129" s="120"/>
      <c r="AI129" s="146" t="s">
        <v>83</v>
      </c>
      <c r="AJ129" s="147" t="s">
        <v>84</v>
      </c>
      <c r="AK129" s="147" t="s">
        <v>85</v>
      </c>
      <c r="AM129" s="115"/>
      <c r="AN129" s="1"/>
      <c r="AO129" s="1"/>
      <c r="AP129" s="1"/>
    </row>
    <row r="130" spans="16:42" x14ac:dyDescent="0.3">
      <c r="P130"/>
      <c r="Q130"/>
      <c r="R130"/>
      <c r="S130"/>
      <c r="T130"/>
      <c r="AH130" s="120"/>
      <c r="AI130" s="128" t="s">
        <v>297</v>
      </c>
      <c r="AJ130" s="128" t="s">
        <v>87</v>
      </c>
      <c r="AK130" s="128">
        <f>L51+L33</f>
        <v>17</v>
      </c>
      <c r="AM130" s="115"/>
      <c r="AN130" s="1"/>
      <c r="AO130" s="1"/>
      <c r="AP130" s="1"/>
    </row>
    <row r="131" spans="16:42" x14ac:dyDescent="0.3">
      <c r="P131"/>
      <c r="Q131"/>
      <c r="R131"/>
      <c r="S131"/>
      <c r="T131"/>
      <c r="AH131" s="120"/>
      <c r="AI131" s="91" t="s">
        <v>265</v>
      </c>
      <c r="AJ131" s="91" t="s">
        <v>266</v>
      </c>
      <c r="AK131" s="91">
        <v>1</v>
      </c>
      <c r="AM131" s="115"/>
      <c r="AN131" s="1"/>
      <c r="AO131" s="1"/>
      <c r="AP131" s="1"/>
    </row>
    <row r="132" spans="16:42" x14ac:dyDescent="0.3">
      <c r="P132"/>
      <c r="Q132"/>
      <c r="R132"/>
      <c r="S132"/>
      <c r="T132"/>
      <c r="AH132" s="120"/>
      <c r="AI132" s="91" t="s">
        <v>267</v>
      </c>
      <c r="AJ132" s="91" t="s">
        <v>268</v>
      </c>
      <c r="AK132" s="91">
        <v>1</v>
      </c>
      <c r="AM132" s="115"/>
      <c r="AN132" s="1"/>
      <c r="AO132" s="1"/>
      <c r="AP132" s="1"/>
    </row>
    <row r="133" spans="16:42" x14ac:dyDescent="0.3">
      <c r="P133"/>
      <c r="Q133"/>
      <c r="R133"/>
      <c r="S133"/>
      <c r="T133"/>
      <c r="AH133" s="120"/>
      <c r="AI133" s="91"/>
      <c r="AJ133" s="91"/>
      <c r="AK133" s="91"/>
      <c r="AM133" s="115"/>
      <c r="AN133" s="1"/>
      <c r="AO133" s="1"/>
      <c r="AP133" s="1"/>
    </row>
    <row r="134" spans="16:42" ht="15" thickBot="1" x14ac:dyDescent="0.35">
      <c r="P134"/>
      <c r="Q134"/>
      <c r="R134"/>
      <c r="S134"/>
      <c r="T134"/>
      <c r="AH134" s="120"/>
      <c r="AM134" s="115"/>
      <c r="AN134" s="1"/>
      <c r="AO134" s="1"/>
      <c r="AP134" s="1"/>
    </row>
    <row r="135" spans="16:42" ht="15" thickBot="1" x14ac:dyDescent="0.35">
      <c r="P135"/>
      <c r="Q135"/>
      <c r="R135"/>
      <c r="S135"/>
      <c r="T135"/>
      <c r="AH135" s="299" t="s">
        <v>308</v>
      </c>
      <c r="AI135" s="300"/>
      <c r="AJ135" s="300"/>
      <c r="AK135" s="300"/>
      <c r="AL135" s="300"/>
      <c r="AM135" s="301"/>
      <c r="AN135" s="1"/>
      <c r="AO135" s="1"/>
      <c r="AP135" s="1"/>
    </row>
    <row r="136" spans="16:42" x14ac:dyDescent="0.3">
      <c r="P136"/>
      <c r="Q136"/>
      <c r="R136"/>
      <c r="S136"/>
      <c r="T136"/>
      <c r="AH136" s="149"/>
      <c r="AI136" s="150" t="s">
        <v>83</v>
      </c>
      <c r="AJ136" s="151" t="s">
        <v>84</v>
      </c>
      <c r="AK136" s="151" t="s">
        <v>85</v>
      </c>
      <c r="AL136" s="152"/>
      <c r="AM136" s="153"/>
      <c r="AN136" s="1"/>
      <c r="AO136" s="1"/>
      <c r="AP136" s="1"/>
    </row>
    <row r="137" spans="16:42" x14ac:dyDescent="0.3">
      <c r="P137"/>
      <c r="Q137"/>
      <c r="R137"/>
      <c r="S137"/>
      <c r="T137"/>
      <c r="AH137" s="120"/>
      <c r="AI137" s="105" t="s">
        <v>309</v>
      </c>
      <c r="AJ137" s="105" t="s">
        <v>87</v>
      </c>
      <c r="AK137" s="105">
        <f>SUM($AD$13:$AD$50)</f>
        <v>150</v>
      </c>
      <c r="AM137" s="115"/>
      <c r="AN137" s="1"/>
      <c r="AO137" s="1"/>
      <c r="AP137" s="1"/>
    </row>
    <row r="138" spans="16:42" x14ac:dyDescent="0.3">
      <c r="P138"/>
      <c r="Q138"/>
      <c r="R138"/>
      <c r="S138"/>
      <c r="T138"/>
      <c r="AH138" s="120"/>
      <c r="AI138" s="105" t="s">
        <v>310</v>
      </c>
      <c r="AJ138" s="105" t="s">
        <v>87</v>
      </c>
      <c r="AK138" s="105">
        <f>AK137</f>
        <v>150</v>
      </c>
      <c r="AM138" s="115"/>
      <c r="AN138" s="1"/>
      <c r="AO138" s="1"/>
      <c r="AP138" s="1"/>
    </row>
    <row r="139" spans="16:42" ht="15" thickBot="1" x14ac:dyDescent="0.35">
      <c r="P139"/>
      <c r="Q139"/>
      <c r="R139"/>
      <c r="S139"/>
      <c r="T139"/>
      <c r="AH139" s="121"/>
      <c r="AI139" s="122"/>
      <c r="AJ139" s="122"/>
      <c r="AK139" s="122"/>
      <c r="AL139" s="122"/>
      <c r="AM139" s="123"/>
      <c r="AN139" s="1"/>
      <c r="AO139" s="1"/>
      <c r="AP139" s="1"/>
    </row>
    <row r="140" spans="16:42" x14ac:dyDescent="0.3">
      <c r="P140"/>
      <c r="Q140"/>
      <c r="R140"/>
      <c r="S140"/>
      <c r="T140"/>
      <c r="AN140" s="1"/>
      <c r="AO140" s="1"/>
      <c r="AP140" s="1"/>
    </row>
    <row r="141" spans="16:42" x14ac:dyDescent="0.3">
      <c r="P141"/>
      <c r="Q141"/>
      <c r="R141"/>
      <c r="S141"/>
      <c r="T141"/>
      <c r="AN141" s="1"/>
      <c r="AO141" s="1"/>
      <c r="AP141" s="1"/>
    </row>
    <row r="142" spans="16:42" x14ac:dyDescent="0.3">
      <c r="P142"/>
      <c r="Q142"/>
      <c r="R142"/>
      <c r="S142"/>
      <c r="T142"/>
      <c r="AN142" s="1"/>
      <c r="AO142" s="1"/>
      <c r="AP142" s="1"/>
    </row>
    <row r="143" spans="16:42" x14ac:dyDescent="0.3">
      <c r="P143"/>
      <c r="Q143"/>
      <c r="R143"/>
      <c r="S143"/>
      <c r="T143"/>
      <c r="AN143" s="1"/>
      <c r="AO143" s="1"/>
      <c r="AP143" s="1"/>
    </row>
    <row r="144" spans="16:42" x14ac:dyDescent="0.3">
      <c r="P144"/>
      <c r="Q144"/>
      <c r="R144"/>
      <c r="S144"/>
      <c r="T144"/>
      <c r="AN144" s="1"/>
      <c r="AO144" s="1"/>
      <c r="AP144" s="1"/>
    </row>
    <row r="145" spans="16:42" x14ac:dyDescent="0.3">
      <c r="P145"/>
      <c r="Q145"/>
      <c r="R145"/>
      <c r="S145"/>
      <c r="T145"/>
      <c r="AN145" s="1"/>
      <c r="AO145" s="1"/>
      <c r="AP145" s="1"/>
    </row>
    <row r="146" spans="16:42" x14ac:dyDescent="0.3">
      <c r="P146"/>
      <c r="Q146"/>
      <c r="R146"/>
      <c r="S146"/>
      <c r="T146"/>
      <c r="AN146" s="1"/>
      <c r="AO146" s="1"/>
      <c r="AP146" s="1"/>
    </row>
    <row r="147" spans="16:42" x14ac:dyDescent="0.3">
      <c r="S147"/>
      <c r="T147"/>
      <c r="AN147" s="1"/>
      <c r="AO147" s="1"/>
      <c r="AP147" s="1"/>
    </row>
    <row r="148" spans="16:42" x14ac:dyDescent="0.3">
      <c r="S148"/>
      <c r="T148"/>
      <c r="AN148" s="1"/>
      <c r="AO148" s="1"/>
      <c r="AP148" s="1"/>
    </row>
    <row r="149" spans="16:42" x14ac:dyDescent="0.3">
      <c r="P149"/>
      <c r="Q149"/>
      <c r="R149"/>
      <c r="AN149" s="1"/>
      <c r="AO149" s="1"/>
      <c r="AP149" s="1"/>
    </row>
    <row r="150" spans="16:42" x14ac:dyDescent="0.3">
      <c r="P150"/>
      <c r="Q150"/>
      <c r="R150"/>
      <c r="AN150" s="1"/>
      <c r="AO150" s="1"/>
      <c r="AP150" s="1"/>
    </row>
    <row r="151" spans="16:42" x14ac:dyDescent="0.3">
      <c r="S151"/>
      <c r="T151"/>
      <c r="AN151" s="1"/>
      <c r="AO151" s="1"/>
      <c r="AP151" s="1"/>
    </row>
    <row r="152" spans="16:42" x14ac:dyDescent="0.3">
      <c r="S152"/>
      <c r="T152"/>
      <c r="AN152" s="1"/>
      <c r="AO152" s="1"/>
      <c r="AP152" s="1"/>
    </row>
    <row r="153" spans="16:42" x14ac:dyDescent="0.3">
      <c r="AN153" s="1"/>
      <c r="AO153" s="1"/>
      <c r="AP153" s="1"/>
    </row>
    <row r="154" spans="16:42" x14ac:dyDescent="0.3">
      <c r="AN154" s="1"/>
      <c r="AO154" s="1"/>
      <c r="AP154" s="1"/>
    </row>
    <row r="155" spans="16:42" x14ac:dyDescent="0.3">
      <c r="AN155" s="1"/>
      <c r="AO155" s="1"/>
      <c r="AP155" s="1"/>
    </row>
    <row r="156" spans="16:42" x14ac:dyDescent="0.3">
      <c r="AN156" s="1"/>
      <c r="AO156" s="1"/>
      <c r="AP156" s="1"/>
    </row>
    <row r="157" spans="16:42" x14ac:dyDescent="0.3">
      <c r="AN157" s="1"/>
      <c r="AO157" s="1"/>
      <c r="AP157" s="1"/>
    </row>
    <row r="158" spans="16:42" x14ac:dyDescent="0.3">
      <c r="AN158" s="1"/>
      <c r="AO158" s="1"/>
      <c r="AP158" s="1"/>
    </row>
    <row r="159" spans="16:42" x14ac:dyDescent="0.3">
      <c r="AN159" s="1"/>
      <c r="AO159" s="1"/>
      <c r="AP159" s="1"/>
    </row>
    <row r="160" spans="16:42" x14ac:dyDescent="0.3">
      <c r="AN160" s="1"/>
      <c r="AO160" s="1"/>
      <c r="AP160" s="1"/>
    </row>
    <row r="161" spans="16:42" x14ac:dyDescent="0.3">
      <c r="AN161" s="1"/>
      <c r="AO161" s="1"/>
      <c r="AP161" s="1"/>
    </row>
    <row r="162" spans="16:42" x14ac:dyDescent="0.3">
      <c r="AN162" s="1"/>
      <c r="AO162" s="1"/>
      <c r="AP162" s="1"/>
    </row>
    <row r="163" spans="16:42" x14ac:dyDescent="0.3">
      <c r="AN163" s="1"/>
      <c r="AO163" s="1"/>
      <c r="AP163" s="1"/>
    </row>
    <row r="164" spans="16:42" x14ac:dyDescent="0.3">
      <c r="AN164" s="1"/>
      <c r="AO164" s="1"/>
      <c r="AP164" s="1"/>
    </row>
    <row r="165" spans="16:42" x14ac:dyDescent="0.3">
      <c r="AN165" s="1"/>
      <c r="AO165" s="1"/>
      <c r="AP165" s="1"/>
    </row>
    <row r="166" spans="16:42" x14ac:dyDescent="0.3">
      <c r="AN166" s="1"/>
      <c r="AO166" s="1"/>
      <c r="AP166" s="1"/>
    </row>
    <row r="167" spans="16:42" x14ac:dyDescent="0.3">
      <c r="AN167" s="1"/>
      <c r="AO167" s="1"/>
      <c r="AP167" s="1"/>
    </row>
    <row r="168" spans="16:42" x14ac:dyDescent="0.3">
      <c r="AN168" s="1"/>
      <c r="AO168" s="1"/>
      <c r="AP168" s="1"/>
    </row>
    <row r="169" spans="16:42" x14ac:dyDescent="0.3">
      <c r="AN169" s="1"/>
      <c r="AO169" s="1"/>
      <c r="AP169" s="1"/>
    </row>
    <row r="170" spans="16:42" x14ac:dyDescent="0.3">
      <c r="AN170" s="1"/>
      <c r="AO170" s="1"/>
      <c r="AP170" s="1"/>
    </row>
    <row r="171" spans="16:42" x14ac:dyDescent="0.3">
      <c r="AN171" s="1"/>
      <c r="AO171" s="1"/>
      <c r="AP171" s="1"/>
    </row>
    <row r="172" spans="16:42" x14ac:dyDescent="0.3">
      <c r="AN172" s="1"/>
      <c r="AO172" s="1"/>
      <c r="AP172" s="1"/>
    </row>
    <row r="173" spans="16:42" x14ac:dyDescent="0.3">
      <c r="P173"/>
      <c r="Q173"/>
      <c r="R173"/>
      <c r="AN173" s="1"/>
      <c r="AO173" s="1"/>
      <c r="AP173" s="1"/>
    </row>
    <row r="174" spans="16:42" x14ac:dyDescent="0.3">
      <c r="P174"/>
      <c r="Q174"/>
      <c r="R174"/>
      <c r="AN174" s="1"/>
      <c r="AO174" s="1"/>
      <c r="AP174" s="1"/>
    </row>
    <row r="175" spans="16:42" x14ac:dyDescent="0.3">
      <c r="P175"/>
      <c r="Q175"/>
      <c r="R175"/>
      <c r="S175"/>
      <c r="T175"/>
      <c r="AN175" s="1"/>
      <c r="AO175" s="1"/>
      <c r="AP175" s="1"/>
    </row>
    <row r="176" spans="16:42" x14ac:dyDescent="0.3">
      <c r="S176"/>
      <c r="T176"/>
      <c r="AN176" s="1"/>
      <c r="AO176" s="1"/>
      <c r="AP176" s="1"/>
    </row>
    <row r="177" spans="16:42" x14ac:dyDescent="0.3">
      <c r="S177"/>
      <c r="T177"/>
      <c r="AN177" s="1"/>
      <c r="AO177" s="1"/>
      <c r="AP177" s="1"/>
    </row>
    <row r="178" spans="16:42" x14ac:dyDescent="0.3">
      <c r="AN178" s="1"/>
      <c r="AO178" s="1"/>
      <c r="AP178" s="1"/>
    </row>
    <row r="179" spans="16:42" x14ac:dyDescent="0.3">
      <c r="P179"/>
      <c r="Q179"/>
      <c r="R179"/>
      <c r="AN179" s="1"/>
      <c r="AO179" s="1"/>
      <c r="AP179" s="1"/>
    </row>
    <row r="180" spans="16:42" x14ac:dyDescent="0.3">
      <c r="P180"/>
      <c r="Q180"/>
      <c r="R180"/>
      <c r="AN180" s="1"/>
      <c r="AO180" s="1"/>
      <c r="AP180" s="1"/>
    </row>
    <row r="181" spans="16:42" x14ac:dyDescent="0.3">
      <c r="P181"/>
      <c r="Q181"/>
      <c r="R181"/>
      <c r="S181"/>
      <c r="T181"/>
      <c r="AN181" s="1"/>
      <c r="AO181" s="1"/>
      <c r="AP181" s="1"/>
    </row>
    <row r="182" spans="16:42" x14ac:dyDescent="0.3">
      <c r="P182"/>
      <c r="Q182"/>
      <c r="R182"/>
      <c r="S182"/>
      <c r="T182"/>
      <c r="AN182" s="1"/>
      <c r="AO182" s="1"/>
      <c r="AP182" s="1"/>
    </row>
    <row r="183" spans="16:42" x14ac:dyDescent="0.3">
      <c r="P183"/>
      <c r="Q183"/>
      <c r="R183"/>
      <c r="S183"/>
      <c r="T183"/>
      <c r="AN183" s="1"/>
      <c r="AO183" s="1"/>
      <c r="AP183" s="1"/>
    </row>
    <row r="184" spans="16:42" x14ac:dyDescent="0.3">
      <c r="P184"/>
      <c r="Q184"/>
      <c r="R184"/>
      <c r="S184"/>
      <c r="T184"/>
      <c r="AN184" s="1"/>
      <c r="AO184" s="1"/>
      <c r="AP184" s="1"/>
    </row>
    <row r="185" spans="16:42" x14ac:dyDescent="0.3">
      <c r="P185"/>
      <c r="Q185"/>
      <c r="R185"/>
      <c r="S185"/>
      <c r="T185"/>
      <c r="AN185" s="1"/>
      <c r="AO185" s="1"/>
      <c r="AP185" s="1"/>
    </row>
    <row r="186" spans="16:42" x14ac:dyDescent="0.3">
      <c r="P186"/>
      <c r="Q186"/>
      <c r="R186"/>
      <c r="S186"/>
      <c r="T186"/>
      <c r="AN186" s="1"/>
      <c r="AO186" s="1"/>
      <c r="AP186" s="1"/>
    </row>
    <row r="187" spans="16:42" x14ac:dyDescent="0.3">
      <c r="P187"/>
      <c r="Q187"/>
      <c r="R187"/>
      <c r="S187"/>
      <c r="T187"/>
      <c r="AN187" s="1"/>
      <c r="AO187" s="1"/>
      <c r="AP187" s="1"/>
    </row>
    <row r="188" spans="16:42" x14ac:dyDescent="0.3">
      <c r="P188"/>
      <c r="Q188"/>
      <c r="R188"/>
      <c r="S188"/>
      <c r="T188"/>
      <c r="AN188" s="1"/>
      <c r="AO188" s="1"/>
      <c r="AP188" s="1"/>
    </row>
    <row r="189" spans="16:42" x14ac:dyDescent="0.3">
      <c r="P189"/>
      <c r="Q189"/>
      <c r="R189"/>
      <c r="S189"/>
      <c r="T189"/>
      <c r="AN189" s="1"/>
      <c r="AO189" s="1"/>
      <c r="AP189" s="1"/>
    </row>
    <row r="190" spans="16:42" x14ac:dyDescent="0.3">
      <c r="P190"/>
      <c r="Q190"/>
      <c r="R190"/>
      <c r="S190"/>
      <c r="T190"/>
      <c r="AN190" s="1"/>
      <c r="AO190" s="1"/>
      <c r="AP190" s="1"/>
    </row>
    <row r="191" spans="16:42" x14ac:dyDescent="0.3">
      <c r="P191"/>
      <c r="Q191"/>
      <c r="R191"/>
      <c r="S191"/>
      <c r="T191"/>
      <c r="AN191" s="1"/>
      <c r="AO191" s="1"/>
      <c r="AP191" s="1"/>
    </row>
    <row r="192" spans="16:42" x14ac:dyDescent="0.3">
      <c r="P192"/>
      <c r="Q192"/>
      <c r="R192"/>
      <c r="S192"/>
      <c r="T192"/>
      <c r="AN192" s="1"/>
      <c r="AO192" s="1"/>
      <c r="AP192" s="1"/>
    </row>
    <row r="193" spans="16:42" x14ac:dyDescent="0.3">
      <c r="P193"/>
      <c r="Q193"/>
      <c r="R193"/>
      <c r="S193"/>
      <c r="T193"/>
      <c r="AN193" s="1"/>
      <c r="AO193" s="1"/>
      <c r="AP193" s="1"/>
    </row>
    <row r="194" spans="16:42" x14ac:dyDescent="0.3">
      <c r="P194"/>
      <c r="Q194"/>
      <c r="R194"/>
      <c r="S194"/>
      <c r="T194"/>
      <c r="AN194" s="1"/>
      <c r="AO194" s="1"/>
      <c r="AP194" s="1"/>
    </row>
    <row r="195" spans="16:42" x14ac:dyDescent="0.3">
      <c r="P195"/>
      <c r="Q195"/>
      <c r="R195"/>
      <c r="S195"/>
      <c r="T195"/>
      <c r="AN195" s="1"/>
      <c r="AO195" s="1"/>
      <c r="AP195" s="1"/>
    </row>
    <row r="196" spans="16:42" x14ac:dyDescent="0.3">
      <c r="P196"/>
      <c r="Q196"/>
      <c r="R196"/>
      <c r="S196"/>
      <c r="T196"/>
      <c r="AN196" s="1"/>
      <c r="AO196" s="1"/>
      <c r="AP196" s="1"/>
    </row>
    <row r="197" spans="16:42" x14ac:dyDescent="0.3">
      <c r="P197"/>
      <c r="Q197"/>
      <c r="R197"/>
      <c r="S197"/>
      <c r="T197"/>
      <c r="AN197" s="1"/>
      <c r="AO197" s="1"/>
      <c r="AP197" s="1"/>
    </row>
    <row r="198" spans="16:42" x14ac:dyDescent="0.3">
      <c r="P198"/>
      <c r="Q198"/>
      <c r="R198"/>
      <c r="S198"/>
      <c r="T198"/>
      <c r="AN198" s="1"/>
      <c r="AO198" s="1"/>
      <c r="AP198" s="1"/>
    </row>
    <row r="199" spans="16:42" x14ac:dyDescent="0.3">
      <c r="P199"/>
      <c r="Q199"/>
      <c r="R199"/>
      <c r="S199"/>
      <c r="T199"/>
      <c r="AN199" s="1"/>
      <c r="AO199" s="1"/>
      <c r="AP199" s="1"/>
    </row>
    <row r="200" spans="16:42" x14ac:dyDescent="0.3">
      <c r="P200"/>
      <c r="Q200"/>
      <c r="R200"/>
      <c r="S200"/>
      <c r="T200"/>
      <c r="AN200" s="1"/>
      <c r="AO200" s="1"/>
      <c r="AP200" s="1"/>
    </row>
    <row r="201" spans="16:42" x14ac:dyDescent="0.3">
      <c r="P201"/>
      <c r="Q201"/>
      <c r="R201"/>
      <c r="S201"/>
      <c r="T201"/>
      <c r="AN201" s="1"/>
      <c r="AO201" s="1"/>
      <c r="AP201" s="1"/>
    </row>
    <row r="202" spans="16:42" x14ac:dyDescent="0.3">
      <c r="P202"/>
      <c r="Q202"/>
      <c r="R202"/>
      <c r="S202"/>
      <c r="T202"/>
      <c r="AN202" s="1"/>
      <c r="AO202" s="1"/>
      <c r="AP202" s="1"/>
    </row>
    <row r="203" spans="16:42" x14ac:dyDescent="0.3">
      <c r="P203"/>
      <c r="Q203"/>
      <c r="R203"/>
      <c r="S203"/>
      <c r="T203"/>
      <c r="AN203" s="1"/>
      <c r="AO203" s="1"/>
      <c r="AP203" s="1"/>
    </row>
    <row r="204" spans="16:42" x14ac:dyDescent="0.3">
      <c r="P204"/>
      <c r="Q204"/>
      <c r="R204"/>
      <c r="S204"/>
      <c r="T204"/>
      <c r="AN204" s="1"/>
      <c r="AO204" s="1"/>
      <c r="AP204" s="1"/>
    </row>
    <row r="205" spans="16:42" x14ac:dyDescent="0.3">
      <c r="P205"/>
      <c r="Q205"/>
      <c r="R205"/>
      <c r="S205"/>
      <c r="T205"/>
      <c r="AN205" s="1"/>
      <c r="AO205" s="1"/>
      <c r="AP205" s="1"/>
    </row>
    <row r="206" spans="16:42" x14ac:dyDescent="0.3">
      <c r="P206"/>
      <c r="Q206"/>
      <c r="R206"/>
      <c r="S206"/>
      <c r="T206"/>
      <c r="AN206" s="1"/>
      <c r="AO206" s="1"/>
      <c r="AP206" s="1"/>
    </row>
    <row r="207" spans="16:42" x14ac:dyDescent="0.3">
      <c r="P207"/>
      <c r="Q207"/>
      <c r="R207"/>
      <c r="S207"/>
      <c r="T207"/>
      <c r="AN207" s="1"/>
      <c r="AO207" s="1"/>
      <c r="AP207" s="1"/>
    </row>
    <row r="208" spans="16:42" x14ac:dyDescent="0.3">
      <c r="P208"/>
      <c r="Q208"/>
      <c r="R208"/>
      <c r="S208"/>
      <c r="T208"/>
      <c r="AN208" s="1"/>
      <c r="AO208" s="1"/>
      <c r="AP208" s="1"/>
    </row>
    <row r="209" spans="16:42" x14ac:dyDescent="0.3">
      <c r="P209"/>
      <c r="Q209"/>
      <c r="R209"/>
      <c r="S209"/>
      <c r="T209"/>
      <c r="AN209" s="1"/>
      <c r="AO209" s="1"/>
      <c r="AP209" s="1"/>
    </row>
    <row r="210" spans="16:42" x14ac:dyDescent="0.3">
      <c r="P210"/>
      <c r="Q210"/>
      <c r="R210"/>
      <c r="S210"/>
      <c r="T210"/>
      <c r="AN210" s="1"/>
      <c r="AO210" s="1"/>
      <c r="AP210" s="1"/>
    </row>
    <row r="211" spans="16:42" x14ac:dyDescent="0.3">
      <c r="P211"/>
      <c r="Q211"/>
      <c r="R211"/>
      <c r="S211"/>
      <c r="T211"/>
      <c r="AN211" s="1"/>
      <c r="AO211" s="1"/>
      <c r="AP211" s="1"/>
    </row>
    <row r="212" spans="16:42" x14ac:dyDescent="0.3">
      <c r="P212"/>
      <c r="Q212"/>
      <c r="R212"/>
      <c r="S212"/>
      <c r="T212"/>
      <c r="AN212" s="1"/>
      <c r="AO212" s="1"/>
      <c r="AP212" s="1"/>
    </row>
    <row r="213" spans="16:42" x14ac:dyDescent="0.3">
      <c r="P213"/>
      <c r="Q213"/>
      <c r="R213"/>
      <c r="S213"/>
      <c r="T213"/>
      <c r="AN213" s="1"/>
      <c r="AO213" s="1"/>
      <c r="AP213" s="1"/>
    </row>
    <row r="214" spans="16:42" x14ac:dyDescent="0.3">
      <c r="P214"/>
      <c r="Q214"/>
      <c r="R214"/>
      <c r="S214"/>
      <c r="T214"/>
      <c r="AN214" s="1"/>
      <c r="AO214" s="1"/>
      <c r="AP214" s="1"/>
    </row>
    <row r="215" spans="16:42" x14ac:dyDescent="0.3">
      <c r="P215"/>
      <c r="Q215"/>
      <c r="R215"/>
      <c r="S215"/>
      <c r="T215"/>
      <c r="AN215" s="1"/>
      <c r="AO215" s="1"/>
      <c r="AP215" s="1"/>
    </row>
    <row r="216" spans="16:42" x14ac:dyDescent="0.3">
      <c r="P216"/>
      <c r="Q216"/>
      <c r="R216"/>
      <c r="S216"/>
      <c r="T216"/>
      <c r="AN216" s="1"/>
      <c r="AO216" s="1"/>
      <c r="AP216" s="1"/>
    </row>
    <row r="217" spans="16:42" x14ac:dyDescent="0.3">
      <c r="P217"/>
      <c r="Q217"/>
      <c r="R217"/>
      <c r="S217"/>
      <c r="T217"/>
      <c r="AN217" s="1"/>
      <c r="AO217" s="1"/>
      <c r="AP217" s="1"/>
    </row>
    <row r="218" spans="16:42" x14ac:dyDescent="0.3">
      <c r="P218"/>
      <c r="Q218"/>
      <c r="R218"/>
      <c r="S218"/>
      <c r="T218"/>
      <c r="AN218" s="1"/>
      <c r="AO218" s="1"/>
      <c r="AP218" s="1"/>
    </row>
    <row r="219" spans="16:42" x14ac:dyDescent="0.3">
      <c r="P219"/>
      <c r="Q219"/>
      <c r="R219"/>
      <c r="S219"/>
      <c r="T219"/>
      <c r="AN219" s="1"/>
      <c r="AO219" s="1"/>
      <c r="AP219" s="1"/>
    </row>
    <row r="220" spans="16:42" x14ac:dyDescent="0.3">
      <c r="P220"/>
      <c r="Q220"/>
      <c r="R220"/>
      <c r="S220"/>
      <c r="T220"/>
      <c r="AN220" s="1"/>
      <c r="AO220" s="1"/>
      <c r="AP220" s="1"/>
    </row>
    <row r="221" spans="16:42" x14ac:dyDescent="0.3">
      <c r="P221"/>
      <c r="Q221"/>
      <c r="R221"/>
      <c r="S221"/>
      <c r="T221"/>
      <c r="AN221" s="1"/>
      <c r="AO221" s="1"/>
      <c r="AP221" s="1"/>
    </row>
    <row r="222" spans="16:42" x14ac:dyDescent="0.3">
      <c r="P222"/>
      <c r="Q222"/>
      <c r="R222"/>
      <c r="S222"/>
      <c r="T222"/>
      <c r="AN222" s="1"/>
      <c r="AO222" s="1"/>
      <c r="AP222" s="1"/>
    </row>
    <row r="223" spans="16:42" x14ac:dyDescent="0.3">
      <c r="P223"/>
      <c r="Q223"/>
      <c r="R223"/>
      <c r="S223"/>
      <c r="T223"/>
      <c r="AN223" s="1"/>
      <c r="AO223" s="1"/>
      <c r="AP223" s="1"/>
    </row>
    <row r="224" spans="16:42" x14ac:dyDescent="0.3">
      <c r="P224"/>
      <c r="Q224"/>
      <c r="R224"/>
      <c r="S224"/>
      <c r="T224"/>
      <c r="AN224" s="1"/>
      <c r="AO224" s="1"/>
      <c r="AP224" s="1"/>
    </row>
    <row r="225" spans="16:42" x14ac:dyDescent="0.3">
      <c r="P225"/>
      <c r="Q225"/>
      <c r="R225"/>
      <c r="S225"/>
      <c r="T225"/>
      <c r="AN225" s="1"/>
      <c r="AO225" s="1"/>
      <c r="AP225" s="1"/>
    </row>
    <row r="226" spans="16:42" x14ac:dyDescent="0.3">
      <c r="P226"/>
      <c r="Q226"/>
      <c r="R226"/>
      <c r="S226"/>
      <c r="T226"/>
      <c r="AN226" s="1"/>
      <c r="AO226" s="1"/>
      <c r="AP226" s="1"/>
    </row>
    <row r="227" spans="16:42" x14ac:dyDescent="0.3">
      <c r="P227"/>
      <c r="Q227"/>
      <c r="R227"/>
      <c r="S227"/>
      <c r="T227"/>
      <c r="AN227" s="1"/>
      <c r="AO227" s="1"/>
      <c r="AP227" s="1"/>
    </row>
    <row r="228" spans="16:42" x14ac:dyDescent="0.3">
      <c r="P228"/>
      <c r="Q228"/>
      <c r="R228"/>
      <c r="S228"/>
      <c r="T228"/>
      <c r="AN228" s="1"/>
      <c r="AO228" s="1"/>
      <c r="AP228" s="1"/>
    </row>
    <row r="229" spans="16:42" x14ac:dyDescent="0.3">
      <c r="P229"/>
      <c r="Q229"/>
      <c r="R229"/>
      <c r="S229"/>
      <c r="T229"/>
      <c r="AN229" s="1"/>
      <c r="AO229" s="1"/>
      <c r="AP229" s="1"/>
    </row>
    <row r="230" spans="16:42" x14ac:dyDescent="0.3">
      <c r="P230"/>
      <c r="Q230"/>
      <c r="R230"/>
      <c r="S230"/>
      <c r="T230"/>
      <c r="AN230" s="1"/>
      <c r="AO230" s="1"/>
      <c r="AP230" s="1"/>
    </row>
    <row r="231" spans="16:42" x14ac:dyDescent="0.3">
      <c r="P231"/>
      <c r="Q231"/>
      <c r="R231"/>
      <c r="S231"/>
      <c r="T231"/>
      <c r="AN231" s="1"/>
      <c r="AO231" s="1"/>
      <c r="AP231" s="1"/>
    </row>
    <row r="232" spans="16:42" x14ac:dyDescent="0.3">
      <c r="P232"/>
      <c r="Q232"/>
      <c r="R232"/>
      <c r="S232"/>
      <c r="T232"/>
      <c r="AN232" s="1"/>
      <c r="AO232" s="1"/>
      <c r="AP232" s="1"/>
    </row>
    <row r="233" spans="16:42" x14ac:dyDescent="0.3">
      <c r="P233"/>
      <c r="Q233"/>
      <c r="R233"/>
      <c r="S233"/>
      <c r="T233"/>
      <c r="AN233" s="1"/>
      <c r="AO233" s="1"/>
      <c r="AP233" s="1"/>
    </row>
    <row r="234" spans="16:42" x14ac:dyDescent="0.3">
      <c r="P234"/>
      <c r="Q234"/>
      <c r="R234"/>
      <c r="S234"/>
      <c r="T234"/>
      <c r="AN234" s="1"/>
      <c r="AO234" s="1"/>
      <c r="AP234" s="1"/>
    </row>
    <row r="235" spans="16:42" x14ac:dyDescent="0.3">
      <c r="P235"/>
      <c r="Q235"/>
      <c r="R235"/>
      <c r="S235"/>
      <c r="T235"/>
      <c r="AN235" s="1"/>
      <c r="AO235" s="1"/>
      <c r="AP235" s="1"/>
    </row>
    <row r="236" spans="16:42" x14ac:dyDescent="0.3">
      <c r="P236"/>
      <c r="Q236"/>
      <c r="R236"/>
      <c r="S236"/>
      <c r="T236"/>
      <c r="AN236" s="1"/>
      <c r="AO236" s="1"/>
      <c r="AP236" s="1"/>
    </row>
    <row r="237" spans="16:42" x14ac:dyDescent="0.3">
      <c r="P237"/>
      <c r="Q237"/>
      <c r="R237"/>
      <c r="S237"/>
      <c r="T237"/>
      <c r="AN237" s="1"/>
      <c r="AO237" s="1"/>
      <c r="AP237" s="1"/>
    </row>
    <row r="238" spans="16:42" x14ac:dyDescent="0.3">
      <c r="P238"/>
      <c r="Q238"/>
      <c r="R238"/>
      <c r="S238"/>
      <c r="T238"/>
      <c r="AN238" s="1"/>
      <c r="AO238" s="1"/>
      <c r="AP238" s="1"/>
    </row>
    <row r="239" spans="16:42" x14ac:dyDescent="0.3">
      <c r="P239"/>
      <c r="Q239"/>
      <c r="R239"/>
      <c r="S239"/>
      <c r="T239"/>
      <c r="AN239" s="1"/>
      <c r="AO239" s="1"/>
      <c r="AP239" s="1"/>
    </row>
    <row r="240" spans="16:42" x14ac:dyDescent="0.3">
      <c r="P240"/>
      <c r="Q240"/>
      <c r="R240"/>
      <c r="S240"/>
      <c r="T240"/>
      <c r="AN240" s="1"/>
      <c r="AO240" s="1"/>
      <c r="AP240" s="1"/>
    </row>
    <row r="241" spans="16:42" x14ac:dyDescent="0.3">
      <c r="P241"/>
      <c r="Q241"/>
      <c r="R241"/>
      <c r="S241"/>
      <c r="T241"/>
      <c r="AN241" s="1"/>
      <c r="AO241" s="1"/>
      <c r="AP241" s="1"/>
    </row>
    <row r="242" spans="16:42" x14ac:dyDescent="0.3">
      <c r="P242"/>
      <c r="Q242"/>
      <c r="R242"/>
      <c r="S242"/>
      <c r="T242"/>
      <c r="AN242" s="1"/>
      <c r="AO242" s="1"/>
      <c r="AP242" s="1"/>
    </row>
    <row r="243" spans="16:42" x14ac:dyDescent="0.3">
      <c r="P243"/>
      <c r="Q243"/>
      <c r="R243"/>
      <c r="S243"/>
      <c r="T243"/>
      <c r="AN243" s="1"/>
      <c r="AO243" s="1"/>
      <c r="AP243" s="1"/>
    </row>
    <row r="244" spans="16:42" x14ac:dyDescent="0.3">
      <c r="P244"/>
      <c r="Q244"/>
      <c r="R244"/>
      <c r="S244"/>
      <c r="T244"/>
      <c r="AN244" s="1"/>
      <c r="AO244" s="1"/>
      <c r="AP244" s="1"/>
    </row>
    <row r="245" spans="16:42" x14ac:dyDescent="0.3">
      <c r="P245"/>
      <c r="Q245"/>
      <c r="R245"/>
      <c r="S245"/>
      <c r="T245"/>
      <c r="AN245" s="1"/>
      <c r="AO245" s="1"/>
      <c r="AP245" s="1"/>
    </row>
    <row r="246" spans="16:42" x14ac:dyDescent="0.3">
      <c r="P246"/>
      <c r="Q246"/>
      <c r="R246"/>
      <c r="S246"/>
      <c r="T246"/>
      <c r="AN246" s="1"/>
      <c r="AO246" s="1"/>
      <c r="AP246" s="1"/>
    </row>
    <row r="247" spans="16:42" x14ac:dyDescent="0.3">
      <c r="P247"/>
      <c r="Q247"/>
      <c r="R247"/>
      <c r="S247"/>
      <c r="T247"/>
      <c r="AN247" s="1"/>
      <c r="AO247" s="1"/>
      <c r="AP247" s="1"/>
    </row>
    <row r="248" spans="16:42" x14ac:dyDescent="0.3">
      <c r="P248"/>
      <c r="Q248"/>
      <c r="R248"/>
      <c r="S248"/>
      <c r="T248"/>
      <c r="AN248" s="1"/>
      <c r="AO248" s="1"/>
      <c r="AP248" s="1"/>
    </row>
    <row r="249" spans="16:42" x14ac:dyDescent="0.3">
      <c r="P249"/>
      <c r="Q249"/>
      <c r="R249"/>
      <c r="S249"/>
      <c r="T249"/>
      <c r="AN249" s="1"/>
      <c r="AO249" s="1"/>
      <c r="AP249" s="1"/>
    </row>
    <row r="250" spans="16:42" x14ac:dyDescent="0.3">
      <c r="P250"/>
      <c r="Q250"/>
      <c r="R250"/>
      <c r="S250"/>
      <c r="T250"/>
      <c r="AN250" s="1"/>
      <c r="AO250" s="1"/>
      <c r="AP250" s="1"/>
    </row>
    <row r="251" spans="16:42" x14ac:dyDescent="0.3">
      <c r="P251"/>
      <c r="Q251"/>
      <c r="R251"/>
      <c r="S251"/>
      <c r="T251"/>
      <c r="AN251" s="1"/>
      <c r="AO251" s="1"/>
      <c r="AP251" s="1"/>
    </row>
    <row r="252" spans="16:42" x14ac:dyDescent="0.3">
      <c r="P252"/>
      <c r="Q252"/>
      <c r="R252"/>
      <c r="S252"/>
      <c r="T252"/>
      <c r="AN252" s="1"/>
      <c r="AO252" s="1"/>
      <c r="AP252" s="1"/>
    </row>
    <row r="253" spans="16:42" x14ac:dyDescent="0.3">
      <c r="P253"/>
      <c r="Q253"/>
      <c r="R253"/>
      <c r="S253"/>
      <c r="T253"/>
      <c r="AN253" s="1"/>
      <c r="AO253" s="1"/>
      <c r="AP253" s="1"/>
    </row>
    <row r="254" spans="16:42" x14ac:dyDescent="0.3">
      <c r="P254"/>
      <c r="Q254"/>
      <c r="R254"/>
      <c r="S254"/>
      <c r="T254"/>
      <c r="AN254" s="1"/>
      <c r="AO254" s="1"/>
      <c r="AP254" s="1"/>
    </row>
    <row r="255" spans="16:42" x14ac:dyDescent="0.3">
      <c r="P255"/>
      <c r="Q255"/>
      <c r="R255"/>
      <c r="S255"/>
      <c r="T255"/>
      <c r="AN255" s="1"/>
      <c r="AO255" s="1"/>
      <c r="AP255" s="1"/>
    </row>
    <row r="256" spans="16:42" x14ac:dyDescent="0.3">
      <c r="P256"/>
      <c r="Q256"/>
      <c r="R256"/>
      <c r="S256"/>
      <c r="T256"/>
      <c r="AN256" s="1"/>
      <c r="AO256" s="1"/>
      <c r="AP256" s="1"/>
    </row>
    <row r="257" spans="16:42" x14ac:dyDescent="0.3">
      <c r="P257"/>
      <c r="Q257"/>
      <c r="R257"/>
      <c r="S257"/>
      <c r="T257"/>
      <c r="AN257" s="1"/>
      <c r="AO257" s="1"/>
      <c r="AP257" s="1"/>
    </row>
    <row r="258" spans="16:42" x14ac:dyDescent="0.3">
      <c r="P258"/>
      <c r="Q258"/>
      <c r="R258"/>
      <c r="S258"/>
      <c r="T258"/>
      <c r="AN258" s="1"/>
      <c r="AO258" s="1"/>
      <c r="AP258" s="1"/>
    </row>
    <row r="259" spans="16:42" x14ac:dyDescent="0.3">
      <c r="P259"/>
      <c r="Q259"/>
      <c r="R259"/>
      <c r="S259"/>
      <c r="T259"/>
      <c r="AN259" s="1"/>
      <c r="AO259" s="1"/>
      <c r="AP259" s="1"/>
    </row>
    <row r="260" spans="16:42" x14ac:dyDescent="0.3">
      <c r="P260"/>
      <c r="Q260"/>
      <c r="R260"/>
      <c r="S260"/>
      <c r="T260"/>
      <c r="AN260" s="1"/>
      <c r="AO260" s="1"/>
      <c r="AP260" s="1"/>
    </row>
    <row r="261" spans="16:42" x14ac:dyDescent="0.3">
      <c r="P261"/>
      <c r="Q261"/>
      <c r="R261"/>
      <c r="S261"/>
      <c r="T261"/>
      <c r="AN261" s="1"/>
      <c r="AO261" s="1"/>
      <c r="AP261" s="1"/>
    </row>
    <row r="262" spans="16:42" x14ac:dyDescent="0.3">
      <c r="P262"/>
      <c r="Q262"/>
      <c r="R262"/>
      <c r="S262"/>
      <c r="T262"/>
      <c r="AN262" s="1"/>
      <c r="AO262" s="1"/>
      <c r="AP262" s="1"/>
    </row>
    <row r="263" spans="16:42" x14ac:dyDescent="0.3">
      <c r="P263"/>
      <c r="Q263"/>
      <c r="R263"/>
      <c r="S263"/>
      <c r="T263"/>
      <c r="AN263" s="1"/>
      <c r="AO263" s="1"/>
      <c r="AP263" s="1"/>
    </row>
    <row r="264" spans="16:42" x14ac:dyDescent="0.3">
      <c r="P264"/>
      <c r="Q264"/>
      <c r="R264"/>
      <c r="S264"/>
      <c r="T264"/>
      <c r="AN264" s="1"/>
      <c r="AO264" s="1"/>
      <c r="AP264" s="1"/>
    </row>
    <row r="265" spans="16:42" x14ac:dyDescent="0.3">
      <c r="P265"/>
      <c r="Q265"/>
      <c r="R265"/>
      <c r="S265"/>
      <c r="T265"/>
      <c r="AN265" s="1"/>
      <c r="AO265" s="1"/>
      <c r="AP265" s="1"/>
    </row>
    <row r="266" spans="16:42" x14ac:dyDescent="0.3">
      <c r="P266"/>
      <c r="Q266"/>
      <c r="R266"/>
      <c r="S266"/>
      <c r="T266"/>
      <c r="AN266" s="1"/>
      <c r="AO266" s="1"/>
      <c r="AP266" s="1"/>
    </row>
    <row r="267" spans="16:42" x14ac:dyDescent="0.3">
      <c r="P267"/>
      <c r="Q267"/>
      <c r="R267"/>
      <c r="S267"/>
      <c r="T267"/>
      <c r="AN267" s="1"/>
      <c r="AO267" s="1"/>
      <c r="AP267" s="1"/>
    </row>
    <row r="268" spans="16:42" x14ac:dyDescent="0.3">
      <c r="P268"/>
      <c r="Q268"/>
      <c r="R268"/>
      <c r="S268"/>
      <c r="T268"/>
      <c r="AN268" s="1"/>
      <c r="AO268" s="1"/>
      <c r="AP268" s="1"/>
    </row>
    <row r="269" spans="16:42" x14ac:dyDescent="0.3">
      <c r="P269"/>
      <c r="Q269"/>
      <c r="R269"/>
      <c r="S269"/>
      <c r="T269"/>
      <c r="AN269" s="1"/>
      <c r="AO269" s="1"/>
      <c r="AP269" s="1"/>
    </row>
    <row r="270" spans="16:42" x14ac:dyDescent="0.3">
      <c r="P270"/>
      <c r="Q270"/>
      <c r="R270"/>
      <c r="S270"/>
      <c r="T270"/>
      <c r="AN270" s="1"/>
      <c r="AO270" s="1"/>
      <c r="AP270" s="1"/>
    </row>
    <row r="271" spans="16:42" x14ac:dyDescent="0.3">
      <c r="P271"/>
      <c r="Q271"/>
      <c r="R271"/>
      <c r="S271"/>
      <c r="T271"/>
      <c r="AN271" s="1"/>
      <c r="AO271" s="1"/>
      <c r="AP271" s="1"/>
    </row>
    <row r="272" spans="16:42" x14ac:dyDescent="0.3">
      <c r="P272"/>
      <c r="Q272"/>
      <c r="R272"/>
      <c r="S272"/>
      <c r="T272"/>
      <c r="AN272" s="1"/>
      <c r="AO272" s="1"/>
      <c r="AP272" s="1"/>
    </row>
    <row r="273" spans="16:42" x14ac:dyDescent="0.3">
      <c r="P273"/>
      <c r="Q273"/>
      <c r="R273"/>
      <c r="S273"/>
      <c r="T273"/>
      <c r="AN273" s="1"/>
      <c r="AO273" s="1"/>
      <c r="AP273" s="1"/>
    </row>
    <row r="274" spans="16:42" x14ac:dyDescent="0.3">
      <c r="P274"/>
      <c r="Q274"/>
      <c r="R274"/>
      <c r="S274"/>
      <c r="T274"/>
      <c r="AN274" s="1"/>
      <c r="AO274" s="1"/>
      <c r="AP274" s="1"/>
    </row>
    <row r="275" spans="16:42" x14ac:dyDescent="0.3">
      <c r="P275"/>
      <c r="Q275"/>
      <c r="R275"/>
      <c r="S275"/>
      <c r="T275"/>
      <c r="AN275" s="1"/>
      <c r="AO275" s="1"/>
      <c r="AP275" s="1"/>
    </row>
    <row r="276" spans="16:42" x14ac:dyDescent="0.3">
      <c r="P276"/>
      <c r="Q276"/>
      <c r="R276"/>
      <c r="S276"/>
      <c r="T276"/>
      <c r="AN276" s="1"/>
      <c r="AO276" s="1"/>
      <c r="AP276" s="1"/>
    </row>
    <row r="277" spans="16:42" x14ac:dyDescent="0.3">
      <c r="P277"/>
      <c r="Q277"/>
      <c r="R277"/>
      <c r="S277"/>
      <c r="T277"/>
      <c r="AN277" s="1"/>
      <c r="AO277" s="1"/>
      <c r="AP277" s="1"/>
    </row>
    <row r="278" spans="16:42" x14ac:dyDescent="0.3">
      <c r="P278"/>
      <c r="Q278"/>
      <c r="R278"/>
      <c r="S278"/>
      <c r="T278"/>
      <c r="AN278" s="1"/>
      <c r="AO278" s="1"/>
      <c r="AP278" s="1"/>
    </row>
    <row r="279" spans="16:42" x14ac:dyDescent="0.3">
      <c r="P279"/>
      <c r="Q279"/>
      <c r="R279"/>
      <c r="S279"/>
      <c r="T279"/>
      <c r="AN279" s="1"/>
      <c r="AO279" s="1"/>
      <c r="AP279" s="1"/>
    </row>
    <row r="280" spans="16:42" x14ac:dyDescent="0.3">
      <c r="P280"/>
      <c r="Q280"/>
      <c r="R280"/>
      <c r="S280"/>
      <c r="T280"/>
      <c r="AN280" s="1"/>
      <c r="AO280" s="1"/>
      <c r="AP280" s="1"/>
    </row>
    <row r="281" spans="16:42" x14ac:dyDescent="0.3">
      <c r="P281"/>
      <c r="Q281"/>
      <c r="R281"/>
      <c r="S281"/>
      <c r="T281"/>
      <c r="AN281" s="1"/>
      <c r="AO281" s="1"/>
      <c r="AP281" s="1"/>
    </row>
    <row r="282" spans="16:42" x14ac:dyDescent="0.3">
      <c r="P282"/>
      <c r="Q282"/>
      <c r="R282"/>
      <c r="S282"/>
      <c r="T282"/>
      <c r="AN282" s="1"/>
      <c r="AO282" s="1"/>
      <c r="AP282" s="1"/>
    </row>
    <row r="283" spans="16:42" x14ac:dyDescent="0.3">
      <c r="P283"/>
      <c r="Q283"/>
      <c r="R283"/>
      <c r="S283"/>
      <c r="T283"/>
      <c r="AN283" s="1"/>
      <c r="AO283" s="1"/>
      <c r="AP283" s="1"/>
    </row>
    <row r="284" spans="16:42" x14ac:dyDescent="0.3">
      <c r="P284"/>
      <c r="Q284"/>
      <c r="R284"/>
      <c r="S284"/>
      <c r="T284"/>
      <c r="AN284" s="1"/>
      <c r="AO284" s="1"/>
      <c r="AP284" s="1"/>
    </row>
    <row r="285" spans="16:42" x14ac:dyDescent="0.3">
      <c r="P285"/>
      <c r="Q285"/>
      <c r="R285"/>
      <c r="S285"/>
      <c r="T285"/>
      <c r="AN285" s="1"/>
      <c r="AO285" s="1"/>
      <c r="AP285" s="1"/>
    </row>
    <row r="286" spans="16:42" x14ac:dyDescent="0.3">
      <c r="P286"/>
      <c r="Q286"/>
      <c r="R286"/>
      <c r="S286"/>
      <c r="T286"/>
      <c r="AN286" s="1"/>
      <c r="AO286" s="1"/>
      <c r="AP286" s="1"/>
    </row>
    <row r="287" spans="16:42" x14ac:dyDescent="0.3">
      <c r="P287"/>
      <c r="Q287"/>
      <c r="R287"/>
      <c r="S287"/>
      <c r="T287"/>
      <c r="AN287" s="1"/>
      <c r="AO287" s="1"/>
      <c r="AP287" s="1"/>
    </row>
    <row r="288" spans="16:42" x14ac:dyDescent="0.3">
      <c r="S288"/>
      <c r="T288"/>
    </row>
    <row r="289" spans="19:20" x14ac:dyDescent="0.3">
      <c r="S289"/>
      <c r="T289"/>
    </row>
  </sheetData>
  <sheetProtection selectLockedCells="1"/>
  <mergeCells count="20">
    <mergeCell ref="AH135:AM135"/>
    <mergeCell ref="A10:AC10"/>
    <mergeCell ref="AH128:AM128"/>
    <mergeCell ref="D7:M7"/>
    <mergeCell ref="Q7:X7"/>
    <mergeCell ref="AH109:AM109"/>
    <mergeCell ref="AH14:AM14"/>
    <mergeCell ref="AH26:AM26"/>
    <mergeCell ref="AH32:AM32"/>
    <mergeCell ref="AH38:AM38"/>
    <mergeCell ref="AH44:AM44"/>
    <mergeCell ref="AH57:AM57"/>
    <mergeCell ref="AH69:AM69"/>
    <mergeCell ref="AH83:AM83"/>
    <mergeCell ref="AH124:AM124"/>
    <mergeCell ref="M5:Q6"/>
    <mergeCell ref="M2:Q3"/>
    <mergeCell ref="AH96:AM96"/>
    <mergeCell ref="AH101:AM101"/>
    <mergeCell ref="AH6:AM6"/>
  </mergeCells>
  <phoneticPr fontId="26" type="noConversion"/>
  <dataValidations count="8">
    <dataValidation type="list" allowBlank="1" showInputMessage="1" showErrorMessage="1" sqref="C35:C50 C13:C32" xr:uid="{00000000-0002-0000-0100-000000000000}">
      <formula1>$B$1:$B$3</formula1>
    </dataValidation>
    <dataValidation type="list" allowBlank="1" showInputMessage="1" showErrorMessage="1" sqref="E35" xr:uid="{00000000-0002-0000-0100-000001000000}">
      <formula1>$B$4:$B$5</formula1>
    </dataValidation>
    <dataValidation type="list" allowBlank="1" showInputMessage="1" showErrorMessage="1" sqref="U35:V43 U13:V32" xr:uid="{00000000-0002-0000-0100-000002000000}">
      <formula1>$C$1:$C$8</formula1>
    </dataValidation>
    <dataValidation type="list" allowBlank="1" showInputMessage="1" showErrorMessage="1" sqref="W35" xr:uid="{00000000-0002-0000-0100-000003000000}">
      <formula1>$A$5:$A$6</formula1>
    </dataValidation>
    <dataValidation type="list" allowBlank="1" showInputMessage="1" showErrorMessage="1" sqref="D13:D32" xr:uid="{00000000-0002-0000-0100-000004000000}">
      <formula1>$AS$1:$AS$12</formula1>
    </dataValidation>
    <dataValidation type="list" allowBlank="1" showInputMessage="1" showErrorMessage="1" sqref="D36:D50" xr:uid="{00000000-0002-0000-0100-000005000000}">
      <formula1>$AS$15:$AS$26</formula1>
    </dataValidation>
    <dataValidation type="list" allowBlank="1" showInputMessage="1" showErrorMessage="1" sqref="W36:W50 W13:W32" xr:uid="{84BF2022-1D93-425E-8D1C-31C2D33B2826}">
      <formula1>$AV$10:$AV$16</formula1>
    </dataValidation>
    <dataValidation type="list" allowBlank="1" showInputMessage="1" showErrorMessage="1" sqref="E36:E50 E13:E32" xr:uid="{5F1E5DAA-DBEA-4820-9844-7056DF53D639}">
      <formula1>$B$4:$B$6</formula1>
    </dataValidation>
  </dataValidations>
  <pageMargins left="0.70866141732283472" right="0.70866141732283472" top="0.74803149606299213" bottom="0.74803149606299213" header="0.31496062992125984" footer="0.31496062992125984"/>
  <pageSetup paperSize="8" scale="49" fitToHeight="0" orientation="landscape" r:id="rId1"/>
  <rowBreaks count="2" manualBreakCount="2">
    <brk id="55" min="30" max="39" man="1"/>
    <brk id="108" min="30" max="39" man="1"/>
  </rowBreaks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10CE-AC4E-4809-BCA9-48AAFC4D6BF2}">
  <sheetPr codeName="Sheet3">
    <pageSetUpPr fitToPage="1"/>
  </sheetPr>
  <dimension ref="A64"/>
  <sheetViews>
    <sheetView view="pageBreakPreview" topLeftCell="A5" zoomScale="115" zoomScaleNormal="100" zoomScaleSheetLayoutView="115" workbookViewId="0">
      <selection activeCell="O132" sqref="O132"/>
    </sheetView>
  </sheetViews>
  <sheetFormatPr defaultRowHeight="14.4" x14ac:dyDescent="0.3"/>
  <cols>
    <col min="13" max="13" width="11.5546875" customWidth="1"/>
  </cols>
  <sheetData>
    <row r="64" ht="30.75" customHeight="1" x14ac:dyDescent="0.3"/>
  </sheetData>
  <sheetProtection algorithmName="SHA-512" hashValue="Ckpqn83p5Y3dvvASWLoL0r+ioqCHOxRbq/hSTkBJPe/oZufl1syMSlzxkPBpSVMVM2K+8anbQ+epcPW7RIDHAg==" saltValue="gKTLwszbnKbJkS7OA25x8Q==" spinCount="100000" sheet="1" objects="1" scenarios="1"/>
  <pageMargins left="0.7" right="0.7" top="0.75" bottom="0.75" header="0.3" footer="0.3"/>
  <pageSetup paperSize="9" scale="80" fitToHeight="0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DDFF-7EDD-43ED-919C-848A0F6C0A36}">
  <sheetPr>
    <pageSetUpPr fitToPage="1"/>
  </sheetPr>
  <dimension ref="A1:AI209"/>
  <sheetViews>
    <sheetView showGridLines="0" view="pageBreakPreview" topLeftCell="D1" zoomScale="70" zoomScaleNormal="70" zoomScaleSheetLayoutView="70" workbookViewId="0">
      <pane ySplit="11" topLeftCell="A12" activePane="bottomLeft" state="frozen"/>
      <selection activeCell="I34" sqref="I34"/>
      <selection pane="bottomLeft" activeCell="Y52" sqref="Y52"/>
    </sheetView>
  </sheetViews>
  <sheetFormatPr defaultRowHeight="14.4" x14ac:dyDescent="0.3"/>
  <cols>
    <col min="1" max="1" width="10.88671875" customWidth="1"/>
    <col min="2" max="2" width="7.5546875" customWidth="1"/>
    <col min="3" max="3" width="34.33203125" style="95" customWidth="1"/>
    <col min="4" max="4" width="18.6640625" bestFit="1" customWidth="1"/>
    <col min="5" max="5" width="9.33203125" bestFit="1" customWidth="1"/>
    <col min="6" max="6" width="12.44140625" style="1" customWidth="1"/>
    <col min="7" max="7" width="7.5546875" style="1" bestFit="1" customWidth="1"/>
    <col min="8" max="8" width="15.44140625" style="1" bestFit="1" customWidth="1"/>
    <col min="9" max="9" width="9.109375" style="1" customWidth="1"/>
    <col min="10" max="10" width="12.33203125" style="1" customWidth="1"/>
    <col min="11" max="11" width="8.109375" style="1" customWidth="1"/>
    <col min="12" max="12" width="12" bestFit="1" customWidth="1"/>
    <col min="13" max="13" width="9.88671875" customWidth="1"/>
    <col min="14" max="14" width="9.44140625" customWidth="1"/>
    <col min="15" max="15" width="8.109375" customWidth="1"/>
    <col min="16" max="16" width="12" customWidth="1"/>
    <col min="17" max="17" width="7.5546875" customWidth="1"/>
    <col min="18" max="18" width="7.33203125" customWidth="1"/>
    <col min="19" max="19" width="7.6640625" customWidth="1"/>
    <col min="20" max="20" width="12" hidden="1" customWidth="1"/>
    <col min="21" max="21" width="9.33203125" customWidth="1"/>
    <col min="22" max="22" width="7.5546875" bestFit="1" customWidth="1"/>
    <col min="23" max="23" width="7.109375" bestFit="1" customWidth="1"/>
    <col min="24" max="24" width="7.88671875" customWidth="1"/>
    <col min="25" max="25" width="8.5546875" bestFit="1" customWidth="1"/>
    <col min="26" max="26" width="10.33203125" hidden="1" customWidth="1"/>
    <col min="27" max="27" width="8.88671875" hidden="1" customWidth="1"/>
    <col min="28" max="28" width="11.5546875" customWidth="1"/>
    <col min="29" max="29" width="9.109375" hidden="1" customWidth="1"/>
    <col min="30" max="30" width="10.5546875" customWidth="1"/>
    <col min="31" max="31" width="12.5546875" customWidth="1"/>
    <col min="32" max="32" width="12.33203125" customWidth="1"/>
    <col min="33" max="33" width="14" customWidth="1"/>
    <col min="34" max="34" width="12.44140625" customWidth="1"/>
  </cols>
  <sheetData>
    <row r="1" spans="1:35" x14ac:dyDescent="0.3">
      <c r="F1" s="313" t="s">
        <v>115</v>
      </c>
      <c r="G1" s="314"/>
      <c r="H1" s="314"/>
      <c r="I1" s="314"/>
      <c r="J1" s="314"/>
      <c r="K1" s="314"/>
      <c r="L1" s="314"/>
      <c r="M1" s="314"/>
      <c r="N1" s="314"/>
      <c r="O1" s="315"/>
    </row>
    <row r="2" spans="1:35" ht="26.25" customHeight="1" thickBot="1" x14ac:dyDescent="0.35">
      <c r="F2" s="316"/>
      <c r="G2" s="317"/>
      <c r="H2" s="317"/>
      <c r="I2" s="317"/>
      <c r="J2" s="317"/>
      <c r="K2" s="317"/>
      <c r="L2" s="317"/>
      <c r="M2" s="317"/>
      <c r="N2" s="317"/>
      <c r="O2" s="318"/>
    </row>
    <row r="3" spans="1:35" ht="26.25" customHeight="1" x14ac:dyDescent="0.3">
      <c r="F3" s="319" t="str">
        <f>COVER!H4</f>
        <v>SR Levy Mall Zambia</v>
      </c>
      <c r="G3" s="320"/>
      <c r="H3" s="320"/>
      <c r="I3" s="320"/>
      <c r="J3" s="320"/>
      <c r="K3" s="320"/>
      <c r="L3" s="320"/>
      <c r="M3" s="320"/>
      <c r="N3" s="320"/>
      <c r="O3" s="321"/>
    </row>
    <row r="4" spans="1:35" ht="16.5" customHeight="1" thickBot="1" x14ac:dyDescent="0.35">
      <c r="F4" s="322"/>
      <c r="G4" s="323"/>
      <c r="H4" s="323"/>
      <c r="I4" s="323"/>
      <c r="J4" s="323"/>
      <c r="K4" s="323"/>
      <c r="L4" s="323"/>
      <c r="M4" s="323"/>
      <c r="N4" s="323"/>
      <c r="O4" s="324"/>
    </row>
    <row r="5" spans="1:35" ht="15" customHeight="1" x14ac:dyDescent="0.5">
      <c r="F5" s="92"/>
      <c r="G5" s="155"/>
      <c r="H5" s="155"/>
      <c r="I5" s="155"/>
      <c r="J5" s="155"/>
      <c r="K5" s="155"/>
    </row>
    <row r="6" spans="1:35" ht="15" customHeight="1" x14ac:dyDescent="0.3">
      <c r="F6" s="92"/>
      <c r="G6" s="92"/>
      <c r="H6" s="92"/>
      <c r="I6" s="92"/>
    </row>
    <row r="7" spans="1:35" x14ac:dyDescent="0.3">
      <c r="F7"/>
      <c r="G7"/>
      <c r="H7"/>
      <c r="I7"/>
      <c r="J7"/>
      <c r="K7"/>
      <c r="AC7" t="s">
        <v>273</v>
      </c>
    </row>
    <row r="8" spans="1:35" x14ac:dyDescent="0.3">
      <c r="F8"/>
      <c r="G8"/>
      <c r="H8"/>
      <c r="I8"/>
      <c r="J8"/>
      <c r="K8"/>
    </row>
    <row r="9" spans="1:35" ht="15" thickBot="1" x14ac:dyDescent="0.35">
      <c r="A9" s="309" t="s">
        <v>25</v>
      </c>
      <c r="B9" s="309"/>
      <c r="C9" s="309"/>
      <c r="D9" s="309"/>
      <c r="E9" s="309"/>
      <c r="F9" s="309"/>
      <c r="G9" s="309"/>
      <c r="H9" s="309"/>
      <c r="I9" s="309"/>
      <c r="J9" s="309"/>
      <c r="K9" s="309"/>
      <c r="L9" s="309"/>
      <c r="M9" s="309"/>
      <c r="N9" s="309"/>
      <c r="O9" s="309"/>
      <c r="P9" s="309"/>
      <c r="Q9" s="309"/>
      <c r="R9" s="309"/>
      <c r="S9" s="309"/>
      <c r="T9" s="90"/>
      <c r="U9" s="2"/>
      <c r="V9" s="2"/>
      <c r="W9" s="2"/>
      <c r="X9" s="2"/>
      <c r="Y9" s="2"/>
      <c r="Z9" s="2"/>
      <c r="AA9" s="2"/>
      <c r="AB9" s="2"/>
      <c r="AC9" s="2"/>
      <c r="AD9" s="2"/>
      <c r="AE9" s="3"/>
      <c r="AF9" s="3"/>
      <c r="AG9" s="3"/>
      <c r="AH9" s="3"/>
      <c r="AI9" s="3"/>
    </row>
    <row r="10" spans="1:35" s="95" customFormat="1" ht="58.5" customHeight="1" thickBot="1" x14ac:dyDescent="0.35">
      <c r="A10" s="275" t="s">
        <v>6</v>
      </c>
      <c r="B10" s="276" t="s">
        <v>8</v>
      </c>
      <c r="C10" s="277" t="s">
        <v>1</v>
      </c>
      <c r="D10" s="277" t="s">
        <v>0</v>
      </c>
      <c r="E10" s="277" t="s">
        <v>269</v>
      </c>
      <c r="F10" s="278" t="s">
        <v>20</v>
      </c>
      <c r="G10" s="277" t="s">
        <v>113</v>
      </c>
      <c r="H10" s="277" t="s">
        <v>270</v>
      </c>
      <c r="I10" s="277" t="s">
        <v>113</v>
      </c>
      <c r="J10" s="277" t="s">
        <v>13</v>
      </c>
      <c r="K10" s="277" t="s">
        <v>113</v>
      </c>
      <c r="L10" s="277" t="s">
        <v>2</v>
      </c>
      <c r="M10" s="277" t="s">
        <v>113</v>
      </c>
      <c r="N10" s="277" t="s">
        <v>114</v>
      </c>
      <c r="O10" s="277" t="s">
        <v>113</v>
      </c>
      <c r="P10" s="277" t="s">
        <v>3</v>
      </c>
      <c r="Q10" s="277" t="s">
        <v>113</v>
      </c>
      <c r="R10" s="277" t="s">
        <v>293</v>
      </c>
      <c r="S10" s="277" t="s">
        <v>294</v>
      </c>
      <c r="T10" s="279" t="s">
        <v>587</v>
      </c>
      <c r="U10" s="280" t="s">
        <v>124</v>
      </c>
      <c r="V10" s="278" t="s">
        <v>113</v>
      </c>
      <c r="W10" s="280" t="s">
        <v>125</v>
      </c>
      <c r="X10" s="280" t="s">
        <v>113</v>
      </c>
      <c r="Y10" s="277" t="s">
        <v>271</v>
      </c>
      <c r="Z10" s="93" t="s">
        <v>272</v>
      </c>
      <c r="AA10" s="93" t="s">
        <v>113</v>
      </c>
      <c r="AB10" s="277" t="s">
        <v>312</v>
      </c>
      <c r="AC10" s="281"/>
      <c r="AD10" s="282" t="s">
        <v>313</v>
      </c>
      <c r="AE10" s="280" t="s">
        <v>319</v>
      </c>
      <c r="AF10" s="278" t="s">
        <v>588</v>
      </c>
      <c r="AG10" s="278" t="s">
        <v>589</v>
      </c>
      <c r="AH10" s="278" t="s">
        <v>590</v>
      </c>
      <c r="AI10" s="278" t="s">
        <v>591</v>
      </c>
    </row>
    <row r="11" spans="1:35" x14ac:dyDescent="0.3">
      <c r="A11" s="72"/>
      <c r="B11" s="72"/>
      <c r="C11" s="96"/>
      <c r="D11" s="2"/>
      <c r="E11" s="2"/>
      <c r="F11" s="72"/>
      <c r="G11" s="72"/>
      <c r="H11" s="72"/>
      <c r="I11" s="72"/>
      <c r="J11" s="72"/>
      <c r="K11" s="72"/>
      <c r="L11" s="2"/>
      <c r="M11" s="2"/>
      <c r="N11" s="2"/>
      <c r="O11" s="2"/>
      <c r="P11" s="2"/>
      <c r="Q11" s="2"/>
      <c r="R11" s="2"/>
      <c r="S11" s="148"/>
      <c r="T11" s="7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19"/>
      <c r="AG11" s="119"/>
      <c r="AH11" s="119"/>
      <c r="AI11" s="119"/>
    </row>
    <row r="12" spans="1:35" x14ac:dyDescent="0.3">
      <c r="A12" s="91" t="str">
        <f>IF(ISBLANK(Data!A13)=TRUE,"",Data!A13)</f>
        <v>I</v>
      </c>
      <c r="B12" s="91" t="str">
        <f>IF(ISBLANK(Data!A13)=TRUE,"",Data!B13)</f>
        <v>CR 01</v>
      </c>
      <c r="C12" s="97" t="str">
        <f>IF(ISBLANK(Data!A13)=TRUE,"",Data!D13)</f>
        <v>BUTCHERY COLD ROOM</v>
      </c>
      <c r="D12" s="91" t="str">
        <f>IF(ISBLANK(Data!A13)=TRUE,"",Data!K13)</f>
        <v>HI 3043L</v>
      </c>
      <c r="E12" s="91">
        <f>IF(ISBLANK(Data!A13)=TRUE,"",Data!L13)</f>
        <v>1</v>
      </c>
      <c r="F12" s="91" t="str">
        <f>IF(ISBLANK(Data!A13)=TRUE,"",Data!P13)</f>
        <v>1-1/8</v>
      </c>
      <c r="G12" s="91">
        <f t="shared" ref="G12" si="0">E12</f>
        <v>1</v>
      </c>
      <c r="H12" s="91" t="str">
        <f>Data!Q13</f>
        <v>NONE</v>
      </c>
      <c r="I12" s="91">
        <f t="shared" ref="I12" si="1">IF(H12="NONE",0,E12)</f>
        <v>0</v>
      </c>
      <c r="J12" s="91" t="str">
        <f>Data!R13</f>
        <v>1-1/8</v>
      </c>
      <c r="K12" s="91">
        <f t="shared" ref="K12" si="2">IF(J12="NONE",0,E12)</f>
        <v>1</v>
      </c>
      <c r="L12" s="91" t="str">
        <f>IF(ISBLANK(Data!$A13)=TRUE,"",Data!W13)</f>
        <v>TES 2</v>
      </c>
      <c r="M12" s="91">
        <f t="shared" ref="M12" si="3">E12</f>
        <v>1</v>
      </c>
      <c r="N12" s="91" t="str">
        <f>IF(ISBLANK(Data!A13)=TRUE,"",Data!X13)</f>
        <v>4</v>
      </c>
      <c r="O12" s="91">
        <f>$E12</f>
        <v>1</v>
      </c>
      <c r="P12" s="91" t="str">
        <f>Data!Y13</f>
        <v>1/2 Castel</v>
      </c>
      <c r="Q12" s="91">
        <f>E12</f>
        <v>1</v>
      </c>
      <c r="R12" s="91">
        <f>IF(ISBLANK(Data!$A13)=TRUE,"",1)</f>
        <v>1</v>
      </c>
      <c r="S12" s="91">
        <f>IF(ISBLANK(Data!$A13)=TRUE,"",1)</f>
        <v>1</v>
      </c>
      <c r="T12" s="91">
        <f>IF(ISBLANK(Data!$A13)=TRUE,"",1)</f>
        <v>1</v>
      </c>
      <c r="U12" s="105" t="str">
        <f>IF(ISBLANK(Data!$A13)=TRUE,"",Data!U13)</f>
        <v>1-1/8</v>
      </c>
      <c r="V12" s="91">
        <f>$E12</f>
        <v>1</v>
      </c>
      <c r="W12" s="105" t="str">
        <f>IF(ISBLANK(Data!$A13)=TRUE,"",Data!V13)</f>
        <v>1/2</v>
      </c>
      <c r="X12" s="91">
        <f>IF(ISBLANK(Data!$A13)=TRUE,"",1)</f>
        <v>1</v>
      </c>
      <c r="Y12" s="105">
        <f>E12</f>
        <v>1</v>
      </c>
      <c r="Z12" s="105"/>
      <c r="AA12" s="105"/>
      <c r="AB12" s="105">
        <f>Data!AD13</f>
        <v>10</v>
      </c>
      <c r="AC12" s="105"/>
      <c r="AD12" s="166">
        <f>AB12</f>
        <v>10</v>
      </c>
      <c r="AE12" s="105">
        <f>M12</f>
        <v>1</v>
      </c>
      <c r="AF12" s="261" t="str">
        <f>Data!S13</f>
        <v>1/2 &gt; 3/8</v>
      </c>
      <c r="AG12" s="91" t="str">
        <f>Data!T13</f>
        <v>5/8 &gt; 1/2</v>
      </c>
      <c r="AH12" s="91">
        <v>2</v>
      </c>
      <c r="AI12" s="91">
        <v>200</v>
      </c>
    </row>
    <row r="13" spans="1:35" x14ac:dyDescent="0.3">
      <c r="A13" s="91" t="str">
        <f>IF(ISBLANK(Data!A14)=TRUE,"",Data!A14)</f>
        <v>J</v>
      </c>
      <c r="B13" s="91" t="str">
        <f>IF(ISBLANK(Data!A14)=TRUE,"",Data!B14)</f>
        <v>CR 02</v>
      </c>
      <c r="C13" s="97" t="str">
        <f>IF(ISBLANK(Data!A14)=TRUE,"",Data!D14)</f>
        <v xml:space="preserve">FRUIT &amp; VEG COLD ROOM </v>
      </c>
      <c r="D13" s="91" t="str">
        <f>IF(ISBLANK(Data!A14)=TRUE,"",Data!K14)</f>
        <v>HI 3044L</v>
      </c>
      <c r="E13" s="91">
        <f>IF(ISBLANK(Data!A14)=TRUE,"",Data!L14)</f>
        <v>1</v>
      </c>
      <c r="F13" s="91" t="str">
        <f>IF(ISBLANK(Data!A14)=TRUE,"",Data!P14)</f>
        <v>1-1/8</v>
      </c>
      <c r="G13" s="91">
        <f t="shared" ref="G13:G30" si="4">E13</f>
        <v>1</v>
      </c>
      <c r="H13" s="91" t="str">
        <f>Data!Q14</f>
        <v>NONE</v>
      </c>
      <c r="I13" s="91">
        <f t="shared" ref="I13:I30" si="5">IF(H13="NONE",0,E13)</f>
        <v>0</v>
      </c>
      <c r="J13" s="91" t="str">
        <f>Data!R14</f>
        <v>1-1/8</v>
      </c>
      <c r="K13" s="91">
        <f t="shared" ref="K13:K30" si="6">IF(J13="NONE",0,E13)</f>
        <v>1</v>
      </c>
      <c r="L13" s="91" t="str">
        <f>IF(ISBLANK(Data!$A14)=TRUE,"",Data!W14)</f>
        <v>TES 2</v>
      </c>
      <c r="M13" s="91">
        <f t="shared" ref="M13:M30" si="7">E13</f>
        <v>1</v>
      </c>
      <c r="N13" s="91" t="str">
        <f>IF(ISBLANK(Data!A14)=TRUE,"",Data!X14)</f>
        <v>4</v>
      </c>
      <c r="O13" s="91">
        <f t="shared" ref="O13:O30" si="8">$E13</f>
        <v>1</v>
      </c>
      <c r="P13" s="91" t="str">
        <f>Data!Y14</f>
        <v>1/2 Castel</v>
      </c>
      <c r="Q13" s="91">
        <f t="shared" ref="Q13:Q23" si="9">E13</f>
        <v>1</v>
      </c>
      <c r="R13" s="91">
        <f>IF(ISBLANK(Data!$A14)=TRUE,"",1)</f>
        <v>1</v>
      </c>
      <c r="S13" s="91">
        <f>IF(ISBLANK(Data!$A14)=TRUE,"",1)</f>
        <v>1</v>
      </c>
      <c r="T13" s="91">
        <f>IF(ISBLANK(Data!$A14)=TRUE,"",1)</f>
        <v>1</v>
      </c>
      <c r="U13" s="105" t="str">
        <f>IF(ISBLANK(Data!$A14)=TRUE,"",Data!U14)</f>
        <v>1-1/8</v>
      </c>
      <c r="V13" s="91">
        <f t="shared" ref="V13:V23" si="10">$E13</f>
        <v>1</v>
      </c>
      <c r="W13" s="105" t="str">
        <f>IF(ISBLANK(Data!$A14)=TRUE,"",Data!V14)</f>
        <v>1/2</v>
      </c>
      <c r="X13" s="91">
        <f>IF(ISBLANK(Data!$A14)=TRUE,"",1)</f>
        <v>1</v>
      </c>
      <c r="Y13" s="105">
        <f t="shared" ref="Y13:Y23" si="11">E13</f>
        <v>1</v>
      </c>
      <c r="Z13" s="105"/>
      <c r="AA13" s="105"/>
      <c r="AB13" s="105">
        <f>Data!AD14</f>
        <v>10</v>
      </c>
      <c r="AC13" s="105"/>
      <c r="AD13" s="166">
        <f t="shared" ref="AD13:AD23" si="12">AB13</f>
        <v>10</v>
      </c>
      <c r="AE13" s="105">
        <f t="shared" ref="AE13:AE23" si="13">M13</f>
        <v>1</v>
      </c>
      <c r="AF13" s="261" t="str">
        <f>Data!S14</f>
        <v>1/2 &gt; 3/8</v>
      </c>
      <c r="AG13" s="91" t="str">
        <f>Data!T14</f>
        <v>5/8 &gt; 1/2</v>
      </c>
      <c r="AH13" s="91"/>
      <c r="AI13" s="91"/>
    </row>
    <row r="14" spans="1:35" x14ac:dyDescent="0.3">
      <c r="A14" s="91" t="str">
        <f>IF(ISBLANK(Data!A15)=TRUE,"",Data!A15)</f>
        <v>K</v>
      </c>
      <c r="B14" s="91" t="str">
        <f>IF(ISBLANK(Data!A15)=TRUE,"",Data!B15)</f>
        <v>CR 03a</v>
      </c>
      <c r="C14" s="97" t="str">
        <f>IF(ISBLANK(Data!A15)=TRUE,"",Data!D15)</f>
        <v>GENERAL COLD ROOM</v>
      </c>
      <c r="D14" s="91" t="str">
        <f>IF(ISBLANK(Data!A15)=TRUE,"",Data!K15)</f>
        <v>HI 3044L</v>
      </c>
      <c r="E14" s="91">
        <f>IF(ISBLANK(Data!A15)=TRUE,"",Data!L15)</f>
        <v>1</v>
      </c>
      <c r="F14" s="91" t="str">
        <f>IF(ISBLANK(Data!A15)=TRUE,"",Data!P15)</f>
        <v>1-1/8</v>
      </c>
      <c r="G14" s="91">
        <f t="shared" si="4"/>
        <v>1</v>
      </c>
      <c r="H14" s="91" t="str">
        <f>Data!Q15</f>
        <v>NONE</v>
      </c>
      <c r="I14" s="91">
        <f t="shared" si="5"/>
        <v>0</v>
      </c>
      <c r="J14" s="91" t="str">
        <f>Data!R15</f>
        <v>1-1/8</v>
      </c>
      <c r="K14" s="91">
        <f t="shared" si="6"/>
        <v>1</v>
      </c>
      <c r="L14" s="91" t="str">
        <f>IF(ISBLANK(Data!$A15)=TRUE,"",Data!W15)</f>
        <v>TES 2</v>
      </c>
      <c r="M14" s="91">
        <f t="shared" si="7"/>
        <v>1</v>
      </c>
      <c r="N14" s="91" t="str">
        <f>IF(ISBLANK(Data!A15)=TRUE,"",Data!X15)</f>
        <v>4</v>
      </c>
      <c r="O14" s="91">
        <f t="shared" si="8"/>
        <v>1</v>
      </c>
      <c r="P14" s="91" t="str">
        <f>Data!Y15</f>
        <v>1/2 Castel</v>
      </c>
      <c r="Q14" s="91">
        <f t="shared" si="9"/>
        <v>1</v>
      </c>
      <c r="R14" s="91">
        <f>IF(ISBLANK(Data!$A15)=TRUE,"",1)</f>
        <v>1</v>
      </c>
      <c r="S14" s="91">
        <f>IF(ISBLANK(Data!$A15)=TRUE,"",1)</f>
        <v>1</v>
      </c>
      <c r="T14" s="91">
        <f>IF(ISBLANK(Data!$A15)=TRUE,"",1)</f>
        <v>1</v>
      </c>
      <c r="U14" s="105" t="str">
        <f>IF(ISBLANK(Data!$A15)=TRUE,"",Data!U15)</f>
        <v>1-1/8</v>
      </c>
      <c r="V14" s="91">
        <f t="shared" si="10"/>
        <v>1</v>
      </c>
      <c r="W14" s="105" t="str">
        <f>IF(ISBLANK(Data!$A15)=TRUE,"",Data!V15)</f>
        <v>1/2</v>
      </c>
      <c r="X14" s="91">
        <f>IF(ISBLANK(Data!$A15)=TRUE,"",1)</f>
        <v>1</v>
      </c>
      <c r="Y14" s="105">
        <f t="shared" si="11"/>
        <v>1</v>
      </c>
      <c r="Z14" s="105"/>
      <c r="AA14" s="105"/>
      <c r="AB14" s="105">
        <f>Data!AD15</f>
        <v>10</v>
      </c>
      <c r="AC14" s="105"/>
      <c r="AD14" s="166">
        <f t="shared" si="12"/>
        <v>10</v>
      </c>
      <c r="AE14" s="105">
        <f t="shared" si="13"/>
        <v>1</v>
      </c>
      <c r="AF14" s="261" t="str">
        <f>Data!S15</f>
        <v>1/2 &gt; 3/8</v>
      </c>
      <c r="AG14" s="91" t="str">
        <f>Data!T15</f>
        <v>5/8 &gt; 1/2</v>
      </c>
      <c r="AH14" s="91"/>
      <c r="AI14" s="91"/>
    </row>
    <row r="15" spans="1:35" x14ac:dyDescent="0.3">
      <c r="A15" s="91" t="str">
        <f>IF(ISBLANK(Data!A16)=TRUE,"",Data!A16)</f>
        <v>L</v>
      </c>
      <c r="B15" s="91" t="str">
        <f>IF(ISBLANK(Data!A16)=TRUE,"",Data!B16)</f>
        <v>CR 03b</v>
      </c>
      <c r="C15" s="97" t="str">
        <f>IF(ISBLANK(Data!A16)=TRUE,"",Data!D16)</f>
        <v>GENERAL COLD ROOM</v>
      </c>
      <c r="D15" s="91" t="str">
        <f>IF(ISBLANK(Data!A16)=TRUE,"",Data!K16)</f>
        <v>HI 3044L</v>
      </c>
      <c r="E15" s="91">
        <f>IF(ISBLANK(Data!A16)=TRUE,"",Data!L16)</f>
        <v>1</v>
      </c>
      <c r="F15" s="91" t="str">
        <f>IF(ISBLANK(Data!A16)=TRUE,"",Data!P16)</f>
        <v>1-1/8</v>
      </c>
      <c r="G15" s="91">
        <f t="shared" si="4"/>
        <v>1</v>
      </c>
      <c r="H15" s="91" t="str">
        <f>Data!Q16</f>
        <v>NONE</v>
      </c>
      <c r="I15" s="91">
        <f t="shared" si="5"/>
        <v>0</v>
      </c>
      <c r="J15" s="91" t="str">
        <f>Data!R16</f>
        <v>1-1/8</v>
      </c>
      <c r="K15" s="91">
        <f t="shared" si="6"/>
        <v>1</v>
      </c>
      <c r="L15" s="91" t="str">
        <f>IF(ISBLANK(Data!$A16)=TRUE,"",Data!W16)</f>
        <v>TES 2</v>
      </c>
      <c r="M15" s="91">
        <f t="shared" si="7"/>
        <v>1</v>
      </c>
      <c r="N15" s="91" t="str">
        <f>IF(ISBLANK(Data!A16)=TRUE,"",Data!X16)</f>
        <v>4</v>
      </c>
      <c r="O15" s="91">
        <f t="shared" si="8"/>
        <v>1</v>
      </c>
      <c r="P15" s="91" t="str">
        <f>Data!Y16</f>
        <v>1/2 Castel</v>
      </c>
      <c r="Q15" s="91">
        <f t="shared" si="9"/>
        <v>1</v>
      </c>
      <c r="R15" s="91">
        <f>IF(ISBLANK(Data!$A16)=TRUE,"",1)</f>
        <v>1</v>
      </c>
      <c r="S15" s="91">
        <f>IF(ISBLANK(Data!$A16)=TRUE,"",1)</f>
        <v>1</v>
      </c>
      <c r="T15" s="91">
        <f>IF(ISBLANK(Data!$A16)=TRUE,"",1)</f>
        <v>1</v>
      </c>
      <c r="U15" s="105" t="str">
        <f>IF(ISBLANK(Data!$A16)=TRUE,"",Data!U16)</f>
        <v>1-1/8</v>
      </c>
      <c r="V15" s="91">
        <f t="shared" si="10"/>
        <v>1</v>
      </c>
      <c r="W15" s="105" t="str">
        <f>IF(ISBLANK(Data!$A16)=TRUE,"",Data!V16)</f>
        <v>1/2</v>
      </c>
      <c r="X15" s="91">
        <f>IF(ISBLANK(Data!$A16)=TRUE,"",1)</f>
        <v>1</v>
      </c>
      <c r="Y15" s="105">
        <f t="shared" si="11"/>
        <v>1</v>
      </c>
      <c r="Z15" s="105"/>
      <c r="AA15" s="105"/>
      <c r="AB15" s="105">
        <f>Data!AD16</f>
        <v>10</v>
      </c>
      <c r="AC15" s="105"/>
      <c r="AD15" s="166">
        <f t="shared" si="12"/>
        <v>10</v>
      </c>
      <c r="AE15" s="105">
        <f t="shared" si="13"/>
        <v>1</v>
      </c>
      <c r="AF15" s="261" t="str">
        <f>Data!S16</f>
        <v>1/2 &gt; 3/8</v>
      </c>
      <c r="AG15" s="91" t="str">
        <f>Data!T16</f>
        <v>5/8 &gt; 1/2</v>
      </c>
      <c r="AH15" s="91"/>
      <c r="AI15" s="91"/>
    </row>
    <row r="16" spans="1:35" x14ac:dyDescent="0.3">
      <c r="A16" s="91" t="str">
        <f>IF(ISBLANK(Data!A17)=TRUE,"",Data!A17)</f>
        <v>M</v>
      </c>
      <c r="B16" s="91" t="str">
        <f>IF(ISBLANK(Data!A17)=TRUE,"",Data!B17)</f>
        <v>CR 04</v>
      </c>
      <c r="C16" s="97" t="str">
        <f>IF(ISBLANK(Data!A17)=TRUE,"",Data!D17)</f>
        <v>DELI COLD ROOM</v>
      </c>
      <c r="D16" s="91" t="str">
        <f>IF(ISBLANK(Data!A17)=TRUE,"",Data!K17)</f>
        <v>HI 3023L</v>
      </c>
      <c r="E16" s="91">
        <f>IF(ISBLANK(Data!A17)=TRUE,"",Data!L17)</f>
        <v>1</v>
      </c>
      <c r="F16" s="91" t="str">
        <f>IF(ISBLANK(Data!A17)=TRUE,"",Data!P17)</f>
        <v>7/8</v>
      </c>
      <c r="G16" s="91">
        <f t="shared" si="4"/>
        <v>1</v>
      </c>
      <c r="H16" s="91" t="str">
        <f>Data!Q17</f>
        <v>7/8  &gt;  3/4</v>
      </c>
      <c r="I16" s="91">
        <f t="shared" si="5"/>
        <v>1</v>
      </c>
      <c r="J16" s="91" t="str">
        <f>Data!R17</f>
        <v>3/4</v>
      </c>
      <c r="K16" s="91">
        <f t="shared" si="6"/>
        <v>1</v>
      </c>
      <c r="L16" s="91" t="str">
        <f>IF(ISBLANK(Data!$A17)=TRUE,"",Data!W17)</f>
        <v>TES 2</v>
      </c>
      <c r="M16" s="91">
        <f t="shared" si="7"/>
        <v>1</v>
      </c>
      <c r="N16" s="91" t="str">
        <f>IF(ISBLANK(Data!A17)=TRUE,"",Data!X17)</f>
        <v>2</v>
      </c>
      <c r="O16" s="91">
        <f t="shared" si="8"/>
        <v>1</v>
      </c>
      <c r="P16" s="91" t="str">
        <f>Data!Y17</f>
        <v>1/2 Castel</v>
      </c>
      <c r="Q16" s="91">
        <f t="shared" si="9"/>
        <v>1</v>
      </c>
      <c r="R16" s="91">
        <f>IF(ISBLANK(Data!$A17)=TRUE,"",1)</f>
        <v>1</v>
      </c>
      <c r="S16" s="91">
        <f>IF(ISBLANK(Data!$A17)=TRUE,"",1)</f>
        <v>1</v>
      </c>
      <c r="T16" s="91">
        <f>IF(ISBLANK(Data!$A17)=TRUE,"",1)</f>
        <v>1</v>
      </c>
      <c r="U16" s="105" t="str">
        <f>IF(ISBLANK(Data!$A17)=TRUE,"",Data!U17)</f>
        <v>3/4</v>
      </c>
      <c r="V16" s="91">
        <f t="shared" si="10"/>
        <v>1</v>
      </c>
      <c r="W16" s="105" t="str">
        <f>IF(ISBLANK(Data!$A17)=TRUE,"",Data!V17)</f>
        <v>1/2</v>
      </c>
      <c r="X16" s="91">
        <f>IF(ISBLANK(Data!$A17)=TRUE,"",1)</f>
        <v>1</v>
      </c>
      <c r="Y16" s="105">
        <f t="shared" si="11"/>
        <v>1</v>
      </c>
      <c r="Z16" s="105"/>
      <c r="AA16" s="105"/>
      <c r="AB16" s="105">
        <f>Data!AD17</f>
        <v>6</v>
      </c>
      <c r="AC16" s="105"/>
      <c r="AD16" s="166">
        <f t="shared" si="12"/>
        <v>6</v>
      </c>
      <c r="AE16" s="105">
        <f t="shared" si="13"/>
        <v>1</v>
      </c>
      <c r="AF16" s="261" t="str">
        <f>Data!S17</f>
        <v>1/2 &gt; 3/8</v>
      </c>
      <c r="AG16" s="91" t="str">
        <f>Data!T17</f>
        <v>NONE</v>
      </c>
      <c r="AH16" s="91"/>
      <c r="AI16" s="91"/>
    </row>
    <row r="17" spans="1:35" x14ac:dyDescent="0.3">
      <c r="A17" s="91" t="str">
        <f>IF(ISBLANK(Data!A18)=TRUE,"",Data!A18)</f>
        <v>N</v>
      </c>
      <c r="B17" s="91" t="str">
        <f>IF(ISBLANK(Data!A18)=TRUE,"",Data!B18)</f>
        <v>CR 05</v>
      </c>
      <c r="C17" s="97" t="str">
        <f>IF(ISBLANK(Data!A18)=TRUE,"",Data!D18)</f>
        <v>BAKERY COLD ROOM</v>
      </c>
      <c r="D17" s="91" t="str">
        <f>IF(ISBLANK(Data!A18)=TRUE,"",Data!K18)</f>
        <v>HI 3023L</v>
      </c>
      <c r="E17" s="91">
        <f>IF(ISBLANK(Data!A18)=TRUE,"",Data!L18)</f>
        <v>1</v>
      </c>
      <c r="F17" s="91" t="str">
        <f>IF(ISBLANK(Data!A18)=TRUE,"",Data!P18)</f>
        <v>7/8</v>
      </c>
      <c r="G17" s="91">
        <f t="shared" si="4"/>
        <v>1</v>
      </c>
      <c r="H17" s="91" t="str">
        <f>Data!Q18</f>
        <v>NONE</v>
      </c>
      <c r="I17" s="91">
        <f t="shared" si="5"/>
        <v>0</v>
      </c>
      <c r="J17" s="91" t="str">
        <f>Data!R18</f>
        <v>7/8</v>
      </c>
      <c r="K17" s="91">
        <f t="shared" si="6"/>
        <v>1</v>
      </c>
      <c r="L17" s="91" t="str">
        <f>IF(ISBLANK(Data!$A18)=TRUE,"",Data!W18)</f>
        <v>TES 2</v>
      </c>
      <c r="M17" s="91">
        <f t="shared" si="7"/>
        <v>1</v>
      </c>
      <c r="N17" s="91" t="str">
        <f>IF(ISBLANK(Data!A18)=TRUE,"",Data!X18)</f>
        <v>2</v>
      </c>
      <c r="O17" s="91">
        <f t="shared" si="8"/>
        <v>1</v>
      </c>
      <c r="P17" s="91" t="str">
        <f>Data!Y18</f>
        <v>1/2 Castel</v>
      </c>
      <c r="Q17" s="91">
        <f t="shared" si="9"/>
        <v>1</v>
      </c>
      <c r="R17" s="91">
        <f>IF(ISBLANK(Data!$A18)=TRUE,"",1)</f>
        <v>1</v>
      </c>
      <c r="S17" s="91">
        <f>IF(ISBLANK(Data!$A18)=TRUE,"",1)</f>
        <v>1</v>
      </c>
      <c r="T17" s="91">
        <f>IF(ISBLANK(Data!$A18)=TRUE,"",1)</f>
        <v>1</v>
      </c>
      <c r="U17" s="105" t="str">
        <f>IF(ISBLANK(Data!$A18)=TRUE,"",Data!U18)</f>
        <v>7/8</v>
      </c>
      <c r="V17" s="91">
        <f t="shared" si="10"/>
        <v>1</v>
      </c>
      <c r="W17" s="105" t="str">
        <f>IF(ISBLANK(Data!$A18)=TRUE,"",Data!V18)</f>
        <v>1/2</v>
      </c>
      <c r="X17" s="91">
        <f>IF(ISBLANK(Data!$A18)=TRUE,"",1)</f>
        <v>1</v>
      </c>
      <c r="Y17" s="105">
        <f t="shared" si="11"/>
        <v>1</v>
      </c>
      <c r="Z17" s="105"/>
      <c r="AA17" s="105"/>
      <c r="AB17" s="105">
        <f>Data!AD18</f>
        <v>6</v>
      </c>
      <c r="AC17" s="105"/>
      <c r="AD17" s="166">
        <f t="shared" si="12"/>
        <v>6</v>
      </c>
      <c r="AE17" s="105">
        <f t="shared" si="13"/>
        <v>1</v>
      </c>
      <c r="AF17" s="261" t="str">
        <f>Data!S18</f>
        <v>1/2 &gt; 3/8</v>
      </c>
      <c r="AG17" s="91" t="str">
        <f>Data!T18</f>
        <v>NONE</v>
      </c>
      <c r="AH17" s="91"/>
      <c r="AI17" s="91"/>
    </row>
    <row r="18" spans="1:35" x14ac:dyDescent="0.3">
      <c r="A18" s="91" t="str">
        <f>IF(ISBLANK(Data!A19)=TRUE,"",Data!A19)</f>
        <v>O</v>
      </c>
      <c r="B18" s="91" t="str">
        <f>IF(ISBLANK(Data!A19)=TRUE,"",Data!B19)</f>
        <v>DT 01</v>
      </c>
      <c r="C18" s="97" t="str">
        <f>IF(ISBLANK(Data!A19)=TRUE,"",Data!D19)</f>
        <v>FRUIT &amp; VEG PREP</v>
      </c>
      <c r="D18" s="91" t="str">
        <f>IF(ISBLANK(Data!A19)=TRUE,"",Data!K19)</f>
        <v>HI 3024H</v>
      </c>
      <c r="E18" s="91">
        <f>IF(ISBLANK(Data!A19)=TRUE,"",Data!L19)</f>
        <v>1</v>
      </c>
      <c r="F18" s="91" t="str">
        <f>IF(ISBLANK(Data!A19)=TRUE,"",Data!P19)</f>
        <v>7/8</v>
      </c>
      <c r="G18" s="91">
        <f t="shared" si="4"/>
        <v>1</v>
      </c>
      <c r="H18" s="91" t="str">
        <f>Data!Q19</f>
        <v>7/8  &gt;  3/4</v>
      </c>
      <c r="I18" s="91">
        <f t="shared" si="5"/>
        <v>1</v>
      </c>
      <c r="J18" s="91" t="str">
        <f>Data!R19</f>
        <v>3/4</v>
      </c>
      <c r="K18" s="91">
        <f t="shared" si="6"/>
        <v>1</v>
      </c>
      <c r="L18" s="91" t="str">
        <f>IF(ISBLANK(Data!$A19)=TRUE,"",Data!W19)</f>
        <v>TES 2</v>
      </c>
      <c r="M18" s="91">
        <f t="shared" si="7"/>
        <v>1</v>
      </c>
      <c r="N18" s="91" t="str">
        <f>IF(ISBLANK(Data!A19)=TRUE,"",Data!X19)</f>
        <v>3</v>
      </c>
      <c r="O18" s="91">
        <f t="shared" si="8"/>
        <v>1</v>
      </c>
      <c r="P18" s="91" t="str">
        <f>Data!Y19</f>
        <v>1/2 Castel</v>
      </c>
      <c r="Q18" s="91">
        <f t="shared" si="9"/>
        <v>1</v>
      </c>
      <c r="R18" s="91">
        <f>IF(ISBLANK(Data!$A19)=TRUE,"",1)</f>
        <v>1</v>
      </c>
      <c r="S18" s="91">
        <f>IF(ISBLANK(Data!$A19)=TRUE,"",1)</f>
        <v>1</v>
      </c>
      <c r="T18" s="91">
        <f>IF(ISBLANK(Data!$A19)=TRUE,"",1)</f>
        <v>1</v>
      </c>
      <c r="U18" s="105" t="str">
        <f>IF(ISBLANK(Data!$A19)=TRUE,"",Data!U19)</f>
        <v>3/4</v>
      </c>
      <c r="V18" s="91">
        <f t="shared" si="10"/>
        <v>1</v>
      </c>
      <c r="W18" s="105" t="str">
        <f>IF(ISBLANK(Data!$A19)=TRUE,"",Data!V19)</f>
        <v>1/2</v>
      </c>
      <c r="X18" s="91">
        <f>IF(ISBLANK(Data!$A19)=TRUE,"",1)</f>
        <v>1</v>
      </c>
      <c r="Y18" s="105">
        <f t="shared" si="11"/>
        <v>1</v>
      </c>
      <c r="Z18" s="105"/>
      <c r="AA18" s="105"/>
      <c r="AB18" s="105">
        <f>Data!AD19</f>
        <v>6</v>
      </c>
      <c r="AC18" s="105"/>
      <c r="AD18" s="166">
        <f t="shared" si="12"/>
        <v>6</v>
      </c>
      <c r="AE18" s="105">
        <f t="shared" si="13"/>
        <v>1</v>
      </c>
      <c r="AF18" s="261" t="str">
        <f>Data!S19</f>
        <v>1/2 &gt; 3/8</v>
      </c>
      <c r="AG18" s="91" t="str">
        <f>Data!T19</f>
        <v>NONE</v>
      </c>
      <c r="AH18" s="91"/>
      <c r="AI18" s="91"/>
    </row>
    <row r="19" spans="1:35" x14ac:dyDescent="0.3">
      <c r="A19" s="91" t="str">
        <f>IF(ISBLANK(Data!A20)=TRUE,"",Data!A20)</f>
        <v>P</v>
      </c>
      <c r="B19" s="91" t="str">
        <f>IF(ISBLANK(Data!A20)=TRUE,"",Data!B20)</f>
        <v>DT 02</v>
      </c>
      <c r="C19" s="97" t="str">
        <f>IF(ISBLANK(Data!A20)=TRUE,"",Data!D20)</f>
        <v>BUTCHERY PREP</v>
      </c>
      <c r="D19" s="91" t="str">
        <f>IF(ISBLANK(Data!A20)=TRUE,"",Data!K20)</f>
        <v>HI 3054H</v>
      </c>
      <c r="E19" s="91">
        <f>IF(ISBLANK(Data!A20)=TRUE,"",Data!L20)</f>
        <v>1</v>
      </c>
      <c r="F19" s="91" t="str">
        <f>IF(ISBLANK(Data!A20)=TRUE,"",Data!P20)</f>
        <v>1-1/8</v>
      </c>
      <c r="G19" s="91">
        <f t="shared" si="4"/>
        <v>1</v>
      </c>
      <c r="H19" s="91" t="str">
        <f>Data!Q20</f>
        <v>NONE</v>
      </c>
      <c r="I19" s="91">
        <f t="shared" si="5"/>
        <v>0</v>
      </c>
      <c r="J19" s="91" t="str">
        <f>Data!R20</f>
        <v>1-1/8</v>
      </c>
      <c r="K19" s="91">
        <f t="shared" si="6"/>
        <v>1</v>
      </c>
      <c r="L19" s="91" t="str">
        <f>IF(ISBLANK(Data!$A20)=TRUE,"",Data!W20)</f>
        <v>TES 2</v>
      </c>
      <c r="M19" s="91">
        <f t="shared" si="7"/>
        <v>1</v>
      </c>
      <c r="N19" s="91" t="str">
        <f>IF(ISBLANK(Data!A20)=TRUE,"",Data!X20)</f>
        <v>5</v>
      </c>
      <c r="O19" s="91">
        <f t="shared" si="8"/>
        <v>1</v>
      </c>
      <c r="P19" s="91" t="str">
        <f>Data!Y20</f>
        <v>5/8 Castel</v>
      </c>
      <c r="Q19" s="91">
        <f t="shared" si="9"/>
        <v>1</v>
      </c>
      <c r="R19" s="91">
        <f>IF(ISBLANK(Data!$A20)=TRUE,"",1)</f>
        <v>1</v>
      </c>
      <c r="S19" s="91">
        <f>IF(ISBLANK(Data!$A20)=TRUE,"",1)</f>
        <v>1</v>
      </c>
      <c r="T19" s="91">
        <f>IF(ISBLANK(Data!$A20)=TRUE,"",1)</f>
        <v>1</v>
      </c>
      <c r="U19" s="105" t="str">
        <f>IF(ISBLANK(Data!$A20)=TRUE,"",Data!U20)</f>
        <v>1-1/8</v>
      </c>
      <c r="V19" s="91">
        <f t="shared" si="10"/>
        <v>1</v>
      </c>
      <c r="W19" s="105" t="str">
        <f>IF(ISBLANK(Data!$A20)=TRUE,"",Data!V20)</f>
        <v>5/8</v>
      </c>
      <c r="X19" s="91">
        <f>IF(ISBLANK(Data!$A20)=TRUE,"",1)</f>
        <v>1</v>
      </c>
      <c r="Y19" s="105">
        <f t="shared" si="11"/>
        <v>1</v>
      </c>
      <c r="Z19" s="105"/>
      <c r="AA19" s="105"/>
      <c r="AB19" s="105">
        <f>Data!AD20</f>
        <v>12</v>
      </c>
      <c r="AC19" s="105"/>
      <c r="AD19" s="166">
        <f t="shared" si="12"/>
        <v>12</v>
      </c>
      <c r="AE19" s="105">
        <f t="shared" si="13"/>
        <v>1</v>
      </c>
      <c r="AF19" s="261" t="str">
        <f>Data!S20</f>
        <v>5/8 &gt; 3/8</v>
      </c>
      <c r="AG19" s="91" t="str">
        <f>Data!T20</f>
        <v>5/8 &gt; 1/2</v>
      </c>
      <c r="AH19" s="91"/>
      <c r="AI19" s="91"/>
    </row>
    <row r="20" spans="1:35" x14ac:dyDescent="0.3">
      <c r="A20" s="91" t="str">
        <f>IF(ISBLANK(Data!A21)=TRUE,"",Data!A21)</f>
        <v>Q</v>
      </c>
      <c r="B20" s="91" t="str">
        <f>IF(ISBLANK(Data!A21)=TRUE,"",Data!B21)</f>
        <v>DT 03a</v>
      </c>
      <c r="C20" s="97" t="str">
        <f>IF(ISBLANK(Data!A21)=TRUE,"",Data!D21)</f>
        <v>RECEIVING DROP DEMP</v>
      </c>
      <c r="D20" s="91" t="str">
        <f>IF(ISBLANK(Data!A21)=TRUE,"",Data!K21)</f>
        <v>HI 3043H</v>
      </c>
      <c r="E20" s="91">
        <f>IF(ISBLANK(Data!A21)=TRUE,"",Data!L21)</f>
        <v>1</v>
      </c>
      <c r="F20" s="91" t="str">
        <f>IF(ISBLANK(Data!A21)=TRUE,"",Data!P21)</f>
        <v>1-1/8</v>
      </c>
      <c r="G20" s="91">
        <f t="shared" si="4"/>
        <v>1</v>
      </c>
      <c r="H20" s="91" t="str">
        <f>Data!Q21</f>
        <v>NONE</v>
      </c>
      <c r="I20" s="91">
        <f t="shared" si="5"/>
        <v>0</v>
      </c>
      <c r="J20" s="91" t="str">
        <f>Data!R21</f>
        <v>1-1/8</v>
      </c>
      <c r="K20" s="91">
        <f t="shared" si="6"/>
        <v>1</v>
      </c>
      <c r="L20" s="91" t="str">
        <f>IF(ISBLANK(Data!$A21)=TRUE,"",Data!W21)</f>
        <v>TES 2</v>
      </c>
      <c r="M20" s="91">
        <f t="shared" si="7"/>
        <v>1</v>
      </c>
      <c r="N20" s="91" t="str">
        <f>IF(ISBLANK(Data!A21)=TRUE,"",Data!X21)</f>
        <v>4</v>
      </c>
      <c r="O20" s="91">
        <f t="shared" si="8"/>
        <v>1</v>
      </c>
      <c r="P20" s="91" t="str">
        <f>Data!Y21</f>
        <v>1/2 Castel</v>
      </c>
      <c r="Q20" s="91">
        <f t="shared" si="9"/>
        <v>1</v>
      </c>
      <c r="R20" s="91">
        <f>IF(ISBLANK(Data!$A21)=TRUE,"",1)</f>
        <v>1</v>
      </c>
      <c r="S20" s="91">
        <f>IF(ISBLANK(Data!$A21)=TRUE,"",1)</f>
        <v>1</v>
      </c>
      <c r="T20" s="91">
        <f>IF(ISBLANK(Data!$A21)=TRUE,"",1)</f>
        <v>1</v>
      </c>
      <c r="U20" s="105" t="str">
        <f>IF(ISBLANK(Data!$A21)=TRUE,"",Data!U21)</f>
        <v>1-1/8</v>
      </c>
      <c r="V20" s="91">
        <f t="shared" si="10"/>
        <v>1</v>
      </c>
      <c r="W20" s="105" t="str">
        <f>IF(ISBLANK(Data!$A21)=TRUE,"",Data!V21)</f>
        <v>1/2</v>
      </c>
      <c r="X20" s="91">
        <f>IF(ISBLANK(Data!$A21)=TRUE,"",1)</f>
        <v>1</v>
      </c>
      <c r="Y20" s="105">
        <f t="shared" si="11"/>
        <v>1</v>
      </c>
      <c r="Z20" s="105"/>
      <c r="AA20" s="105"/>
      <c r="AB20" s="105">
        <f>Data!AD21</f>
        <v>10</v>
      </c>
      <c r="AC20" s="105"/>
      <c r="AD20" s="166">
        <f t="shared" si="12"/>
        <v>10</v>
      </c>
      <c r="AE20" s="105">
        <f t="shared" si="13"/>
        <v>1</v>
      </c>
      <c r="AF20" s="261" t="str">
        <f>Data!S21</f>
        <v>1/2 &gt; 3/8</v>
      </c>
      <c r="AG20" s="91" t="str">
        <f>Data!T21</f>
        <v>5/8 &gt; 1/2</v>
      </c>
      <c r="AH20" s="91"/>
      <c r="AI20" s="91"/>
    </row>
    <row r="21" spans="1:35" x14ac:dyDescent="0.3">
      <c r="A21" s="91" t="str">
        <f>IF(ISBLANK(Data!A22)=TRUE,"",Data!A22)</f>
        <v>R</v>
      </c>
      <c r="B21" s="91" t="str">
        <f>IF(ISBLANK(Data!A22)=TRUE,"",Data!B22)</f>
        <v>DT 03b</v>
      </c>
      <c r="C21" s="97" t="str">
        <f>IF(ISBLANK(Data!A22)=TRUE,"",Data!D22)</f>
        <v>RECEIVING DROP DEMP</v>
      </c>
      <c r="D21" s="91" t="str">
        <f>IF(ISBLANK(Data!A22)=TRUE,"",Data!K22)</f>
        <v>HI 3043H</v>
      </c>
      <c r="E21" s="91">
        <f>IF(ISBLANK(Data!A22)=TRUE,"",Data!L22)</f>
        <v>1</v>
      </c>
      <c r="F21" s="91" t="str">
        <f>IF(ISBLANK(Data!A22)=TRUE,"",Data!P22)</f>
        <v>1-1/8</v>
      </c>
      <c r="G21" s="91">
        <f t="shared" si="4"/>
        <v>1</v>
      </c>
      <c r="H21" s="91" t="str">
        <f>Data!Q22</f>
        <v>NONE</v>
      </c>
      <c r="I21" s="91">
        <f t="shared" si="5"/>
        <v>0</v>
      </c>
      <c r="J21" s="91" t="str">
        <f>Data!R22</f>
        <v>1-1/8</v>
      </c>
      <c r="K21" s="91">
        <f t="shared" si="6"/>
        <v>1</v>
      </c>
      <c r="L21" s="91" t="str">
        <f>IF(ISBLANK(Data!$A22)=TRUE,"",Data!W22)</f>
        <v>TES 2</v>
      </c>
      <c r="M21" s="91">
        <f t="shared" si="7"/>
        <v>1</v>
      </c>
      <c r="N21" s="91" t="str">
        <f>IF(ISBLANK(Data!A22)=TRUE,"",Data!X22)</f>
        <v>4</v>
      </c>
      <c r="O21" s="91">
        <f t="shared" si="8"/>
        <v>1</v>
      </c>
      <c r="P21" s="91" t="str">
        <f>Data!Y22</f>
        <v>1/2 Castel</v>
      </c>
      <c r="Q21" s="91">
        <f t="shared" si="9"/>
        <v>1</v>
      </c>
      <c r="R21" s="91">
        <f>IF(ISBLANK(Data!$A22)=TRUE,"",1)</f>
        <v>1</v>
      </c>
      <c r="S21" s="91">
        <f>IF(ISBLANK(Data!$A22)=TRUE,"",1)</f>
        <v>1</v>
      </c>
      <c r="T21" s="91">
        <f>IF(ISBLANK(Data!$A22)=TRUE,"",1)</f>
        <v>1</v>
      </c>
      <c r="U21" s="105" t="str">
        <f>IF(ISBLANK(Data!$A22)=TRUE,"",Data!U22)</f>
        <v>1-1/8</v>
      </c>
      <c r="V21" s="91">
        <f t="shared" si="10"/>
        <v>1</v>
      </c>
      <c r="W21" s="105" t="str">
        <f>IF(ISBLANK(Data!$A22)=TRUE,"",Data!V22)</f>
        <v>1/2</v>
      </c>
      <c r="X21" s="91">
        <f>IF(ISBLANK(Data!$A22)=TRUE,"",1)</f>
        <v>1</v>
      </c>
      <c r="Y21" s="105">
        <f t="shared" si="11"/>
        <v>1</v>
      </c>
      <c r="Z21" s="105"/>
      <c r="AA21" s="105"/>
      <c r="AB21" s="105">
        <f>Data!AD22</f>
        <v>10</v>
      </c>
      <c r="AC21" s="105"/>
      <c r="AD21" s="166">
        <f t="shared" si="12"/>
        <v>10</v>
      </c>
      <c r="AE21" s="105">
        <f t="shared" si="13"/>
        <v>1</v>
      </c>
      <c r="AF21" s="261" t="str">
        <f>Data!S22</f>
        <v>1/2 &gt; 3/8</v>
      </c>
      <c r="AG21" s="91" t="str">
        <f>Data!T22</f>
        <v>5/8 &gt; 1/2</v>
      </c>
      <c r="AH21" s="91"/>
      <c r="AI21" s="91"/>
    </row>
    <row r="22" spans="1:35" x14ac:dyDescent="0.3">
      <c r="A22" s="91" t="str">
        <f>IF(ISBLANK(Data!A23)=TRUE,"",Data!A23)</f>
        <v>LS1</v>
      </c>
      <c r="B22" s="91" t="str">
        <f>IF(ISBLANK(Data!A23)=TRUE,"",Data!B23)</f>
        <v>CR 06a</v>
      </c>
      <c r="C22" s="97" t="str">
        <f>IF(ISBLANK(Data!A23)=TRUE,"",Data!D23)</f>
        <v>WALK IN COLD ROOM</v>
      </c>
      <c r="D22" s="91" t="str">
        <f>IF(ISBLANK(Data!A23)=TRUE,"",Data!K23)</f>
        <v>HI 3044L</v>
      </c>
      <c r="E22" s="91">
        <f>IF(ISBLANK(Data!A23)=TRUE,"",Data!L23)</f>
        <v>1</v>
      </c>
      <c r="F22" s="91" t="str">
        <f>IF(ISBLANK(Data!A23)=TRUE,"",Data!P23)</f>
        <v>1-1/8</v>
      </c>
      <c r="G22" s="91">
        <f t="shared" si="4"/>
        <v>1</v>
      </c>
      <c r="H22" s="91" t="str">
        <f>Data!Q23</f>
        <v>1-3/8  &gt;  1-1/8</v>
      </c>
      <c r="I22" s="91">
        <f t="shared" si="5"/>
        <v>1</v>
      </c>
      <c r="J22" s="91" t="str">
        <f>Data!R23</f>
        <v>1-3/8</v>
      </c>
      <c r="K22" s="91">
        <f t="shared" si="6"/>
        <v>1</v>
      </c>
      <c r="L22" s="91" t="str">
        <f>IF(ISBLANK(Data!$A23)=TRUE,"",Data!W23)</f>
        <v>TES 2</v>
      </c>
      <c r="M22" s="91">
        <f t="shared" si="7"/>
        <v>1</v>
      </c>
      <c r="N22" s="91" t="str">
        <f>IF(ISBLANK(Data!A23)=TRUE,"",Data!X23)</f>
        <v>4</v>
      </c>
      <c r="O22" s="91">
        <f t="shared" si="8"/>
        <v>1</v>
      </c>
      <c r="P22" s="91" t="str">
        <f>Data!Y23</f>
        <v>5/8 Castel</v>
      </c>
      <c r="Q22" s="91">
        <f t="shared" si="9"/>
        <v>1</v>
      </c>
      <c r="R22" s="91">
        <f>IF(ISBLANK(Data!$A23)=TRUE,"",1)</f>
        <v>1</v>
      </c>
      <c r="S22" s="91">
        <f>IF(ISBLANK(Data!$A23)=TRUE,"",1)</f>
        <v>1</v>
      </c>
      <c r="T22" s="91">
        <f>IF(ISBLANK(Data!$A23)=TRUE,"",1)</f>
        <v>1</v>
      </c>
      <c r="U22" s="105" t="str">
        <f>IF(ISBLANK(Data!$A23)=TRUE,"",Data!U23)</f>
        <v>1-3/8</v>
      </c>
      <c r="V22" s="91">
        <f t="shared" si="10"/>
        <v>1</v>
      </c>
      <c r="W22" s="105" t="str">
        <f>IF(ISBLANK(Data!$A23)=TRUE,"",Data!V23)</f>
        <v>5/8</v>
      </c>
      <c r="X22" s="91">
        <f>IF(ISBLANK(Data!$A23)=TRUE,"",1)</f>
        <v>1</v>
      </c>
      <c r="Y22" s="105">
        <f t="shared" si="11"/>
        <v>1</v>
      </c>
      <c r="Z22" s="105"/>
      <c r="AA22" s="105"/>
      <c r="AB22" s="105">
        <f>Data!AD23</f>
        <v>10</v>
      </c>
      <c r="AC22" s="105"/>
      <c r="AD22" s="166">
        <f t="shared" si="12"/>
        <v>10</v>
      </c>
      <c r="AE22" s="105">
        <f t="shared" si="13"/>
        <v>1</v>
      </c>
      <c r="AF22" s="261" t="str">
        <f>Data!S23</f>
        <v>5/8 &gt; 3/8</v>
      </c>
      <c r="AG22" s="91" t="str">
        <f>Data!T23</f>
        <v>5/8 &gt; 1/2</v>
      </c>
      <c r="AH22" s="91"/>
      <c r="AI22" s="91"/>
    </row>
    <row r="23" spans="1:35" x14ac:dyDescent="0.3">
      <c r="A23" s="91" t="str">
        <f>IF(ISBLANK(Data!A24)=TRUE,"",Data!A24)</f>
        <v>LS2</v>
      </c>
      <c r="B23" s="91" t="str">
        <f>IF(ISBLANK(Data!A24)=TRUE,"",Data!B24)</f>
        <v>CR 06b</v>
      </c>
      <c r="C23" s="97" t="str">
        <f>IF(ISBLANK(Data!A24)=TRUE,"",Data!D24)</f>
        <v>WALK IN COLD ROOM</v>
      </c>
      <c r="D23" s="91" t="str">
        <f>IF(ISBLANK(Data!A24)=TRUE,"",Data!K24)</f>
        <v>HI 3044L</v>
      </c>
      <c r="E23" s="91">
        <f>IF(ISBLANK(Data!A24)=TRUE,"",Data!L24)</f>
        <v>1</v>
      </c>
      <c r="F23" s="91" t="str">
        <f>IF(ISBLANK(Data!A24)=TRUE,"",Data!P24)</f>
        <v>1-1/8</v>
      </c>
      <c r="G23" s="91">
        <f t="shared" si="4"/>
        <v>1</v>
      </c>
      <c r="H23" s="91" t="str">
        <f>Data!Q24</f>
        <v>1-3/8  &gt;  1-1/8</v>
      </c>
      <c r="I23" s="91">
        <f t="shared" si="5"/>
        <v>1</v>
      </c>
      <c r="J23" s="91" t="str">
        <f>Data!R24</f>
        <v>1-3/8</v>
      </c>
      <c r="K23" s="91">
        <f t="shared" si="6"/>
        <v>1</v>
      </c>
      <c r="L23" s="91" t="str">
        <f>IF(ISBLANK(Data!$A24)=TRUE,"",Data!W24)</f>
        <v>TES 2</v>
      </c>
      <c r="M23" s="91">
        <f t="shared" si="7"/>
        <v>1</v>
      </c>
      <c r="N23" s="91" t="str">
        <f>IF(ISBLANK(Data!A24)=TRUE,"",Data!X24)</f>
        <v>4</v>
      </c>
      <c r="O23" s="91">
        <f t="shared" si="8"/>
        <v>1</v>
      </c>
      <c r="P23" s="91" t="str">
        <f>Data!Y24</f>
        <v>5/8 Castel</v>
      </c>
      <c r="Q23" s="91">
        <f t="shared" si="9"/>
        <v>1</v>
      </c>
      <c r="R23" s="91">
        <f>IF(ISBLANK(Data!$A24)=TRUE,"",1)</f>
        <v>1</v>
      </c>
      <c r="S23" s="91">
        <f>IF(ISBLANK(Data!$A24)=TRUE,"",1)</f>
        <v>1</v>
      </c>
      <c r="T23" s="91">
        <f>IF(ISBLANK(Data!$A24)=TRUE,"",1)</f>
        <v>1</v>
      </c>
      <c r="U23" s="105" t="str">
        <f>IF(ISBLANK(Data!$A24)=TRUE,"",Data!U24)</f>
        <v>1-3/8</v>
      </c>
      <c r="V23" s="91">
        <f t="shared" si="10"/>
        <v>1</v>
      </c>
      <c r="W23" s="105" t="str">
        <f>IF(ISBLANK(Data!$A24)=TRUE,"",Data!V24)</f>
        <v>5/8</v>
      </c>
      <c r="X23" s="91">
        <f>IF(ISBLANK(Data!$A24)=TRUE,"",1)</f>
        <v>1</v>
      </c>
      <c r="Y23" s="105">
        <f t="shared" si="11"/>
        <v>1</v>
      </c>
      <c r="Z23" s="105"/>
      <c r="AA23" s="105"/>
      <c r="AB23" s="105">
        <f>Data!AD24</f>
        <v>10</v>
      </c>
      <c r="AC23" s="105"/>
      <c r="AD23" s="166">
        <f t="shared" si="12"/>
        <v>10</v>
      </c>
      <c r="AE23" s="105">
        <f t="shared" si="13"/>
        <v>1</v>
      </c>
      <c r="AF23" s="261" t="str">
        <f>Data!S24</f>
        <v>5/8 &gt; 3/8</v>
      </c>
      <c r="AG23" s="91" t="str">
        <f>Data!T24</f>
        <v>5/8 &gt; 1/2</v>
      </c>
      <c r="AH23" s="91"/>
      <c r="AI23" s="91"/>
    </row>
    <row r="24" spans="1:35" x14ac:dyDescent="0.3">
      <c r="A24" s="91" t="str">
        <f>IF(ISBLANK(Data!A25)=TRUE,"",Data!A25)</f>
        <v/>
      </c>
      <c r="B24" s="91" t="str">
        <f>IF(ISBLANK(Data!A25)=TRUE,"",Data!B25)</f>
        <v/>
      </c>
      <c r="C24" s="97" t="str">
        <f>IF(ISBLANK(Data!A25)=TRUE,"",Data!D25)</f>
        <v/>
      </c>
      <c r="D24" s="91" t="str">
        <f>IF(ISBLANK(Data!A25)=TRUE,"",Data!K25)</f>
        <v/>
      </c>
      <c r="E24" s="91" t="str">
        <f>IF(ISBLANK(Data!A25)=TRUE,"",Data!L25)</f>
        <v/>
      </c>
      <c r="F24" s="91" t="str">
        <f>IF(ISBLANK(Data!A25)=TRUE,"",Data!P25)</f>
        <v/>
      </c>
      <c r="G24" s="91" t="str">
        <f t="shared" si="4"/>
        <v/>
      </c>
      <c r="H24" s="91" t="str">
        <f>Data!Q25</f>
        <v/>
      </c>
      <c r="I24" s="91" t="str">
        <f t="shared" si="5"/>
        <v/>
      </c>
      <c r="J24" s="91" t="str">
        <f>Data!R25</f>
        <v/>
      </c>
      <c r="K24" s="91" t="str">
        <f t="shared" si="6"/>
        <v/>
      </c>
      <c r="L24" s="91" t="str">
        <f>IF(ISBLANK(Data!$A25)=TRUE,"",Data!W25)</f>
        <v/>
      </c>
      <c r="M24" s="91" t="str">
        <f t="shared" si="7"/>
        <v/>
      </c>
      <c r="N24" s="91" t="str">
        <f>IF(ISBLANK(Data!A25)=TRUE,"",Data!X25)</f>
        <v/>
      </c>
      <c r="O24" s="91" t="str">
        <f t="shared" si="8"/>
        <v/>
      </c>
      <c r="P24" s="91" t="str">
        <f>[1]Data!Y25</f>
        <v/>
      </c>
      <c r="Q24" s="91" t="str">
        <f>IF(ISBLANK([1]Data!$A25)=TRUE,"",1)</f>
        <v/>
      </c>
      <c r="R24" s="91"/>
      <c r="S24" s="91"/>
      <c r="T24" s="91"/>
      <c r="U24" s="105"/>
      <c r="V24" s="91"/>
      <c r="W24" s="105"/>
      <c r="X24" s="91"/>
      <c r="Y24" s="105"/>
      <c r="Z24" s="105"/>
      <c r="AA24" s="105"/>
      <c r="AB24" s="105"/>
      <c r="AC24" s="105"/>
      <c r="AD24" s="166"/>
      <c r="AE24" s="105"/>
      <c r="AF24" s="261"/>
      <c r="AG24" s="91"/>
      <c r="AH24" s="91"/>
      <c r="AI24" s="91"/>
    </row>
    <row r="25" spans="1:35" x14ac:dyDescent="0.3">
      <c r="A25" s="91" t="str">
        <f>IF(ISBLANK(Data!A26)=TRUE,"",Data!A26)</f>
        <v/>
      </c>
      <c r="B25" s="91" t="str">
        <f>IF(ISBLANK(Data!A26)=TRUE,"",Data!B26)</f>
        <v/>
      </c>
      <c r="C25" s="97" t="str">
        <f>IF(ISBLANK(Data!A26)=TRUE,"",Data!D26)</f>
        <v/>
      </c>
      <c r="D25" s="91" t="str">
        <f>IF(ISBLANK(Data!A26)=TRUE,"",Data!K26)</f>
        <v/>
      </c>
      <c r="E25" s="91" t="str">
        <f>IF(ISBLANK(Data!A26)=TRUE,"",Data!L26)</f>
        <v/>
      </c>
      <c r="F25" s="91" t="str">
        <f>IF(ISBLANK(Data!A26)=TRUE,"",Data!P26)</f>
        <v/>
      </c>
      <c r="G25" s="91" t="str">
        <f t="shared" si="4"/>
        <v/>
      </c>
      <c r="H25" s="91" t="str">
        <f>Data!Q26</f>
        <v/>
      </c>
      <c r="I25" s="91" t="str">
        <f t="shared" si="5"/>
        <v/>
      </c>
      <c r="J25" s="91" t="str">
        <f>Data!R26</f>
        <v/>
      </c>
      <c r="K25" s="91" t="str">
        <f t="shared" si="6"/>
        <v/>
      </c>
      <c r="L25" s="91" t="str">
        <f>IF(ISBLANK(Data!$A26)=TRUE,"",Data!W26)</f>
        <v/>
      </c>
      <c r="M25" s="91" t="str">
        <f t="shared" si="7"/>
        <v/>
      </c>
      <c r="N25" s="91" t="str">
        <f>IF(ISBLANK(Data!A26)=TRUE,"",Data!X26)</f>
        <v/>
      </c>
      <c r="O25" s="91" t="str">
        <f t="shared" si="8"/>
        <v/>
      </c>
      <c r="P25" s="91" t="str">
        <f>[1]Data!Y26</f>
        <v/>
      </c>
      <c r="Q25" s="91" t="str">
        <f>IF(ISBLANK([1]Data!$A26)=TRUE,"",1)</f>
        <v/>
      </c>
      <c r="R25" s="91"/>
      <c r="S25" s="91"/>
      <c r="T25" s="91"/>
      <c r="U25" s="105"/>
      <c r="V25" s="91"/>
      <c r="W25" s="105"/>
      <c r="X25" s="91"/>
      <c r="Y25" s="105"/>
      <c r="Z25" s="105"/>
      <c r="AA25" s="105"/>
      <c r="AB25" s="105"/>
      <c r="AC25" s="105"/>
      <c r="AD25" s="166"/>
      <c r="AE25" s="105"/>
      <c r="AF25" s="261"/>
      <c r="AG25" s="91"/>
      <c r="AH25" s="91"/>
      <c r="AI25" s="91"/>
    </row>
    <row r="26" spans="1:35" x14ac:dyDescent="0.3">
      <c r="A26" s="91" t="str">
        <f>IF(ISBLANK(Data!A27)=TRUE,"",Data!A27)</f>
        <v/>
      </c>
      <c r="B26" s="91" t="str">
        <f>IF(ISBLANK(Data!A27)=TRUE,"",Data!B27)</f>
        <v/>
      </c>
      <c r="C26" s="97" t="str">
        <f>IF(ISBLANK(Data!A27)=TRUE,"",Data!D27)</f>
        <v/>
      </c>
      <c r="D26" s="91" t="str">
        <f>IF(ISBLANK(Data!A27)=TRUE,"",Data!K27)</f>
        <v/>
      </c>
      <c r="E26" s="91" t="str">
        <f>IF(ISBLANK(Data!A27)=TRUE,"",Data!L27)</f>
        <v/>
      </c>
      <c r="F26" s="91" t="str">
        <f>IF(ISBLANK(Data!A27)=TRUE,"",Data!P27)</f>
        <v/>
      </c>
      <c r="G26" s="91" t="str">
        <f t="shared" si="4"/>
        <v/>
      </c>
      <c r="H26" s="91" t="str">
        <f>Data!Q27</f>
        <v/>
      </c>
      <c r="I26" s="91" t="str">
        <f t="shared" si="5"/>
        <v/>
      </c>
      <c r="J26" s="91" t="str">
        <f>Data!R27</f>
        <v/>
      </c>
      <c r="K26" s="91" t="str">
        <f t="shared" si="6"/>
        <v/>
      </c>
      <c r="L26" s="91" t="str">
        <f>IF(ISBLANK(Data!$A27)=TRUE,"",Data!W27)</f>
        <v/>
      </c>
      <c r="M26" s="91" t="str">
        <f t="shared" si="7"/>
        <v/>
      </c>
      <c r="N26" s="91" t="str">
        <f>IF(ISBLANK(Data!A27)=TRUE,"",Data!X27)</f>
        <v/>
      </c>
      <c r="O26" s="91" t="str">
        <f t="shared" si="8"/>
        <v/>
      </c>
      <c r="P26" s="91" t="str">
        <f>[1]Data!Y27</f>
        <v/>
      </c>
      <c r="Q26" s="91" t="str">
        <f>IF(ISBLANK([1]Data!$A27)=TRUE,"",1)</f>
        <v/>
      </c>
      <c r="R26" s="91"/>
      <c r="S26" s="91"/>
      <c r="T26" s="91"/>
      <c r="U26" s="105"/>
      <c r="V26" s="91"/>
      <c r="W26" s="105"/>
      <c r="X26" s="91"/>
      <c r="Y26" s="105"/>
      <c r="Z26" s="105"/>
      <c r="AA26" s="105"/>
      <c r="AB26" s="105"/>
      <c r="AC26" s="105"/>
      <c r="AD26" s="166"/>
      <c r="AE26" s="105"/>
      <c r="AF26" s="261"/>
      <c r="AG26" s="91"/>
      <c r="AH26" s="91"/>
      <c r="AI26" s="91"/>
    </row>
    <row r="27" spans="1:35" x14ac:dyDescent="0.3">
      <c r="A27" s="91" t="str">
        <f>IF(ISBLANK(Data!A28)=TRUE,"",Data!A28)</f>
        <v/>
      </c>
      <c r="B27" s="91" t="str">
        <f>IF(ISBLANK(Data!A28)=TRUE,"",Data!B28)</f>
        <v/>
      </c>
      <c r="C27" s="97" t="str">
        <f>IF(ISBLANK(Data!A28)=TRUE,"",Data!D28)</f>
        <v/>
      </c>
      <c r="D27" s="91" t="str">
        <f>IF(ISBLANK(Data!A28)=TRUE,"",Data!K28)</f>
        <v/>
      </c>
      <c r="E27" s="91" t="str">
        <f>IF(ISBLANK(Data!A28)=TRUE,"",Data!L28)</f>
        <v/>
      </c>
      <c r="F27" s="91" t="str">
        <f>IF(ISBLANK(Data!A28)=TRUE,"",Data!P28)</f>
        <v/>
      </c>
      <c r="G27" s="91" t="str">
        <f t="shared" si="4"/>
        <v/>
      </c>
      <c r="H27" s="91" t="str">
        <f>Data!Q28</f>
        <v/>
      </c>
      <c r="I27" s="91" t="str">
        <f t="shared" si="5"/>
        <v/>
      </c>
      <c r="J27" s="91" t="str">
        <f>Data!R28</f>
        <v/>
      </c>
      <c r="K27" s="91" t="str">
        <f t="shared" si="6"/>
        <v/>
      </c>
      <c r="L27" s="91" t="str">
        <f>IF(ISBLANK(Data!$A28)=TRUE,"",Data!W28)</f>
        <v/>
      </c>
      <c r="M27" s="91" t="str">
        <f t="shared" si="7"/>
        <v/>
      </c>
      <c r="N27" s="91" t="str">
        <f>IF(ISBLANK(Data!A28)=TRUE,"",Data!X28)</f>
        <v/>
      </c>
      <c r="O27" s="91" t="str">
        <f t="shared" si="8"/>
        <v/>
      </c>
      <c r="P27" s="91" t="str">
        <f>[1]Data!Y28</f>
        <v/>
      </c>
      <c r="Q27" s="91" t="str">
        <f>IF(ISBLANK([1]Data!$A28)=TRUE,"",1)</f>
        <v/>
      </c>
      <c r="R27" s="91"/>
      <c r="S27" s="91"/>
      <c r="T27" s="91"/>
      <c r="U27" s="105"/>
      <c r="V27" s="91"/>
      <c r="W27" s="105"/>
      <c r="X27" s="91"/>
      <c r="Y27" s="105"/>
      <c r="Z27" s="105"/>
      <c r="AA27" s="105"/>
      <c r="AB27" s="105"/>
      <c r="AC27" s="105"/>
      <c r="AD27" s="166"/>
      <c r="AE27" s="105"/>
      <c r="AF27" s="261"/>
      <c r="AG27" s="91"/>
      <c r="AH27" s="91"/>
      <c r="AI27" s="91"/>
    </row>
    <row r="28" spans="1:35" x14ac:dyDescent="0.3">
      <c r="A28" s="91" t="str">
        <f>IF(ISBLANK(Data!A29)=TRUE,"",Data!A29)</f>
        <v/>
      </c>
      <c r="B28" s="91" t="str">
        <f>IF(ISBLANK(Data!A29)=TRUE,"",Data!B29)</f>
        <v/>
      </c>
      <c r="C28" s="97" t="str">
        <f>IF(ISBLANK(Data!A29)=TRUE,"",Data!D29)</f>
        <v/>
      </c>
      <c r="D28" s="91" t="str">
        <f>IF(ISBLANK(Data!A29)=TRUE,"",Data!K29)</f>
        <v/>
      </c>
      <c r="E28" s="91" t="str">
        <f>IF(ISBLANK(Data!A29)=TRUE,"",Data!L29)</f>
        <v/>
      </c>
      <c r="F28" s="91" t="str">
        <f>IF(ISBLANK(Data!A29)=TRUE,"",Data!P29)</f>
        <v/>
      </c>
      <c r="G28" s="91" t="str">
        <f t="shared" si="4"/>
        <v/>
      </c>
      <c r="H28" s="91" t="str">
        <f>Data!Q29</f>
        <v/>
      </c>
      <c r="I28" s="91" t="str">
        <f t="shared" si="5"/>
        <v/>
      </c>
      <c r="J28" s="91" t="str">
        <f>Data!R29</f>
        <v/>
      </c>
      <c r="K28" s="91" t="str">
        <f t="shared" si="6"/>
        <v/>
      </c>
      <c r="L28" s="91" t="str">
        <f>IF(ISBLANK(Data!$A29)=TRUE,"",Data!W29)</f>
        <v/>
      </c>
      <c r="M28" s="91" t="str">
        <f t="shared" si="7"/>
        <v/>
      </c>
      <c r="N28" s="91" t="str">
        <f>IF(ISBLANK(Data!A29)=TRUE,"",Data!X29)</f>
        <v/>
      </c>
      <c r="O28" s="91" t="str">
        <f t="shared" si="8"/>
        <v/>
      </c>
      <c r="P28" s="91" t="str">
        <f>[1]Data!Y29</f>
        <v/>
      </c>
      <c r="Q28" s="91" t="str">
        <f>IF(ISBLANK([1]Data!$A29)=TRUE,"",1)</f>
        <v/>
      </c>
      <c r="R28" s="91"/>
      <c r="S28" s="91"/>
      <c r="T28" s="91"/>
      <c r="U28" s="105"/>
      <c r="V28" s="91"/>
      <c r="W28" s="105"/>
      <c r="X28" s="91"/>
      <c r="Y28" s="105"/>
      <c r="Z28" s="105"/>
      <c r="AA28" s="105"/>
      <c r="AB28" s="105"/>
      <c r="AC28" s="105"/>
      <c r="AD28" s="166"/>
      <c r="AE28" s="105"/>
      <c r="AF28" s="261"/>
      <c r="AG28" s="91"/>
      <c r="AH28" s="91"/>
      <c r="AI28" s="91"/>
    </row>
    <row r="29" spans="1:35" x14ac:dyDescent="0.3">
      <c r="A29" s="91" t="str">
        <f>IF(ISBLANK(Data!A30)=TRUE,"",Data!A30)</f>
        <v/>
      </c>
      <c r="B29" s="91" t="str">
        <f>IF(ISBLANK(Data!A30)=TRUE,"",Data!B30)</f>
        <v/>
      </c>
      <c r="C29" s="97" t="str">
        <f>IF(ISBLANK(Data!A30)=TRUE,"",Data!D30)</f>
        <v/>
      </c>
      <c r="D29" s="91" t="str">
        <f>IF(ISBLANK(Data!A30)=TRUE,"",Data!K30)</f>
        <v/>
      </c>
      <c r="E29" s="91" t="str">
        <f>IF(ISBLANK(Data!A30)=TRUE,"",Data!L30)</f>
        <v/>
      </c>
      <c r="F29" s="91" t="str">
        <f>IF(ISBLANK(Data!A30)=TRUE,"",Data!P30)</f>
        <v/>
      </c>
      <c r="G29" s="91" t="str">
        <f t="shared" si="4"/>
        <v/>
      </c>
      <c r="H29" s="91" t="str">
        <f>Data!Q30</f>
        <v/>
      </c>
      <c r="I29" s="91" t="str">
        <f t="shared" si="5"/>
        <v/>
      </c>
      <c r="J29" s="91" t="str">
        <f>Data!R30</f>
        <v/>
      </c>
      <c r="K29" s="91" t="str">
        <f t="shared" si="6"/>
        <v/>
      </c>
      <c r="L29" s="91" t="str">
        <f>IF(ISBLANK(Data!$A30)=TRUE,"",Data!W30)</f>
        <v/>
      </c>
      <c r="M29" s="91" t="str">
        <f t="shared" si="7"/>
        <v/>
      </c>
      <c r="N29" s="91" t="str">
        <f>IF(ISBLANK(Data!A30)=TRUE,"",Data!X30)</f>
        <v/>
      </c>
      <c r="O29" s="91" t="str">
        <f t="shared" si="8"/>
        <v/>
      </c>
      <c r="P29" s="91" t="str">
        <f>[1]Data!Y30</f>
        <v/>
      </c>
      <c r="Q29" s="91" t="str">
        <f>IF(ISBLANK([1]Data!$A30)=TRUE,"",1)</f>
        <v/>
      </c>
      <c r="R29" s="91"/>
      <c r="S29" s="91"/>
      <c r="T29" s="91"/>
      <c r="U29" s="105"/>
      <c r="V29" s="91"/>
      <c r="W29" s="105"/>
      <c r="X29" s="91"/>
      <c r="Y29" s="105"/>
      <c r="Z29" s="105"/>
      <c r="AA29" s="105"/>
      <c r="AB29" s="105"/>
      <c r="AC29" s="105"/>
      <c r="AD29" s="166"/>
      <c r="AE29" s="105"/>
      <c r="AF29" s="261"/>
      <c r="AG29" s="91"/>
      <c r="AH29" s="91"/>
      <c r="AI29" s="91"/>
    </row>
    <row r="30" spans="1:35" x14ac:dyDescent="0.3">
      <c r="A30" s="91" t="str">
        <f>IF(ISBLANK(Data!A31)=TRUE,"",Data!A31)</f>
        <v/>
      </c>
      <c r="B30" s="91" t="str">
        <f>IF(ISBLANK(Data!A31)=TRUE,"",Data!B31)</f>
        <v/>
      </c>
      <c r="C30" s="97" t="str">
        <f>IF(ISBLANK(Data!A31)=TRUE,"",Data!D31)</f>
        <v/>
      </c>
      <c r="D30" s="91" t="str">
        <f>IF(ISBLANK(Data!A31)=TRUE,"",Data!K31)</f>
        <v/>
      </c>
      <c r="E30" s="91" t="str">
        <f>IF(ISBLANK(Data!A31)=TRUE,"",Data!L31)</f>
        <v/>
      </c>
      <c r="F30" s="91" t="str">
        <f>IF(ISBLANK(Data!A31)=TRUE,"",Data!P31)</f>
        <v/>
      </c>
      <c r="G30" s="91" t="str">
        <f t="shared" si="4"/>
        <v/>
      </c>
      <c r="H30" s="91" t="str">
        <f>Data!Q31</f>
        <v/>
      </c>
      <c r="I30" s="91" t="str">
        <f t="shared" si="5"/>
        <v/>
      </c>
      <c r="J30" s="91" t="str">
        <f>Data!R31</f>
        <v/>
      </c>
      <c r="K30" s="91" t="str">
        <f t="shared" si="6"/>
        <v/>
      </c>
      <c r="L30" s="91" t="str">
        <f>IF(ISBLANK(Data!$A31)=TRUE,"",Data!W31)</f>
        <v/>
      </c>
      <c r="M30" s="91" t="str">
        <f t="shared" si="7"/>
        <v/>
      </c>
      <c r="N30" s="91" t="str">
        <f>IF(ISBLANK(Data!A31)=TRUE,"",Data!X31)</f>
        <v/>
      </c>
      <c r="O30" s="91" t="str">
        <f t="shared" si="8"/>
        <v/>
      </c>
      <c r="P30" s="91" t="str">
        <f>[1]Data!Y31</f>
        <v/>
      </c>
      <c r="Q30" s="91" t="str">
        <f>IF(ISBLANK([1]Data!$A31)=TRUE,"",1)</f>
        <v/>
      </c>
      <c r="R30" s="91"/>
      <c r="S30" s="91"/>
      <c r="T30" s="91"/>
      <c r="U30" s="105"/>
      <c r="V30" s="91"/>
      <c r="W30" s="105"/>
      <c r="X30" s="91"/>
      <c r="Y30" s="105"/>
      <c r="Z30" s="105"/>
      <c r="AA30" s="105"/>
      <c r="AB30" s="105"/>
      <c r="AC30" s="105"/>
      <c r="AD30" s="166"/>
      <c r="AE30" s="105"/>
      <c r="AF30" s="261"/>
      <c r="AG30" s="91"/>
      <c r="AH30" s="91"/>
      <c r="AI30" s="91"/>
    </row>
    <row r="31" spans="1:35" x14ac:dyDescent="0.3">
      <c r="A31" s="91" t="s">
        <v>592</v>
      </c>
      <c r="B31" s="91" t="s">
        <v>592</v>
      </c>
      <c r="C31" s="97" t="s">
        <v>592</v>
      </c>
      <c r="D31" s="91" t="s">
        <v>592</v>
      </c>
      <c r="E31" s="91" t="s">
        <v>592</v>
      </c>
      <c r="F31" s="91" t="s">
        <v>592</v>
      </c>
      <c r="G31" s="91" t="str">
        <f t="shared" ref="G31" si="14">E31</f>
        <v/>
      </c>
      <c r="H31" s="91" t="s">
        <v>592</v>
      </c>
      <c r="I31" s="91" t="str">
        <f t="shared" ref="I31" si="15">IF(H31="NONE",0,E31)</f>
        <v/>
      </c>
      <c r="J31" s="91" t="s">
        <v>592</v>
      </c>
      <c r="K31" s="91" t="str">
        <f t="shared" ref="K31" si="16">IF(J31="NONE",0,E31)</f>
        <v/>
      </c>
      <c r="L31" s="91" t="s">
        <v>592</v>
      </c>
      <c r="M31" s="91" t="str">
        <f t="shared" ref="M31" si="17">E31</f>
        <v/>
      </c>
      <c r="N31" s="91" t="s">
        <v>592</v>
      </c>
      <c r="O31" s="91" t="str">
        <f t="shared" ref="O31" si="18">$E31</f>
        <v/>
      </c>
      <c r="P31" s="91" t="str">
        <f>[1]Data!Y32</f>
        <v/>
      </c>
      <c r="Q31" s="91" t="str">
        <f>IF(ISBLANK([1]Data!$A32)=TRUE,"",1)</f>
        <v/>
      </c>
      <c r="R31" s="91"/>
      <c r="S31" s="91"/>
      <c r="T31" s="91"/>
      <c r="U31" s="105"/>
      <c r="V31" s="91"/>
      <c r="W31" s="105"/>
      <c r="X31" s="91"/>
      <c r="Y31" s="105"/>
      <c r="Z31" s="105"/>
      <c r="AA31" s="105"/>
      <c r="AB31" s="105"/>
      <c r="AC31" s="105"/>
      <c r="AD31" s="166"/>
      <c r="AE31" s="105"/>
      <c r="AF31" s="261"/>
      <c r="AG31" s="91"/>
      <c r="AH31" s="91"/>
      <c r="AI31" s="91"/>
    </row>
    <row r="32" spans="1:35" x14ac:dyDescent="0.3">
      <c r="A32" s="101"/>
      <c r="B32" s="101"/>
      <c r="C32" s="104"/>
      <c r="D32" s="101"/>
      <c r="E32" s="102">
        <f>SUM(E12:E31)</f>
        <v>12</v>
      </c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3"/>
      <c r="T32" s="103"/>
      <c r="U32" s="103"/>
      <c r="V32" s="103"/>
      <c r="W32" s="103"/>
      <c r="X32" s="103"/>
      <c r="Y32" s="103"/>
      <c r="Z32" s="103"/>
      <c r="AA32" s="103"/>
      <c r="AB32" s="2"/>
      <c r="AC32" s="2"/>
      <c r="AD32" s="2"/>
      <c r="AE32" s="3"/>
      <c r="AF32" s="3"/>
      <c r="AG32" s="3"/>
      <c r="AH32" s="3"/>
      <c r="AI32" s="3"/>
    </row>
    <row r="33" spans="1:35" ht="57.75" customHeight="1" x14ac:dyDescent="0.3">
      <c r="A33" s="325" t="s">
        <v>24</v>
      </c>
      <c r="B33" s="325"/>
      <c r="C33" s="325"/>
      <c r="D33" s="325"/>
      <c r="E33" s="325"/>
      <c r="F33" s="325"/>
      <c r="G33" s="325"/>
      <c r="H33" s="325"/>
      <c r="I33" s="325"/>
      <c r="J33" s="325"/>
      <c r="K33" s="325"/>
      <c r="L33" s="325"/>
      <c r="M33" s="325"/>
      <c r="N33" s="325"/>
      <c r="O33" s="325"/>
      <c r="P33" s="325"/>
      <c r="Q33" s="325"/>
      <c r="R33" s="325"/>
      <c r="S33" s="3"/>
      <c r="T33" s="3"/>
      <c r="U33" s="100" t="s">
        <v>116</v>
      </c>
      <c r="V33" s="3"/>
      <c r="W33" s="3"/>
      <c r="X33" s="3"/>
      <c r="Y33" s="3"/>
      <c r="Z33" s="3"/>
      <c r="AA33" s="3"/>
      <c r="AB33" s="2"/>
      <c r="AC33" s="2"/>
      <c r="AD33" s="2"/>
      <c r="AE33" s="3"/>
      <c r="AF33" s="3"/>
      <c r="AG33" s="3"/>
      <c r="AH33" s="3"/>
      <c r="AI33" s="3"/>
    </row>
    <row r="34" spans="1:35" x14ac:dyDescent="0.3">
      <c r="A34" s="91" t="str">
        <f>IF(ISBLANK(Data!A36)=TRUE,"",Data!A36)</f>
        <v>AA</v>
      </c>
      <c r="B34" s="91" t="str">
        <f>IF(ISBLANK(Data!A36)=TRUE,"",Data!B36)</f>
        <v>FR 01</v>
      </c>
      <c r="C34" s="97" t="str">
        <f>IF(ISBLANK(Data!A36)=TRUE,"",Data!D36)</f>
        <v>BUTCHERY FREEZER ROOM</v>
      </c>
      <c r="D34" s="91" t="str">
        <f>IF(ISBLANK(Data!A36)=TRUE,"",Data!K36)</f>
        <v>HI 4033-4L</v>
      </c>
      <c r="E34" s="91">
        <f>IF(ISBLANK(Data!A36)=TRUE,"",Data!L36)</f>
        <v>1</v>
      </c>
      <c r="F34" s="91" t="str">
        <f>IF(ISBLANK(Data!A36)=TRUE,"",Data!P36)</f>
        <v>1-3/8</v>
      </c>
      <c r="G34" s="91">
        <f t="shared" ref="G34:G37" si="19">E34</f>
        <v>1</v>
      </c>
      <c r="H34" s="91" t="str">
        <f>IF(ISBLANK(Data!A14)=TRUE,"",Data!Q36)</f>
        <v>1-5/8  &gt;  1-3/8</v>
      </c>
      <c r="I34" s="91">
        <f t="shared" ref="I34:I37" si="20">IF(H34="NONE",0,E34)</f>
        <v>1</v>
      </c>
      <c r="J34" s="91" t="str">
        <f>IF(ISBLANK(Data!A14)=TRUE,"",Data!R36)</f>
        <v>1-5/8</v>
      </c>
      <c r="K34" s="91">
        <f t="shared" ref="K34:K37" si="21">IF(J34="NONE",0,E34)</f>
        <v>1</v>
      </c>
      <c r="L34" s="91" t="str">
        <f>IF(ISBLANK(Data!A36)=TRUE,"",Data!W36)</f>
        <v>TES 2</v>
      </c>
      <c r="M34" s="91">
        <f t="shared" ref="M34:M37" si="22">E34</f>
        <v>1</v>
      </c>
      <c r="N34" s="91">
        <f>IF(ISBLANK(Data!A36)=TRUE,"",Data!X36)</f>
        <v>5</v>
      </c>
      <c r="O34" s="91">
        <f>$E34</f>
        <v>1</v>
      </c>
      <c r="P34" s="91" t="str">
        <f>Data!Y36</f>
        <v>1/2 Castel</v>
      </c>
      <c r="Q34" s="91">
        <f>E34</f>
        <v>1</v>
      </c>
      <c r="R34" s="91">
        <f>IF(ISBLANK(Data!$A36)=TRUE,"",1)</f>
        <v>1</v>
      </c>
      <c r="S34" s="91">
        <f>IF(ISBLANK(Data!$A36)=TRUE,"",1)</f>
        <v>1</v>
      </c>
      <c r="T34" s="91">
        <f>IF(ISBLANK(Data!$A36)=TRUE,"",1)</f>
        <v>1</v>
      </c>
      <c r="U34" s="105" t="str">
        <f>IF(ISBLANK(Data!$A36)=TRUE,"",Data!U36)</f>
        <v>1-5/8</v>
      </c>
      <c r="V34" s="91">
        <f>$E34</f>
        <v>1</v>
      </c>
      <c r="W34" s="105" t="str">
        <f>IF(ISBLANK(Data!$A36)=TRUE,"",Data!V36)</f>
        <v>1/2</v>
      </c>
      <c r="X34" s="91">
        <f>IF(ISBLANK(Data!$A36)=TRUE,"",1)</f>
        <v>1</v>
      </c>
      <c r="Y34" s="105">
        <f t="shared" ref="Y34:Y48" si="23">E34</f>
        <v>1</v>
      </c>
      <c r="Z34" s="105" t="str">
        <f>IF(ISBLANK([1]Data!$A36)=TRUE,"",CONCATENATE(W34," &gt; ",$AC$7))</f>
        <v>1/2 &gt; 3/8"</v>
      </c>
      <c r="AA34" s="105">
        <f t="shared" ref="AA34:AA48" si="24">E34</f>
        <v>1</v>
      </c>
      <c r="AB34" s="105">
        <f>Data!AC36</f>
        <v>8</v>
      </c>
      <c r="AC34" s="105"/>
      <c r="AD34" s="166">
        <f>AB34</f>
        <v>8</v>
      </c>
      <c r="AE34" s="105">
        <v>1</v>
      </c>
      <c r="AF34" s="261" t="str">
        <f>Data!S36</f>
        <v>1/2 &gt; 3/8</v>
      </c>
      <c r="AG34" s="261" t="str">
        <f>Data!T36</f>
        <v>7/8 &gt; 1/2</v>
      </c>
      <c r="AH34" s="261"/>
      <c r="AI34" s="261"/>
    </row>
    <row r="35" spans="1:35" x14ac:dyDescent="0.3">
      <c r="A35" s="91" t="str">
        <f>IF(ISBLANK(Data!A37)=TRUE,"",Data!A37)</f>
        <v>BB</v>
      </c>
      <c r="B35" s="91" t="str">
        <f>IF(ISBLANK(Data!A37)=TRUE,"",Data!B37)</f>
        <v>FR 02a</v>
      </c>
      <c r="C35" s="97" t="str">
        <f>IF(ISBLANK(Data!A37)=TRUE,"",Data!D37)</f>
        <v>GENERAL FREEZER ROOM</v>
      </c>
      <c r="D35" s="91" t="str">
        <f>IF(ISBLANK(Data!A37)=TRUE,"",Data!K37)</f>
        <v>HI 4033-4L</v>
      </c>
      <c r="E35" s="91">
        <f>IF(ISBLANK(Data!A37)=TRUE,"",Data!L37)</f>
        <v>1</v>
      </c>
      <c r="F35" s="91" t="str">
        <f>IF(ISBLANK(Data!A37)=TRUE,"",Data!P37)</f>
        <v>1-3/8</v>
      </c>
      <c r="G35" s="91">
        <f t="shared" si="19"/>
        <v>1</v>
      </c>
      <c r="H35" s="91" t="str">
        <f>IF(ISBLANK(Data!A15)=TRUE,"",Data!Q37)</f>
        <v>NONE</v>
      </c>
      <c r="I35" s="91">
        <f t="shared" si="20"/>
        <v>0</v>
      </c>
      <c r="J35" s="91" t="str">
        <f>IF(ISBLANK(Data!A15)=TRUE,"",Data!R37)</f>
        <v>1-3/8</v>
      </c>
      <c r="K35" s="91">
        <f t="shared" si="21"/>
        <v>1</v>
      </c>
      <c r="L35" s="91" t="str">
        <f>IF(ISBLANK(Data!A37)=TRUE,"",Data!W37)</f>
        <v>TES 2</v>
      </c>
      <c r="M35" s="91">
        <f t="shared" si="22"/>
        <v>1</v>
      </c>
      <c r="N35" s="91">
        <f>IF(ISBLANK(Data!A37)=TRUE,"",Data!X37)</f>
        <v>5</v>
      </c>
      <c r="O35" s="91">
        <f t="shared" ref="O35:O38" si="25">$E35</f>
        <v>1</v>
      </c>
      <c r="P35" s="91" t="str">
        <f>Data!Y37</f>
        <v>1/2 Castel</v>
      </c>
      <c r="Q35" s="91">
        <f t="shared" ref="Q35:Q37" si="26">E35</f>
        <v>1</v>
      </c>
      <c r="R35" s="91">
        <f>IF(ISBLANK(Data!$A37)=TRUE,"",1)</f>
        <v>1</v>
      </c>
      <c r="S35" s="91">
        <f>IF(ISBLANK(Data!$A37)=TRUE,"",1)</f>
        <v>1</v>
      </c>
      <c r="T35" s="91">
        <f>IF(ISBLANK(Data!$A37)=TRUE,"",1)</f>
        <v>1</v>
      </c>
      <c r="U35" s="105" t="str">
        <f>IF(ISBLANK(Data!$A37)=TRUE,"",Data!U37)</f>
        <v>1-3/8</v>
      </c>
      <c r="V35" s="91">
        <f t="shared" ref="V35:V48" si="27">$E35</f>
        <v>1</v>
      </c>
      <c r="W35" s="105" t="str">
        <f>IF(ISBLANK(Data!$A37)=TRUE,"",Data!V37)</f>
        <v>1/2</v>
      </c>
      <c r="X35" s="91">
        <f>IF(ISBLANK(Data!$A37)=TRUE,"",1)</f>
        <v>1</v>
      </c>
      <c r="Y35" s="105">
        <f t="shared" si="23"/>
        <v>1</v>
      </c>
      <c r="Z35" s="105" t="str">
        <f>IF(ISBLANK([1]Data!$A37)=TRUE,"",CONCATENATE(W35," &gt; ",$AC$7))</f>
        <v>1/2 &gt; 3/8"</v>
      </c>
      <c r="AA35" s="105">
        <f t="shared" si="24"/>
        <v>1</v>
      </c>
      <c r="AB35" s="105">
        <f>Data!AC37</f>
        <v>8</v>
      </c>
      <c r="AC35" s="105"/>
      <c r="AD35" s="166">
        <f t="shared" ref="AD35:AD37" si="28">AB35</f>
        <v>8</v>
      </c>
      <c r="AE35" s="105">
        <v>1</v>
      </c>
      <c r="AF35" s="261" t="str">
        <f>Data!S37</f>
        <v>1/2 &gt; 3/8</v>
      </c>
      <c r="AG35" s="261" t="str">
        <f>Data!T37</f>
        <v>7/8 &gt; 1/2</v>
      </c>
      <c r="AH35" s="261"/>
      <c r="AI35" s="261"/>
    </row>
    <row r="36" spans="1:35" x14ac:dyDescent="0.3">
      <c r="A36" s="91" t="str">
        <f>IF(ISBLANK(Data!A38)=TRUE,"",Data!A38)</f>
        <v>CC</v>
      </c>
      <c r="B36" s="91" t="str">
        <f>IF(ISBLANK(Data!A38)=TRUE,"",Data!B38)</f>
        <v>FR 02b</v>
      </c>
      <c r="C36" s="97" t="str">
        <f>IF(ISBLANK(Data!A38)=TRUE,"",Data!D38)</f>
        <v>GENERAL FREEZER ROOM</v>
      </c>
      <c r="D36" s="91" t="str">
        <f>IF(ISBLANK(Data!A38)=TRUE,"",Data!K38)</f>
        <v>HI 4033-4L</v>
      </c>
      <c r="E36" s="91">
        <f>IF(ISBLANK(Data!A38)=TRUE,"",Data!L38)</f>
        <v>1</v>
      </c>
      <c r="F36" s="91" t="str">
        <f>IF(ISBLANK(Data!A38)=TRUE,"",Data!P38)</f>
        <v>1-3/8</v>
      </c>
      <c r="G36" s="91">
        <f t="shared" si="19"/>
        <v>1</v>
      </c>
      <c r="H36" s="91" t="str">
        <f>IF(ISBLANK(Data!A16)=TRUE,"",Data!Q38)</f>
        <v>1-3/8  &gt;  1-1/8</v>
      </c>
      <c r="I36" s="91">
        <f t="shared" si="20"/>
        <v>1</v>
      </c>
      <c r="J36" s="91" t="str">
        <f>IF(ISBLANK(Data!A16)=TRUE,"",Data!R38)</f>
        <v>1-1/8</v>
      </c>
      <c r="K36" s="91">
        <f t="shared" si="21"/>
        <v>1</v>
      </c>
      <c r="L36" s="91" t="str">
        <f>IF(ISBLANK(Data!A38)=TRUE,"",Data!W38)</f>
        <v>TES 2</v>
      </c>
      <c r="M36" s="91">
        <f t="shared" si="22"/>
        <v>1</v>
      </c>
      <c r="N36" s="91">
        <f>IF(ISBLANK(Data!A38)=TRUE,"",Data!X38)</f>
        <v>5</v>
      </c>
      <c r="O36" s="91">
        <f t="shared" si="25"/>
        <v>1</v>
      </c>
      <c r="P36" s="91" t="str">
        <f>Data!Y38</f>
        <v>1/2 Castel</v>
      </c>
      <c r="Q36" s="91">
        <f t="shared" si="26"/>
        <v>1</v>
      </c>
      <c r="R36" s="91">
        <f>IF(ISBLANK(Data!$A38)=TRUE,"",1)</f>
        <v>1</v>
      </c>
      <c r="S36" s="91">
        <f>IF(ISBLANK(Data!$A38)=TRUE,"",1)</f>
        <v>1</v>
      </c>
      <c r="T36" s="91">
        <f>IF(ISBLANK(Data!$A38)=TRUE,"",1)</f>
        <v>1</v>
      </c>
      <c r="U36" s="105" t="str">
        <f>IF(ISBLANK(Data!$A38)=TRUE,"",Data!U38)</f>
        <v>1-1/8</v>
      </c>
      <c r="V36" s="91">
        <f t="shared" si="27"/>
        <v>1</v>
      </c>
      <c r="W36" s="105" t="str">
        <f>IF(ISBLANK(Data!$A38)=TRUE,"",Data!V38)</f>
        <v>1/2</v>
      </c>
      <c r="X36" s="91">
        <f>IF(ISBLANK(Data!$A38)=TRUE,"",1)</f>
        <v>1</v>
      </c>
      <c r="Y36" s="105">
        <f t="shared" si="23"/>
        <v>1</v>
      </c>
      <c r="Z36" s="105" t="str">
        <f>IF(ISBLANK([1]Data!$A38)=TRUE,"",CONCATENATE(W36," &gt; ",$AC$7))</f>
        <v>1/2 &gt; 3/8"</v>
      </c>
      <c r="AA36" s="105">
        <f t="shared" si="24"/>
        <v>1</v>
      </c>
      <c r="AB36" s="105">
        <f>Data!AC38</f>
        <v>8</v>
      </c>
      <c r="AC36" s="105"/>
      <c r="AD36" s="166">
        <f t="shared" si="28"/>
        <v>8</v>
      </c>
      <c r="AE36" s="105">
        <v>1</v>
      </c>
      <c r="AF36" s="261" t="str">
        <f>Data!S38</f>
        <v>1/2 &gt; 3/8</v>
      </c>
      <c r="AG36" s="261" t="str">
        <f>Data!T38</f>
        <v>7/8 &gt; 1/2</v>
      </c>
      <c r="AH36" s="91"/>
      <c r="AI36" s="91"/>
    </row>
    <row r="37" spans="1:35" x14ac:dyDescent="0.3">
      <c r="A37" s="91" t="str">
        <f>IF(ISBLANK(Data!A39)=TRUE,"",Data!A39)</f>
        <v>DD</v>
      </c>
      <c r="B37" s="91" t="str">
        <f>IF(ISBLANK(Data!A39)=TRUE,"",Data!B39)</f>
        <v>FR 03</v>
      </c>
      <c r="C37" s="97" t="str">
        <f>IF(ISBLANK(Data!A39)=TRUE,"",Data!D39)</f>
        <v>ICE CREAM FREEZER ROOM</v>
      </c>
      <c r="D37" s="91" t="str">
        <f>IF(ISBLANK(Data!A39)=TRUE,"",Data!K39)</f>
        <v>HI 4033-4L</v>
      </c>
      <c r="E37" s="91">
        <f>IF(ISBLANK(Data!A39)=TRUE,"",Data!L39)</f>
        <v>1</v>
      </c>
      <c r="F37" s="91" t="str">
        <f>IF(ISBLANK(Data!A39)=TRUE,"",Data!P39)</f>
        <v>1-3/8</v>
      </c>
      <c r="G37" s="91">
        <f t="shared" si="19"/>
        <v>1</v>
      </c>
      <c r="H37" s="91" t="str">
        <f>IF(ISBLANK(Data!A17)=TRUE,"",Data!Q39)</f>
        <v>1-3/8  &gt;  1-1/8</v>
      </c>
      <c r="I37" s="91">
        <f t="shared" si="20"/>
        <v>1</v>
      </c>
      <c r="J37" s="91" t="str">
        <f>IF(ISBLANK(Data!A17)=TRUE,"",Data!R39)</f>
        <v>1-1/8</v>
      </c>
      <c r="K37" s="91">
        <f t="shared" si="21"/>
        <v>1</v>
      </c>
      <c r="L37" s="91" t="str">
        <f>IF(ISBLANK(Data!A39)=TRUE,"",Data!W39)</f>
        <v>TES 2</v>
      </c>
      <c r="M37" s="91">
        <f t="shared" si="22"/>
        <v>1</v>
      </c>
      <c r="N37" s="91">
        <f>IF(ISBLANK(Data!A39)=TRUE,"",Data!X39)</f>
        <v>6</v>
      </c>
      <c r="O37" s="91">
        <f t="shared" si="25"/>
        <v>1</v>
      </c>
      <c r="P37" s="91" t="str">
        <f>Data!Y39</f>
        <v>1/2 Castel</v>
      </c>
      <c r="Q37" s="91">
        <f t="shared" si="26"/>
        <v>1</v>
      </c>
      <c r="R37" s="91">
        <f>IF(ISBLANK(Data!$A39)=TRUE,"",1)</f>
        <v>1</v>
      </c>
      <c r="S37" s="91">
        <f>IF(ISBLANK(Data!$A39)=TRUE,"",1)</f>
        <v>1</v>
      </c>
      <c r="T37" s="91">
        <f>IF(ISBLANK(Data!$A39)=TRUE,"",1)</f>
        <v>1</v>
      </c>
      <c r="U37" s="105" t="str">
        <f>IF(ISBLANK(Data!$A39)=TRUE,"",Data!U39)</f>
        <v>1-1/8</v>
      </c>
      <c r="V37" s="91">
        <f t="shared" si="27"/>
        <v>1</v>
      </c>
      <c r="W37" s="105" t="str">
        <f>IF(ISBLANK(Data!$A39)=TRUE,"",Data!V39)</f>
        <v>1/2</v>
      </c>
      <c r="X37" s="91">
        <f>IF(ISBLANK(Data!$A39)=TRUE,"",1)</f>
        <v>1</v>
      </c>
      <c r="Y37" s="105">
        <f t="shared" si="23"/>
        <v>1</v>
      </c>
      <c r="Z37" s="105"/>
      <c r="AA37" s="105"/>
      <c r="AB37" s="105">
        <f>Data!AC39</f>
        <v>8</v>
      </c>
      <c r="AC37" s="105"/>
      <c r="AD37" s="166">
        <f t="shared" si="28"/>
        <v>8</v>
      </c>
      <c r="AE37" s="105">
        <v>1</v>
      </c>
      <c r="AF37" s="261" t="str">
        <f>Data!S39</f>
        <v>1/2 &gt; 3/8</v>
      </c>
      <c r="AG37" s="261" t="str">
        <f>Data!T39</f>
        <v>7/8 &gt; 1/2</v>
      </c>
      <c r="AH37" s="91"/>
      <c r="AI37" s="91"/>
    </row>
    <row r="38" spans="1:35" x14ac:dyDescent="0.3">
      <c r="A38" s="91" t="str">
        <f>IF(ISBLANK(Data!A40)=TRUE,"",Data!A40)</f>
        <v>EE</v>
      </c>
      <c r="B38" s="91" t="str">
        <f>IF(ISBLANK(Data!A40)=TRUE,"",Data!B40)</f>
        <v>FR 04</v>
      </c>
      <c r="C38" s="97" t="str">
        <f>IF(ISBLANK(Data!A40)=TRUE,"",Data!D40)</f>
        <v>BAKERY FREEZER ROOM</v>
      </c>
      <c r="D38" s="91" t="str">
        <f>IF(ISBLANK(Data!A40)=TRUE,"",Data!K40)</f>
        <v>HI 3034-4L</v>
      </c>
      <c r="E38" s="91">
        <f>IF(ISBLANK(Data!A40)=TRUE,"",Data!L40)</f>
        <v>1</v>
      </c>
      <c r="F38" s="91" t="str">
        <f>IF(ISBLANK(Data!A40)=TRUE,"",Data!P40)</f>
        <v>7/8</v>
      </c>
      <c r="G38" s="91">
        <f t="shared" ref="G38" si="29">E38</f>
        <v>1</v>
      </c>
      <c r="H38" s="91" t="str">
        <f>IF(ISBLANK(Data!A18)=TRUE,"",Data!Q40)</f>
        <v>1-1/8  &gt;  7/8</v>
      </c>
      <c r="I38" s="91">
        <f t="shared" ref="I38" si="30">IF(H38="NONE",0,E38)</f>
        <v>1</v>
      </c>
      <c r="J38" s="91" t="str">
        <f>IF(ISBLANK(Data!A18)=TRUE,"",Data!R40)</f>
        <v>1-1/8</v>
      </c>
      <c r="K38" s="91">
        <f t="shared" ref="K38" si="31">IF(J38="NONE",0,E38)</f>
        <v>1</v>
      </c>
      <c r="L38" s="91" t="str">
        <f>IF(ISBLANK(Data!A40)=TRUE,"",Data!W40)</f>
        <v>TES 2</v>
      </c>
      <c r="M38" s="91">
        <f t="shared" ref="M38" si="32">E38</f>
        <v>1</v>
      </c>
      <c r="N38" s="91">
        <f>IF(ISBLANK(Data!A40)=TRUE,"",Data!X40)</f>
        <v>3</v>
      </c>
      <c r="O38" s="91">
        <f t="shared" si="25"/>
        <v>1</v>
      </c>
      <c r="P38" s="91" t="str">
        <f>Data!Y40</f>
        <v>1/2 Castel</v>
      </c>
      <c r="Q38" s="91">
        <f t="shared" ref="Q38" si="33">E38</f>
        <v>1</v>
      </c>
      <c r="R38" s="91">
        <f>IF(ISBLANK(Data!$A40)=TRUE,"",1)</f>
        <v>1</v>
      </c>
      <c r="S38" s="91">
        <f>IF(ISBLANK(Data!$A40)=TRUE,"",1)</f>
        <v>1</v>
      </c>
      <c r="T38" s="91">
        <f>IF(ISBLANK(Data!$A40)=TRUE,"",1)</f>
        <v>1</v>
      </c>
      <c r="U38" s="105" t="str">
        <f>IF(ISBLANK(Data!$A40)=TRUE,"",Data!U40)</f>
        <v>1-1/8</v>
      </c>
      <c r="V38" s="91">
        <f t="shared" si="27"/>
        <v>1</v>
      </c>
      <c r="W38" s="105" t="str">
        <f>IF(ISBLANK(Data!$A40)=TRUE,"",Data!V40)</f>
        <v>1/2</v>
      </c>
      <c r="X38" s="91">
        <f>IF(ISBLANK(Data!$A40)=TRUE,"",1)</f>
        <v>1</v>
      </c>
      <c r="Y38" s="105">
        <f t="shared" ref="Y38" si="34">E38</f>
        <v>1</v>
      </c>
      <c r="Z38" s="105"/>
      <c r="AA38" s="105"/>
      <c r="AB38" s="105">
        <f>Data!AC40</f>
        <v>8</v>
      </c>
      <c r="AC38" s="105"/>
      <c r="AD38" s="166">
        <f t="shared" ref="AD38" si="35">AB38</f>
        <v>8</v>
      </c>
      <c r="AE38" s="105">
        <v>2</v>
      </c>
      <c r="AF38" s="261" t="str">
        <f>Data!S40</f>
        <v>1/2 &gt; 3/8</v>
      </c>
      <c r="AG38" s="261" t="str">
        <f>Data!T40</f>
        <v>5/8 &gt; 1/2</v>
      </c>
      <c r="AH38" s="91"/>
      <c r="AI38" s="91"/>
    </row>
    <row r="39" spans="1:35" x14ac:dyDescent="0.3">
      <c r="A39" s="91" t="str">
        <f>IF(ISBLANK([1]Data!A41)=TRUE,"",[1]Data!A41)</f>
        <v/>
      </c>
      <c r="B39" s="91" t="str">
        <f>IF(ISBLANK([1]Data!A41)=TRUE,"",[1]Data!B41)</f>
        <v/>
      </c>
      <c r="C39" s="97" t="str">
        <f>IF(ISBLANK([1]Data!A41)=TRUE,"",[1]Data!D41)</f>
        <v/>
      </c>
      <c r="D39" s="91" t="str">
        <f>IF(ISBLANK([1]Data!A41)=TRUE,"",[1]Data!K41)</f>
        <v/>
      </c>
      <c r="E39" s="91" t="str">
        <f>IF(ISBLANK([1]Data!A41)=TRUE,"",[1]Data!L41)</f>
        <v/>
      </c>
      <c r="F39" s="91" t="str">
        <f>IF(ISBLANK([1]Data!A41)=TRUE,"",[1]Data!P41)</f>
        <v/>
      </c>
      <c r="G39" s="91" t="str">
        <f t="shared" ref="G39:G48" si="36">E39</f>
        <v/>
      </c>
      <c r="H39" s="91" t="str">
        <f>IF(ISBLANK([1]Data!A19)=TRUE,"",[1]Data!Q41)</f>
        <v/>
      </c>
      <c r="I39" s="91" t="str">
        <f t="shared" ref="I39:I48" si="37">IF(H39="NONE",0,E39)</f>
        <v/>
      </c>
      <c r="J39" s="91" t="str">
        <f>IF(ISBLANK([1]Data!A19)=TRUE,"",[1]Data!R41)</f>
        <v/>
      </c>
      <c r="K39" s="91" t="str">
        <f t="shared" ref="K39:K48" si="38">IF(J39="NONE",0,E39)</f>
        <v/>
      </c>
      <c r="L39" s="91" t="str">
        <f>IF(ISBLANK([1]Data!A41)=TRUE,"",[1]Data!W41)</f>
        <v/>
      </c>
      <c r="M39" s="91" t="str">
        <f t="shared" ref="M39:M48" si="39">E39</f>
        <v/>
      </c>
      <c r="N39" s="91" t="str">
        <f>IF(ISBLANK([1]Data!A41)=TRUE,"",[1]Data!X41)</f>
        <v/>
      </c>
      <c r="O39" s="91" t="str">
        <f t="shared" ref="O39:O48" si="40">$E39</f>
        <v/>
      </c>
      <c r="P39" s="91" t="str">
        <f>IF(ISBLANK([1]Data!A19)=TRUE,"",[1]Data!Y41)</f>
        <v/>
      </c>
      <c r="Q39" s="91" t="str">
        <f>IF(ISBLANK([1]Data!$A41)=TRUE,"",1)</f>
        <v/>
      </c>
      <c r="R39" s="91" t="str">
        <f>IF(ISBLANK([1]Data!$A41)=TRUE,"",1)</f>
        <v/>
      </c>
      <c r="S39" s="91" t="str">
        <f>IF(ISBLANK([1]Data!$A41)=TRUE,"",1)</f>
        <v/>
      </c>
      <c r="T39" s="91"/>
      <c r="U39" s="105" t="str">
        <f>IF(ISBLANK([1]Data!$A41)=TRUE,"",[1]Data!U41)</f>
        <v/>
      </c>
      <c r="V39" s="91" t="str">
        <f t="shared" si="27"/>
        <v/>
      </c>
      <c r="W39" s="105" t="str">
        <f>IF(ISBLANK([1]Data!$A41)=TRUE,"",[1]Data!V41)</f>
        <v/>
      </c>
      <c r="X39" s="91" t="str">
        <f>IF(ISBLANK([1]Data!$A41)=TRUE,"",1)</f>
        <v/>
      </c>
      <c r="Y39" s="105" t="str">
        <f t="shared" si="23"/>
        <v/>
      </c>
      <c r="Z39" s="105" t="str">
        <f>IF(ISBLANK([1]Data!$A41)=TRUE,"",CONCATENATE(W39," &gt; ",$AC$7))</f>
        <v/>
      </c>
      <c r="AA39" s="105" t="str">
        <f t="shared" si="24"/>
        <v/>
      </c>
      <c r="AB39" s="105" t="str">
        <f>[1]Data!AD41</f>
        <v/>
      </c>
      <c r="AC39" s="105"/>
      <c r="AD39" s="166" t="str">
        <f t="shared" ref="AD39:AD48" si="41">AB39</f>
        <v/>
      </c>
      <c r="AE39" s="105"/>
      <c r="AF39" s="91"/>
      <c r="AG39" s="91"/>
      <c r="AH39" s="91"/>
      <c r="AI39" s="91"/>
    </row>
    <row r="40" spans="1:35" x14ac:dyDescent="0.3">
      <c r="A40" s="91" t="str">
        <f>IF(ISBLANK([1]Data!A42)=TRUE,"",[1]Data!A42)</f>
        <v/>
      </c>
      <c r="B40" s="91" t="str">
        <f>IF(ISBLANK([1]Data!A42)=TRUE,"",[1]Data!B42)</f>
        <v/>
      </c>
      <c r="C40" s="97" t="str">
        <f>IF(ISBLANK([1]Data!A42)=TRUE,"",[1]Data!D42)</f>
        <v/>
      </c>
      <c r="D40" s="91" t="str">
        <f>IF(ISBLANK([1]Data!A42)=TRUE,"",[1]Data!K42)</f>
        <v/>
      </c>
      <c r="E40" s="91" t="str">
        <f>IF(ISBLANK([1]Data!A42)=TRUE,"",[1]Data!L42)</f>
        <v/>
      </c>
      <c r="F40" s="91" t="str">
        <f>IF(ISBLANK([1]Data!A42)=TRUE,"",[1]Data!P42)</f>
        <v/>
      </c>
      <c r="G40" s="91" t="str">
        <f t="shared" si="36"/>
        <v/>
      </c>
      <c r="H40" s="91" t="str">
        <f>IF(ISBLANK([1]Data!A20)=TRUE,"",[1]Data!Q42)</f>
        <v/>
      </c>
      <c r="I40" s="91" t="str">
        <f t="shared" si="37"/>
        <v/>
      </c>
      <c r="J40" s="91" t="str">
        <f>IF(ISBLANK([1]Data!A20)=TRUE,"",[1]Data!R42)</f>
        <v/>
      </c>
      <c r="K40" s="91" t="str">
        <f t="shared" si="38"/>
        <v/>
      </c>
      <c r="L40" s="91" t="str">
        <f>IF(ISBLANK([1]Data!A42)=TRUE,"",[1]Data!W42)</f>
        <v/>
      </c>
      <c r="M40" s="91" t="str">
        <f t="shared" si="39"/>
        <v/>
      </c>
      <c r="N40" s="91" t="str">
        <f>IF(ISBLANK([1]Data!A42)=TRUE,"",[1]Data!X42)</f>
        <v/>
      </c>
      <c r="O40" s="91" t="str">
        <f t="shared" si="40"/>
        <v/>
      </c>
      <c r="P40" s="91" t="str">
        <f>IF(ISBLANK([1]Data!A20)=TRUE,"",[1]Data!Y42)</f>
        <v/>
      </c>
      <c r="Q40" s="91" t="str">
        <f>IF(ISBLANK([1]Data!$A42)=TRUE,"",1)</f>
        <v/>
      </c>
      <c r="R40" s="91" t="str">
        <f>IF(ISBLANK([1]Data!$A42)=TRUE,"",1)</f>
        <v/>
      </c>
      <c r="S40" s="91" t="str">
        <f>IF(ISBLANK([1]Data!$A42)=TRUE,"",1)</f>
        <v/>
      </c>
      <c r="T40" s="91"/>
      <c r="U40" s="105" t="str">
        <f>IF(ISBLANK([1]Data!$A42)=TRUE,"",[1]Data!U42)</f>
        <v/>
      </c>
      <c r="V40" s="91" t="str">
        <f t="shared" si="27"/>
        <v/>
      </c>
      <c r="W40" s="105" t="str">
        <f>IF(ISBLANK([1]Data!$A42)=TRUE,"",[1]Data!V42)</f>
        <v/>
      </c>
      <c r="X40" s="91" t="str">
        <f>IF(ISBLANK([1]Data!$A42)=TRUE,"",1)</f>
        <v/>
      </c>
      <c r="Y40" s="105" t="str">
        <f t="shared" si="23"/>
        <v/>
      </c>
      <c r="Z40" s="105" t="str">
        <f>IF(ISBLANK([1]Data!$A42)=TRUE,"",CONCATENATE(W40," &gt; ",$AC$7))</f>
        <v/>
      </c>
      <c r="AA40" s="105" t="str">
        <f t="shared" si="24"/>
        <v/>
      </c>
      <c r="AB40" s="105" t="str">
        <f>[1]Data!AD42</f>
        <v/>
      </c>
      <c r="AC40" s="105"/>
      <c r="AD40" s="166" t="str">
        <f t="shared" si="41"/>
        <v/>
      </c>
      <c r="AE40" s="105" t="str">
        <f t="shared" ref="AE40:AE48" si="42">M40</f>
        <v/>
      </c>
      <c r="AF40" s="91"/>
      <c r="AG40" s="91"/>
      <c r="AH40" s="91"/>
      <c r="AI40" s="91"/>
    </row>
    <row r="41" spans="1:35" x14ac:dyDescent="0.3">
      <c r="A41" s="91" t="str">
        <f>IF(ISBLANK([1]Data!A43)=TRUE,"",[1]Data!A43)</f>
        <v/>
      </c>
      <c r="B41" s="91" t="str">
        <f>IF(ISBLANK([1]Data!A43)=TRUE,"",[1]Data!B43)</f>
        <v/>
      </c>
      <c r="C41" s="97" t="str">
        <f>IF(ISBLANK([1]Data!A43)=TRUE,"",[1]Data!D43)</f>
        <v/>
      </c>
      <c r="D41" s="91" t="str">
        <f>IF(ISBLANK([1]Data!A43)=TRUE,"",[1]Data!K43)</f>
        <v/>
      </c>
      <c r="E41" s="91" t="str">
        <f>IF(ISBLANK([1]Data!A43)=TRUE,"",[1]Data!L43)</f>
        <v/>
      </c>
      <c r="F41" s="91" t="str">
        <f>IF(ISBLANK([1]Data!A43)=TRUE,"",[1]Data!P43)</f>
        <v/>
      </c>
      <c r="G41" s="91" t="str">
        <f t="shared" si="36"/>
        <v/>
      </c>
      <c r="H41" s="91" t="str">
        <f>IF(ISBLANK([1]Data!A21)=TRUE,"",[1]Data!Q43)</f>
        <v/>
      </c>
      <c r="I41" s="91" t="str">
        <f t="shared" si="37"/>
        <v/>
      </c>
      <c r="J41" s="91" t="str">
        <f>IF(ISBLANK([1]Data!A21)=TRUE,"",[1]Data!R43)</f>
        <v/>
      </c>
      <c r="K41" s="91" t="str">
        <f t="shared" si="38"/>
        <v/>
      </c>
      <c r="L41" s="91" t="str">
        <f>IF(ISBLANK([1]Data!A43)=TRUE,"",[1]Data!W43)</f>
        <v/>
      </c>
      <c r="M41" s="91" t="str">
        <f t="shared" si="39"/>
        <v/>
      </c>
      <c r="N41" s="91" t="str">
        <f>IF(ISBLANK([1]Data!A43)=TRUE,"",[1]Data!X43)</f>
        <v/>
      </c>
      <c r="O41" s="91" t="str">
        <f t="shared" si="40"/>
        <v/>
      </c>
      <c r="P41" s="91" t="str">
        <f>IF(ISBLANK([1]Data!A21)=TRUE,"",[1]Data!Y43)</f>
        <v/>
      </c>
      <c r="Q41" s="91" t="str">
        <f>IF(ISBLANK([1]Data!$A43)=TRUE,"",1)</f>
        <v/>
      </c>
      <c r="R41" s="91" t="str">
        <f>IF(ISBLANK([1]Data!$A43)=TRUE,"",1)</f>
        <v/>
      </c>
      <c r="S41" s="91" t="str">
        <f>IF(ISBLANK([1]Data!$A43)=TRUE,"",1)</f>
        <v/>
      </c>
      <c r="T41" s="91"/>
      <c r="U41" s="105" t="str">
        <f>IF(ISBLANK([1]Data!$A43)=TRUE,"",[1]Data!U43)</f>
        <v/>
      </c>
      <c r="V41" s="91" t="str">
        <f t="shared" si="27"/>
        <v/>
      </c>
      <c r="W41" s="105" t="str">
        <f>IF(ISBLANK([1]Data!$A43)=TRUE,"",[1]Data!V43)</f>
        <v/>
      </c>
      <c r="X41" s="91" t="str">
        <f>IF(ISBLANK([1]Data!$A43)=TRUE,"",1)</f>
        <v/>
      </c>
      <c r="Y41" s="105" t="str">
        <f t="shared" si="23"/>
        <v/>
      </c>
      <c r="Z41" s="105" t="str">
        <f>IF(ISBLANK([1]Data!$A43)=TRUE,"",CONCATENATE(W41," &gt; ",$AC$7))</f>
        <v/>
      </c>
      <c r="AA41" s="105" t="str">
        <f t="shared" si="24"/>
        <v/>
      </c>
      <c r="AB41" s="105" t="str">
        <f>[1]Data!AD43</f>
        <v/>
      </c>
      <c r="AC41" s="105"/>
      <c r="AD41" s="166" t="str">
        <f t="shared" si="41"/>
        <v/>
      </c>
      <c r="AE41" s="105" t="str">
        <f t="shared" si="42"/>
        <v/>
      </c>
      <c r="AF41" s="91"/>
      <c r="AG41" s="91"/>
      <c r="AH41" s="91"/>
      <c r="AI41" s="91"/>
    </row>
    <row r="42" spans="1:35" x14ac:dyDescent="0.3">
      <c r="A42" s="91" t="str">
        <f>IF(ISBLANK([1]Data!A44)=TRUE,"",[1]Data!A44)</f>
        <v/>
      </c>
      <c r="B42" s="91" t="str">
        <f>IF(ISBLANK([1]Data!A44)=TRUE,"",[1]Data!B44)</f>
        <v/>
      </c>
      <c r="C42" s="97" t="str">
        <f>IF(ISBLANK([1]Data!A44)=TRUE,"",[1]Data!D44)</f>
        <v/>
      </c>
      <c r="D42" s="91" t="str">
        <f>IF(ISBLANK([1]Data!A44)=TRUE,"",[1]Data!K44)</f>
        <v/>
      </c>
      <c r="E42" s="91" t="str">
        <f>IF(ISBLANK([1]Data!A44)=TRUE,"",[1]Data!L44)</f>
        <v/>
      </c>
      <c r="F42" s="91" t="str">
        <f>IF(ISBLANK([1]Data!A44)=TRUE,"",[1]Data!P44)</f>
        <v/>
      </c>
      <c r="G42" s="91" t="str">
        <f t="shared" si="36"/>
        <v/>
      </c>
      <c r="H42" s="91" t="str">
        <f>IF(ISBLANK([1]Data!A22)=TRUE,"",[1]Data!Q44)</f>
        <v/>
      </c>
      <c r="I42" s="91" t="str">
        <f t="shared" si="37"/>
        <v/>
      </c>
      <c r="J42" s="91" t="str">
        <f>IF(ISBLANK([1]Data!A22)=TRUE,"",[1]Data!R44)</f>
        <v/>
      </c>
      <c r="K42" s="91" t="str">
        <f t="shared" si="38"/>
        <v/>
      </c>
      <c r="L42" s="91" t="str">
        <f>IF(ISBLANK([1]Data!A44)=TRUE,"",[1]Data!W44)</f>
        <v/>
      </c>
      <c r="M42" s="91" t="str">
        <f t="shared" si="39"/>
        <v/>
      </c>
      <c r="N42" s="91" t="str">
        <f>IF(ISBLANK([1]Data!A44)=TRUE,"",[1]Data!X44)</f>
        <v/>
      </c>
      <c r="O42" s="91" t="str">
        <f t="shared" si="40"/>
        <v/>
      </c>
      <c r="P42" s="91" t="str">
        <f>IF(ISBLANK([1]Data!A22)=TRUE,"",[1]Data!Y44)</f>
        <v/>
      </c>
      <c r="Q42" s="91" t="str">
        <f>IF(ISBLANK([1]Data!$A44)=TRUE,"",1)</f>
        <v/>
      </c>
      <c r="R42" s="91" t="str">
        <f>IF(ISBLANK([1]Data!$A44)=TRUE,"",1)</f>
        <v/>
      </c>
      <c r="S42" s="91" t="str">
        <f>IF(ISBLANK([1]Data!$A44)=TRUE,"",1)</f>
        <v/>
      </c>
      <c r="T42" s="91"/>
      <c r="U42" s="105" t="str">
        <f>IF(ISBLANK([1]Data!$A44)=TRUE,"",[1]Data!U44)</f>
        <v/>
      </c>
      <c r="V42" s="91" t="str">
        <f t="shared" si="27"/>
        <v/>
      </c>
      <c r="W42" s="105" t="str">
        <f>IF(ISBLANK([1]Data!$A44)=TRUE,"",[1]Data!V44)</f>
        <v/>
      </c>
      <c r="X42" s="91" t="str">
        <f>IF(ISBLANK([1]Data!$A44)=TRUE,"",1)</f>
        <v/>
      </c>
      <c r="Y42" s="105" t="str">
        <f t="shared" si="23"/>
        <v/>
      </c>
      <c r="Z42" s="105" t="str">
        <f>IF(ISBLANK([1]Data!$A44)=TRUE,"",CONCATENATE(W42," &gt; ",$AC$7))</f>
        <v/>
      </c>
      <c r="AA42" s="105" t="str">
        <f t="shared" si="24"/>
        <v/>
      </c>
      <c r="AB42" s="105" t="str">
        <f>[1]Data!AD44</f>
        <v/>
      </c>
      <c r="AC42" s="105"/>
      <c r="AD42" s="166" t="str">
        <f t="shared" si="41"/>
        <v/>
      </c>
      <c r="AE42" s="105" t="str">
        <f t="shared" si="42"/>
        <v/>
      </c>
      <c r="AF42" s="91"/>
      <c r="AG42" s="91"/>
      <c r="AH42" s="91"/>
      <c r="AI42" s="91"/>
    </row>
    <row r="43" spans="1:35" x14ac:dyDescent="0.3">
      <c r="A43" s="91" t="str">
        <f>IF(ISBLANK([1]Data!A45)=TRUE,"",[1]Data!A45)</f>
        <v/>
      </c>
      <c r="B43" s="91" t="str">
        <f>IF(ISBLANK([1]Data!A45)=TRUE,"",[1]Data!B45)</f>
        <v/>
      </c>
      <c r="C43" s="97" t="str">
        <f>IF(ISBLANK([1]Data!A45)=TRUE,"",[1]Data!D45)</f>
        <v/>
      </c>
      <c r="D43" s="91" t="str">
        <f>IF(ISBLANK([1]Data!A45)=TRUE,"",[1]Data!K45)</f>
        <v/>
      </c>
      <c r="E43" s="91" t="str">
        <f>IF(ISBLANK([1]Data!A45)=TRUE,"",[1]Data!L45)</f>
        <v/>
      </c>
      <c r="F43" s="91" t="str">
        <f>IF(ISBLANK([1]Data!A45)=TRUE,"",[1]Data!P45)</f>
        <v/>
      </c>
      <c r="G43" s="91" t="str">
        <f t="shared" si="36"/>
        <v/>
      </c>
      <c r="H43" s="91" t="str">
        <f>IF(ISBLANK([1]Data!A23)=TRUE,"",[1]Data!Q45)</f>
        <v/>
      </c>
      <c r="I43" s="91" t="str">
        <f t="shared" si="37"/>
        <v/>
      </c>
      <c r="J43" s="91" t="str">
        <f>IF(ISBLANK([1]Data!A23)=TRUE,"",[1]Data!R45)</f>
        <v/>
      </c>
      <c r="K43" s="91" t="str">
        <f t="shared" si="38"/>
        <v/>
      </c>
      <c r="L43" s="91" t="str">
        <f>IF(ISBLANK([1]Data!A45)=TRUE,"",[1]Data!W45)</f>
        <v/>
      </c>
      <c r="M43" s="91" t="str">
        <f t="shared" si="39"/>
        <v/>
      </c>
      <c r="N43" s="91" t="str">
        <f>IF(ISBLANK([1]Data!A45)=TRUE,"",[1]Data!X45)</f>
        <v/>
      </c>
      <c r="O43" s="91" t="str">
        <f t="shared" si="40"/>
        <v/>
      </c>
      <c r="P43" s="91" t="str">
        <f>IF(ISBLANK([1]Data!A23)=TRUE,"",[1]Data!Y45)</f>
        <v/>
      </c>
      <c r="Q43" s="91" t="str">
        <f>IF(ISBLANK([1]Data!$A45)=TRUE,"",1)</f>
        <v/>
      </c>
      <c r="R43" s="91" t="str">
        <f>IF(ISBLANK([1]Data!$A45)=TRUE,"",1)</f>
        <v/>
      </c>
      <c r="S43" s="91" t="str">
        <f>IF(ISBLANK([1]Data!$A45)=TRUE,"",1)</f>
        <v/>
      </c>
      <c r="T43" s="91"/>
      <c r="U43" s="105" t="str">
        <f>IF(ISBLANK([1]Data!$A45)=TRUE,"",[1]Data!U45)</f>
        <v/>
      </c>
      <c r="V43" s="91" t="str">
        <f t="shared" si="27"/>
        <v/>
      </c>
      <c r="W43" s="105" t="str">
        <f>IF(ISBLANK([1]Data!$A45)=TRUE,"",[1]Data!V45)</f>
        <v/>
      </c>
      <c r="X43" s="91" t="str">
        <f>IF(ISBLANK([1]Data!$A45)=TRUE,"",1)</f>
        <v/>
      </c>
      <c r="Y43" s="105" t="str">
        <f t="shared" si="23"/>
        <v/>
      </c>
      <c r="Z43" s="105" t="str">
        <f>IF(ISBLANK([1]Data!$A45)=TRUE,"",CONCATENATE(W43," &gt; ",$AC$7))</f>
        <v/>
      </c>
      <c r="AA43" s="105" t="str">
        <f t="shared" si="24"/>
        <v/>
      </c>
      <c r="AB43" s="105" t="str">
        <f>[1]Data!AD45</f>
        <v/>
      </c>
      <c r="AC43" s="105"/>
      <c r="AD43" s="166" t="str">
        <f t="shared" si="41"/>
        <v/>
      </c>
      <c r="AE43" s="105" t="str">
        <f t="shared" si="42"/>
        <v/>
      </c>
      <c r="AF43" s="91"/>
      <c r="AG43" s="91"/>
      <c r="AH43" s="91"/>
      <c r="AI43" s="91"/>
    </row>
    <row r="44" spans="1:35" x14ac:dyDescent="0.3">
      <c r="A44" s="91" t="str">
        <f>IF(ISBLANK([1]Data!A46)=TRUE,"",[1]Data!A46)</f>
        <v/>
      </c>
      <c r="B44" s="91" t="str">
        <f>IF(ISBLANK([1]Data!A46)=TRUE,"",[1]Data!B46)</f>
        <v/>
      </c>
      <c r="C44" s="97" t="str">
        <f>IF(ISBLANK([1]Data!A46)=TRUE,"",[1]Data!D46)</f>
        <v/>
      </c>
      <c r="D44" s="91" t="str">
        <f>IF(ISBLANK([1]Data!A46)=TRUE,"",[1]Data!K46)</f>
        <v/>
      </c>
      <c r="E44" s="91" t="str">
        <f>IF(ISBLANK([1]Data!A46)=TRUE,"",[1]Data!L46)</f>
        <v/>
      </c>
      <c r="F44" s="91" t="str">
        <f>IF(ISBLANK([1]Data!A46)=TRUE,"",[1]Data!P46)</f>
        <v/>
      </c>
      <c r="G44" s="91" t="str">
        <f t="shared" si="36"/>
        <v/>
      </c>
      <c r="H44" s="91" t="str">
        <f>IF(ISBLANK([1]Data!A24)=TRUE,"",[1]Data!Q46)</f>
        <v/>
      </c>
      <c r="I44" s="91" t="str">
        <f t="shared" si="37"/>
        <v/>
      </c>
      <c r="J44" s="91" t="str">
        <f>IF(ISBLANK([1]Data!A24)=TRUE,"",[1]Data!R46)</f>
        <v/>
      </c>
      <c r="K44" s="91" t="str">
        <f t="shared" si="38"/>
        <v/>
      </c>
      <c r="L44" s="91" t="str">
        <f>IF(ISBLANK([1]Data!A46)=TRUE,"",[1]Data!W46)</f>
        <v/>
      </c>
      <c r="M44" s="91" t="str">
        <f t="shared" si="39"/>
        <v/>
      </c>
      <c r="N44" s="91" t="str">
        <f>IF(ISBLANK([1]Data!A46)=TRUE,"",[1]Data!X46)</f>
        <v/>
      </c>
      <c r="O44" s="91" t="str">
        <f t="shared" si="40"/>
        <v/>
      </c>
      <c r="P44" s="91" t="str">
        <f>IF(ISBLANK([1]Data!A24)=TRUE,"",[1]Data!Y46)</f>
        <v/>
      </c>
      <c r="Q44" s="91" t="str">
        <f>IF(ISBLANK([1]Data!$A46)=TRUE,"",1)</f>
        <v/>
      </c>
      <c r="R44" s="91" t="str">
        <f>IF(ISBLANK([1]Data!$A46)=TRUE,"",1)</f>
        <v/>
      </c>
      <c r="S44" s="91" t="str">
        <f>IF(ISBLANK([1]Data!$A46)=TRUE,"",1)</f>
        <v/>
      </c>
      <c r="T44" s="91"/>
      <c r="U44" s="105" t="str">
        <f>IF(ISBLANK([1]Data!$A46)=TRUE,"",[1]Data!U46)</f>
        <v/>
      </c>
      <c r="V44" s="91" t="str">
        <f t="shared" si="27"/>
        <v/>
      </c>
      <c r="W44" s="105" t="str">
        <f>IF(ISBLANK([1]Data!$A46)=TRUE,"",[1]Data!V46)</f>
        <v/>
      </c>
      <c r="X44" s="91" t="str">
        <f>IF(ISBLANK([1]Data!$A46)=TRUE,"",1)</f>
        <v/>
      </c>
      <c r="Y44" s="105" t="str">
        <f t="shared" si="23"/>
        <v/>
      </c>
      <c r="Z44" s="105" t="str">
        <f>IF(ISBLANK([1]Data!$A46)=TRUE,"",CONCATENATE(W44," &gt; ",$AC$7))</f>
        <v/>
      </c>
      <c r="AA44" s="105" t="str">
        <f t="shared" si="24"/>
        <v/>
      </c>
      <c r="AB44" s="105" t="str">
        <f>[1]Data!AD46</f>
        <v/>
      </c>
      <c r="AC44" s="105"/>
      <c r="AD44" s="166" t="str">
        <f t="shared" si="41"/>
        <v/>
      </c>
      <c r="AE44" s="105" t="str">
        <f t="shared" si="42"/>
        <v/>
      </c>
      <c r="AF44" s="91"/>
      <c r="AG44" s="91"/>
      <c r="AH44" s="91"/>
      <c r="AI44" s="91"/>
    </row>
    <row r="45" spans="1:35" x14ac:dyDescent="0.3">
      <c r="A45" s="91" t="str">
        <f>IF(ISBLANK([1]Data!A47)=TRUE,"",[1]Data!A47)</f>
        <v/>
      </c>
      <c r="B45" s="91" t="str">
        <f>IF(ISBLANK([1]Data!A47)=TRUE,"",[1]Data!B47)</f>
        <v/>
      </c>
      <c r="C45" s="97" t="str">
        <f>IF(ISBLANK([1]Data!A47)=TRUE,"",[1]Data!D47)</f>
        <v/>
      </c>
      <c r="D45" s="91" t="str">
        <f>IF(ISBLANK([1]Data!A47)=TRUE,"",[1]Data!K47)</f>
        <v/>
      </c>
      <c r="E45" s="91" t="str">
        <f>IF(ISBLANK([1]Data!A47)=TRUE,"",[1]Data!L47)</f>
        <v/>
      </c>
      <c r="F45" s="91" t="str">
        <f>IF(ISBLANK([1]Data!A47)=TRUE,"",[1]Data!P47)</f>
        <v/>
      </c>
      <c r="G45" s="91" t="str">
        <f t="shared" si="36"/>
        <v/>
      </c>
      <c r="H45" s="91" t="str">
        <f>IF(ISBLANK([1]Data!A25)=TRUE,"",[1]Data!Q47)</f>
        <v/>
      </c>
      <c r="I45" s="91" t="str">
        <f t="shared" si="37"/>
        <v/>
      </c>
      <c r="J45" s="91" t="str">
        <f>IF(ISBLANK([1]Data!A25)=TRUE,"",[1]Data!R47)</f>
        <v/>
      </c>
      <c r="K45" s="91" t="str">
        <f t="shared" si="38"/>
        <v/>
      </c>
      <c r="L45" s="91" t="str">
        <f>IF(ISBLANK([1]Data!A47)=TRUE,"",[1]Data!W47)</f>
        <v/>
      </c>
      <c r="M45" s="91" t="str">
        <f t="shared" si="39"/>
        <v/>
      </c>
      <c r="N45" s="91" t="str">
        <f>IF(ISBLANK([1]Data!A47)=TRUE,"",[1]Data!X47)</f>
        <v/>
      </c>
      <c r="O45" s="91" t="str">
        <f t="shared" si="40"/>
        <v/>
      </c>
      <c r="P45" s="91" t="str">
        <f>IF(ISBLANK([1]Data!A25)=TRUE,"",[1]Data!Y47)</f>
        <v/>
      </c>
      <c r="Q45" s="91" t="str">
        <f>IF(ISBLANK([1]Data!$A47)=TRUE,"",1)</f>
        <v/>
      </c>
      <c r="R45" s="91" t="str">
        <f>IF(ISBLANK([1]Data!$A47)=TRUE,"",1)</f>
        <v/>
      </c>
      <c r="S45" s="91" t="str">
        <f>IF(ISBLANK([1]Data!$A47)=TRUE,"",1)</f>
        <v/>
      </c>
      <c r="T45" s="91"/>
      <c r="U45" s="105" t="str">
        <f>IF(ISBLANK([1]Data!$A47)=TRUE,"",[1]Data!U47)</f>
        <v/>
      </c>
      <c r="V45" s="91" t="str">
        <f t="shared" si="27"/>
        <v/>
      </c>
      <c r="W45" s="105" t="str">
        <f>IF(ISBLANK([1]Data!$A47)=TRUE,"",[1]Data!V47)</f>
        <v/>
      </c>
      <c r="X45" s="91" t="str">
        <f>IF(ISBLANK([1]Data!$A47)=TRUE,"",1)</f>
        <v/>
      </c>
      <c r="Y45" s="105" t="str">
        <f t="shared" si="23"/>
        <v/>
      </c>
      <c r="Z45" s="105" t="str">
        <f>IF(ISBLANK([1]Data!$A47)=TRUE,"",CONCATENATE(W45," &gt; ",$AC$7))</f>
        <v/>
      </c>
      <c r="AA45" s="105" t="str">
        <f t="shared" si="24"/>
        <v/>
      </c>
      <c r="AB45" s="105" t="str">
        <f>[1]Data!AD47</f>
        <v/>
      </c>
      <c r="AC45" s="105"/>
      <c r="AD45" s="166" t="str">
        <f t="shared" si="41"/>
        <v/>
      </c>
      <c r="AE45" s="105" t="str">
        <f t="shared" si="42"/>
        <v/>
      </c>
      <c r="AF45" s="91"/>
      <c r="AG45" s="91"/>
      <c r="AH45" s="91"/>
      <c r="AI45" s="91"/>
    </row>
    <row r="46" spans="1:35" x14ac:dyDescent="0.3">
      <c r="A46" s="91" t="str">
        <f>IF(ISBLANK([1]Data!A48)=TRUE,"",[1]Data!A48)</f>
        <v/>
      </c>
      <c r="B46" s="91" t="str">
        <f>IF(ISBLANK([1]Data!A48)=TRUE,"",[1]Data!B48)</f>
        <v/>
      </c>
      <c r="C46" s="97" t="str">
        <f>IF(ISBLANK([1]Data!A48)=TRUE,"",[1]Data!D48)</f>
        <v/>
      </c>
      <c r="D46" s="91" t="str">
        <f>IF(ISBLANK([1]Data!A48)=TRUE,"",[1]Data!K48)</f>
        <v/>
      </c>
      <c r="E46" s="91" t="str">
        <f>IF(ISBLANK([1]Data!A48)=TRUE,"",[1]Data!L48)</f>
        <v/>
      </c>
      <c r="F46" s="91" t="str">
        <f>IF(ISBLANK([1]Data!A48)=TRUE,"",[1]Data!P48)</f>
        <v/>
      </c>
      <c r="G46" s="91" t="str">
        <f t="shared" si="36"/>
        <v/>
      </c>
      <c r="H46" s="91" t="str">
        <f>IF(ISBLANK([1]Data!A26)=TRUE,"",[1]Data!Q48)</f>
        <v/>
      </c>
      <c r="I46" s="91" t="str">
        <f t="shared" si="37"/>
        <v/>
      </c>
      <c r="J46" s="91" t="str">
        <f>IF(ISBLANK([1]Data!A26)=TRUE,"",[1]Data!R48)</f>
        <v/>
      </c>
      <c r="K46" s="91" t="str">
        <f t="shared" si="38"/>
        <v/>
      </c>
      <c r="L46" s="91" t="str">
        <f>IF(ISBLANK([1]Data!A48)=TRUE,"",[1]Data!W48)</f>
        <v/>
      </c>
      <c r="M46" s="91" t="str">
        <f t="shared" si="39"/>
        <v/>
      </c>
      <c r="N46" s="91" t="str">
        <f>IF(ISBLANK([1]Data!A48)=TRUE,"",[1]Data!X48)</f>
        <v/>
      </c>
      <c r="O46" s="91" t="str">
        <f t="shared" si="40"/>
        <v/>
      </c>
      <c r="P46" s="91" t="str">
        <f>IF(ISBLANK([1]Data!A26)=TRUE,"",[1]Data!Y48)</f>
        <v/>
      </c>
      <c r="Q46" s="91" t="str">
        <f>IF(ISBLANK([1]Data!$A48)=TRUE,"",1)</f>
        <v/>
      </c>
      <c r="R46" s="91" t="str">
        <f>IF(ISBLANK([1]Data!$A48)=TRUE,"",1)</f>
        <v/>
      </c>
      <c r="S46" s="91" t="str">
        <f>IF(ISBLANK([1]Data!$A48)=TRUE,"",1)</f>
        <v/>
      </c>
      <c r="T46" s="91"/>
      <c r="U46" s="105" t="str">
        <f>IF(ISBLANK([1]Data!$A48)=TRUE,"",[1]Data!U48)</f>
        <v/>
      </c>
      <c r="V46" s="91" t="str">
        <f t="shared" si="27"/>
        <v/>
      </c>
      <c r="W46" s="105" t="str">
        <f>IF(ISBLANK([1]Data!$A48)=TRUE,"",[1]Data!V48)</f>
        <v/>
      </c>
      <c r="X46" s="91" t="str">
        <f>IF(ISBLANK([1]Data!$A48)=TRUE,"",1)</f>
        <v/>
      </c>
      <c r="Y46" s="105" t="str">
        <f t="shared" si="23"/>
        <v/>
      </c>
      <c r="Z46" s="105" t="str">
        <f>IF(ISBLANK([1]Data!$A48)=TRUE,"",CONCATENATE(W46," &gt; ",$AC$7))</f>
        <v/>
      </c>
      <c r="AA46" s="105" t="str">
        <f t="shared" si="24"/>
        <v/>
      </c>
      <c r="AB46" s="105" t="str">
        <f>[1]Data!AD48</f>
        <v/>
      </c>
      <c r="AC46" s="105"/>
      <c r="AD46" s="166" t="str">
        <f t="shared" si="41"/>
        <v/>
      </c>
      <c r="AE46" s="105" t="str">
        <f t="shared" si="42"/>
        <v/>
      </c>
      <c r="AF46" s="91"/>
      <c r="AG46" s="91"/>
      <c r="AH46" s="91"/>
      <c r="AI46" s="91"/>
    </row>
    <row r="47" spans="1:35" x14ac:dyDescent="0.3">
      <c r="A47" s="91" t="str">
        <f>IF(ISBLANK([1]Data!A49)=TRUE,"",[1]Data!A49)</f>
        <v/>
      </c>
      <c r="B47" s="91" t="str">
        <f>IF(ISBLANK([1]Data!A49)=TRUE,"",[1]Data!B49)</f>
        <v/>
      </c>
      <c r="C47" s="97" t="str">
        <f>IF(ISBLANK([1]Data!A49)=TRUE,"",[1]Data!D49)</f>
        <v/>
      </c>
      <c r="D47" s="91" t="str">
        <f>IF(ISBLANK([1]Data!A49)=TRUE,"",[1]Data!K49)</f>
        <v/>
      </c>
      <c r="E47" s="91" t="str">
        <f>IF(ISBLANK([1]Data!A49)=TRUE,"",[1]Data!L49)</f>
        <v/>
      </c>
      <c r="F47" s="91" t="str">
        <f>IF(ISBLANK([1]Data!A49)=TRUE,"",[1]Data!P49)</f>
        <v/>
      </c>
      <c r="G47" s="91" t="str">
        <f t="shared" si="36"/>
        <v/>
      </c>
      <c r="H47" s="91" t="str">
        <f>IF(ISBLANK([1]Data!A27)=TRUE,"",[1]Data!Q49)</f>
        <v/>
      </c>
      <c r="I47" s="91" t="str">
        <f t="shared" si="37"/>
        <v/>
      </c>
      <c r="J47" s="91" t="str">
        <f>IF(ISBLANK([1]Data!A27)=TRUE,"",[1]Data!R49)</f>
        <v/>
      </c>
      <c r="K47" s="91" t="str">
        <f t="shared" si="38"/>
        <v/>
      </c>
      <c r="L47" s="91" t="str">
        <f>IF(ISBLANK([1]Data!A49)=TRUE,"",[1]Data!W49)</f>
        <v/>
      </c>
      <c r="M47" s="91" t="str">
        <f t="shared" si="39"/>
        <v/>
      </c>
      <c r="N47" s="91" t="str">
        <f>IF(ISBLANK([1]Data!A49)=TRUE,"",[1]Data!X49)</f>
        <v/>
      </c>
      <c r="O47" s="91" t="str">
        <f t="shared" si="40"/>
        <v/>
      </c>
      <c r="P47" s="91" t="str">
        <f>IF(ISBLANK([1]Data!A27)=TRUE,"",[1]Data!Y49)</f>
        <v/>
      </c>
      <c r="Q47" s="91" t="str">
        <f>IF(ISBLANK([1]Data!$A49)=TRUE,"",1)</f>
        <v/>
      </c>
      <c r="R47" s="91" t="str">
        <f>IF(ISBLANK([1]Data!$A49)=TRUE,"",1)</f>
        <v/>
      </c>
      <c r="S47" s="91" t="str">
        <f>IF(ISBLANK([1]Data!$A49)=TRUE,"",1)</f>
        <v/>
      </c>
      <c r="T47" s="91"/>
      <c r="U47" s="105" t="str">
        <f>IF(ISBLANK([1]Data!$A49)=TRUE,"",[1]Data!U49)</f>
        <v/>
      </c>
      <c r="V47" s="91" t="str">
        <f t="shared" si="27"/>
        <v/>
      </c>
      <c r="W47" s="105" t="str">
        <f>IF(ISBLANK([1]Data!$A49)=TRUE,"",[1]Data!V49)</f>
        <v/>
      </c>
      <c r="X47" s="91" t="str">
        <f>IF(ISBLANK([1]Data!$A49)=TRUE,"",1)</f>
        <v/>
      </c>
      <c r="Y47" s="105" t="str">
        <f t="shared" si="23"/>
        <v/>
      </c>
      <c r="Z47" s="105" t="str">
        <f>IF(ISBLANK([1]Data!$A49)=TRUE,"",CONCATENATE(W47," &gt; ",$AC$7))</f>
        <v/>
      </c>
      <c r="AA47" s="105" t="str">
        <f t="shared" si="24"/>
        <v/>
      </c>
      <c r="AB47" s="105" t="str">
        <f>[1]Data!AD49</f>
        <v/>
      </c>
      <c r="AC47" s="105"/>
      <c r="AD47" s="166" t="str">
        <f t="shared" si="41"/>
        <v/>
      </c>
      <c r="AE47" s="105" t="str">
        <f t="shared" si="42"/>
        <v/>
      </c>
      <c r="AF47" s="91"/>
      <c r="AG47" s="91"/>
      <c r="AH47" s="91"/>
      <c r="AI47" s="91"/>
    </row>
    <row r="48" spans="1:35" x14ac:dyDescent="0.3">
      <c r="A48" s="91" t="str">
        <f>IF(ISBLANK([1]Data!A50)=TRUE,"",[1]Data!A50)</f>
        <v/>
      </c>
      <c r="B48" s="91" t="str">
        <f>IF(ISBLANK([1]Data!A50)=TRUE,"",[1]Data!B50)</f>
        <v/>
      </c>
      <c r="C48" s="97" t="str">
        <f>IF(ISBLANK([1]Data!A50)=TRUE,"",[1]Data!D50)</f>
        <v/>
      </c>
      <c r="D48" s="91" t="str">
        <f>IF(ISBLANK([1]Data!A50)=TRUE,"",[1]Data!K50)</f>
        <v/>
      </c>
      <c r="E48" s="91" t="str">
        <f>IF(ISBLANK([1]Data!A50)=TRUE,"",[1]Data!L50)</f>
        <v/>
      </c>
      <c r="F48" s="91" t="str">
        <f>IF(ISBLANK([1]Data!A50)=TRUE,"",[1]Data!P50)</f>
        <v/>
      </c>
      <c r="G48" s="91" t="str">
        <f t="shared" si="36"/>
        <v/>
      </c>
      <c r="H48" s="91" t="str">
        <f>IF(ISBLANK([1]Data!A28)=TRUE,"",[1]Data!Q50)</f>
        <v/>
      </c>
      <c r="I48" s="91" t="str">
        <f t="shared" si="37"/>
        <v/>
      </c>
      <c r="J48" s="91" t="str">
        <f>IF(ISBLANK([1]Data!A28)=TRUE,"",[1]Data!R50)</f>
        <v/>
      </c>
      <c r="K48" s="91" t="str">
        <f t="shared" si="38"/>
        <v/>
      </c>
      <c r="L48" s="91" t="str">
        <f>IF(ISBLANK([1]Data!A50)=TRUE,"",[1]Data!W50)</f>
        <v/>
      </c>
      <c r="M48" s="91" t="str">
        <f t="shared" si="39"/>
        <v/>
      </c>
      <c r="N48" s="91" t="str">
        <f>IF(ISBLANK([1]Data!A50)=TRUE,"",[1]Data!X50)</f>
        <v/>
      </c>
      <c r="O48" s="91" t="str">
        <f t="shared" si="40"/>
        <v/>
      </c>
      <c r="P48" s="91" t="str">
        <f>IF(ISBLANK([1]Data!A28)=TRUE,"",[1]Data!Y50)</f>
        <v/>
      </c>
      <c r="Q48" s="91" t="str">
        <f>IF(ISBLANK([1]Data!$A50)=TRUE,"",1)</f>
        <v/>
      </c>
      <c r="R48" s="91" t="str">
        <f>IF(ISBLANK([1]Data!$A50)=TRUE,"",1)</f>
        <v/>
      </c>
      <c r="S48" s="91" t="str">
        <f>IF(ISBLANK([1]Data!$A50)=TRUE,"",1)</f>
        <v/>
      </c>
      <c r="T48" s="91"/>
      <c r="U48" s="105" t="str">
        <f>IF(ISBLANK([1]Data!$A50)=TRUE,"",[1]Data!U50)</f>
        <v/>
      </c>
      <c r="V48" s="91" t="str">
        <f t="shared" si="27"/>
        <v/>
      </c>
      <c r="W48" s="105" t="str">
        <f>IF(ISBLANK([1]Data!$A50)=TRUE,"",[1]Data!V50)</f>
        <v/>
      </c>
      <c r="X48" s="91" t="str">
        <f>IF(ISBLANK([1]Data!$A50)=TRUE,"",1)</f>
        <v/>
      </c>
      <c r="Y48" s="105" t="str">
        <f t="shared" si="23"/>
        <v/>
      </c>
      <c r="Z48" s="105" t="str">
        <f>IF(ISBLANK([1]Data!$A50)=TRUE,"",CONCATENATE(W48," &gt; ",$AC$7))</f>
        <v/>
      </c>
      <c r="AA48" s="105" t="str">
        <f t="shared" si="24"/>
        <v/>
      </c>
      <c r="AB48" s="105" t="str">
        <f>[1]Data!AD50</f>
        <v/>
      </c>
      <c r="AC48" s="105"/>
      <c r="AD48" s="166" t="str">
        <f t="shared" si="41"/>
        <v/>
      </c>
      <c r="AE48" s="105" t="str">
        <f t="shared" si="42"/>
        <v/>
      </c>
      <c r="AF48" s="91"/>
      <c r="AG48" s="91"/>
      <c r="AH48" s="91"/>
      <c r="AI48" s="91"/>
    </row>
    <row r="49" spans="1:35" x14ac:dyDescent="0.3">
      <c r="A49" s="73"/>
      <c r="B49" s="73"/>
      <c r="C49" s="99"/>
      <c r="D49" s="73"/>
      <c r="E49" s="90">
        <f>SUM(E34:E48)</f>
        <v>5</v>
      </c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3"/>
      <c r="T49" s="3"/>
      <c r="U49" s="3"/>
      <c r="V49" s="3"/>
      <c r="W49" s="3"/>
      <c r="X49" s="3"/>
      <c r="Y49" s="3"/>
      <c r="Z49" s="3"/>
      <c r="AA49" s="3"/>
      <c r="AB49" s="2"/>
      <c r="AC49" s="2"/>
      <c r="AD49" s="2"/>
      <c r="AE49" s="3"/>
      <c r="AF49" s="3"/>
      <c r="AG49" s="3"/>
      <c r="AH49" s="3"/>
      <c r="AI49" s="3"/>
    </row>
    <row r="50" spans="1:35" x14ac:dyDescent="0.3">
      <c r="A50" s="1"/>
      <c r="B50" s="1"/>
      <c r="C50" s="98"/>
      <c r="D50" s="1" t="s">
        <v>295</v>
      </c>
      <c r="E50" s="1">
        <f>SUM(E34:E48,E12:E31)</f>
        <v>17</v>
      </c>
      <c r="G50" s="1">
        <f>SUM(G34:G48,G12:G31)</f>
        <v>17</v>
      </c>
      <c r="I50" s="1">
        <f>SUM(I34:I48,I12:I31)</f>
        <v>8</v>
      </c>
      <c r="K50" s="1">
        <f>SUM(K34:K48,K12:K31)</f>
        <v>17</v>
      </c>
      <c r="L50" s="1"/>
      <c r="M50" s="1">
        <f>SUM(M34:M48,M12:M31)</f>
        <v>17</v>
      </c>
      <c r="N50" s="1"/>
      <c r="O50" s="1">
        <f>SUM(O34:O48,O12:O31)</f>
        <v>17</v>
      </c>
      <c r="P50" s="1"/>
      <c r="Q50" s="1">
        <f>SUM(Q34:Q48,Q12:Q31)</f>
        <v>17</v>
      </c>
      <c r="R50" s="1">
        <f>SUM(R34:R48,R12:R31)</f>
        <v>17</v>
      </c>
      <c r="S50" s="1">
        <f t="shared" ref="S50:T50" si="43">SUM(S34:S48,S12:S31)</f>
        <v>17</v>
      </c>
      <c r="T50" s="1">
        <f t="shared" si="43"/>
        <v>17</v>
      </c>
      <c r="V50" s="1">
        <f>SUM(V34:V48,V12:V31)</f>
        <v>17</v>
      </c>
      <c r="X50" s="1">
        <f>SUM(X34:X48,X12:X31)</f>
        <v>17</v>
      </c>
      <c r="Y50" s="1">
        <f>SUM(Y34:Y48,Y12:Y31)</f>
        <v>17</v>
      </c>
      <c r="AA50" s="1">
        <f>SUM(AA34:AA48,AA12:AA31)</f>
        <v>3</v>
      </c>
      <c r="AB50" s="1">
        <f t="shared" ref="AB50:AG50" si="44">SUM(AB34:AB48,AB12:AB31)</f>
        <v>150</v>
      </c>
      <c r="AC50" s="1">
        <f t="shared" si="44"/>
        <v>0</v>
      </c>
      <c r="AD50" s="1">
        <f t="shared" si="44"/>
        <v>150</v>
      </c>
      <c r="AE50" s="1">
        <f t="shared" si="44"/>
        <v>18</v>
      </c>
      <c r="AF50" s="1">
        <f t="shared" si="44"/>
        <v>0</v>
      </c>
      <c r="AG50" s="1">
        <f t="shared" si="44"/>
        <v>0</v>
      </c>
    </row>
    <row r="51" spans="1:35" x14ac:dyDescent="0.3">
      <c r="A51" s="1"/>
      <c r="B51" s="1"/>
      <c r="C51" s="98"/>
      <c r="D51" s="1" t="s">
        <v>296</v>
      </c>
      <c r="E51" s="1" t="b">
        <f>Data!L33+Data!L51='PACKING LIST'!E50</f>
        <v>1</v>
      </c>
      <c r="G51" s="1" t="b">
        <f>G50=Data!AK93</f>
        <v>1</v>
      </c>
      <c r="I51" s="1" t="b">
        <f>I50=Data!AK82</f>
        <v>1</v>
      </c>
      <c r="K51" s="1" t="b">
        <f>K50=Data!AK25</f>
        <v>1</v>
      </c>
      <c r="L51" s="1"/>
      <c r="M51" s="1" t="b">
        <f>M50=Data!AK108</f>
        <v>1</v>
      </c>
      <c r="N51" s="1"/>
      <c r="O51" s="1" t="b">
        <f>O50=Data!AK123</f>
        <v>1</v>
      </c>
      <c r="P51" s="1"/>
      <c r="Q51" s="1" t="b">
        <f>Q50=Data!AK37</f>
        <v>1</v>
      </c>
      <c r="R51" s="1"/>
      <c r="V51" t="b">
        <f>V50=(Data!AK54+Data!AK67)</f>
        <v>1</v>
      </c>
      <c r="X51" t="b">
        <f>X50=Data!AK31</f>
        <v>1</v>
      </c>
      <c r="Y51" t="b">
        <f>Y50=Data!AK130</f>
        <v>1</v>
      </c>
      <c r="AA51" t="b">
        <f>AA50=[1]Data!AL74+[1]Data!AL73</f>
        <v>0</v>
      </c>
    </row>
    <row r="52" spans="1:35" x14ac:dyDescent="0.3">
      <c r="A52" s="1"/>
      <c r="B52" s="1"/>
      <c r="C52" s="98"/>
      <c r="D52" s="1"/>
      <c r="E52" s="1"/>
      <c r="L52" s="1"/>
      <c r="M52" s="1"/>
      <c r="N52" s="1"/>
      <c r="O52" s="1"/>
      <c r="P52" s="1"/>
      <c r="Q52" s="1"/>
      <c r="R52" s="1"/>
    </row>
    <row r="53" spans="1:35" x14ac:dyDescent="0.3">
      <c r="F53"/>
      <c r="G53"/>
      <c r="L53" s="1"/>
      <c r="M53" s="1"/>
      <c r="N53" s="1"/>
      <c r="O53" s="1"/>
      <c r="P53" s="1"/>
      <c r="Q53" s="1"/>
      <c r="R53" s="1"/>
    </row>
    <row r="54" spans="1:35" x14ac:dyDescent="0.3">
      <c r="F54"/>
      <c r="G54"/>
      <c r="L54" s="1"/>
      <c r="M54" s="1"/>
      <c r="N54" s="1"/>
      <c r="O54" s="1"/>
      <c r="P54" s="1"/>
      <c r="Q54" s="1"/>
      <c r="R54" s="1"/>
    </row>
    <row r="55" spans="1:35" x14ac:dyDescent="0.3">
      <c r="F55"/>
      <c r="G55"/>
      <c r="L55" s="1"/>
      <c r="M55" s="1"/>
      <c r="N55" s="1"/>
      <c r="O55" s="1"/>
      <c r="P55" s="1"/>
      <c r="Q55" s="1"/>
      <c r="R55" s="1"/>
    </row>
    <row r="56" spans="1:35" x14ac:dyDescent="0.3">
      <c r="C56" s="312"/>
      <c r="D56" s="312"/>
      <c r="E56" s="312"/>
      <c r="F56" s="312"/>
      <c r="G56"/>
      <c r="L56" s="1"/>
      <c r="M56" s="1"/>
      <c r="N56" s="1"/>
      <c r="O56" s="1"/>
      <c r="P56" s="1"/>
      <c r="Q56" s="1"/>
      <c r="R56" s="1"/>
    </row>
    <row r="57" spans="1:35" x14ac:dyDescent="0.3">
      <c r="F57"/>
      <c r="G57"/>
      <c r="L57" s="1"/>
      <c r="M57" s="1"/>
      <c r="N57" s="1"/>
      <c r="O57" s="1"/>
      <c r="P57" s="1"/>
      <c r="Q57" s="1"/>
      <c r="R57" s="1"/>
    </row>
    <row r="58" spans="1:35" x14ac:dyDescent="0.3">
      <c r="F58"/>
      <c r="G58"/>
      <c r="L58" s="1"/>
      <c r="M58" s="1"/>
      <c r="N58" s="1"/>
      <c r="O58" s="1"/>
      <c r="P58" s="1"/>
      <c r="Q58" s="1"/>
      <c r="R58" s="1"/>
    </row>
    <row r="59" spans="1:35" x14ac:dyDescent="0.3">
      <c r="F59"/>
      <c r="G59"/>
      <c r="L59" s="1"/>
      <c r="M59" s="1"/>
      <c r="N59" s="1"/>
      <c r="O59" s="1"/>
      <c r="P59" s="1"/>
      <c r="Q59" s="1"/>
      <c r="R59" s="1"/>
    </row>
    <row r="60" spans="1:35" x14ac:dyDescent="0.3">
      <c r="F60"/>
      <c r="G60"/>
      <c r="L60" s="1"/>
      <c r="M60" s="1"/>
      <c r="N60" s="1"/>
      <c r="O60" s="1"/>
      <c r="P60" s="1"/>
      <c r="Q60" s="1"/>
      <c r="R60" s="1"/>
    </row>
    <row r="61" spans="1:35" x14ac:dyDescent="0.3">
      <c r="F61"/>
      <c r="G61"/>
    </row>
    <row r="62" spans="1:35" x14ac:dyDescent="0.3">
      <c r="F62"/>
      <c r="G62"/>
    </row>
    <row r="63" spans="1:35" x14ac:dyDescent="0.3">
      <c r="F63"/>
      <c r="G63"/>
    </row>
    <row r="64" spans="1:35" x14ac:dyDescent="0.3">
      <c r="F64"/>
      <c r="G64"/>
      <c r="H64"/>
      <c r="I64"/>
      <c r="J64"/>
      <c r="K64"/>
    </row>
    <row r="65" spans="3:11" x14ac:dyDescent="0.3">
      <c r="F65"/>
      <c r="G65"/>
      <c r="H65"/>
      <c r="I65"/>
      <c r="J65"/>
      <c r="K65"/>
    </row>
    <row r="66" spans="3:11" x14ac:dyDescent="0.3">
      <c r="F66"/>
      <c r="G66"/>
      <c r="H66"/>
      <c r="I66"/>
      <c r="J66"/>
      <c r="K66"/>
    </row>
    <row r="67" spans="3:11" x14ac:dyDescent="0.3">
      <c r="F67"/>
      <c r="G67"/>
      <c r="H67"/>
      <c r="I67"/>
      <c r="J67"/>
      <c r="K67"/>
    </row>
    <row r="68" spans="3:11" x14ac:dyDescent="0.3">
      <c r="F68"/>
      <c r="G68"/>
      <c r="H68"/>
      <c r="I68"/>
      <c r="J68"/>
      <c r="K68"/>
    </row>
    <row r="69" spans="3:11" x14ac:dyDescent="0.3">
      <c r="F69"/>
      <c r="G69"/>
      <c r="H69"/>
      <c r="I69"/>
      <c r="J69"/>
      <c r="K69"/>
    </row>
    <row r="70" spans="3:11" x14ac:dyDescent="0.3">
      <c r="F70"/>
      <c r="G70"/>
      <c r="H70"/>
      <c r="I70"/>
      <c r="J70"/>
      <c r="K70"/>
    </row>
    <row r="71" spans="3:11" x14ac:dyDescent="0.3">
      <c r="F71"/>
      <c r="G71"/>
      <c r="H71"/>
      <c r="I71"/>
      <c r="J71"/>
      <c r="K71"/>
    </row>
    <row r="72" spans="3:11" x14ac:dyDescent="0.3">
      <c r="F72"/>
      <c r="G72"/>
      <c r="H72"/>
      <c r="I72"/>
      <c r="J72"/>
      <c r="K72"/>
    </row>
    <row r="73" spans="3:11" x14ac:dyDescent="0.3">
      <c r="F73"/>
      <c r="G73"/>
      <c r="H73"/>
      <c r="I73"/>
      <c r="J73"/>
      <c r="K73"/>
    </row>
    <row r="74" spans="3:11" x14ac:dyDescent="0.3">
      <c r="F74"/>
      <c r="G74"/>
      <c r="H74"/>
      <c r="I74"/>
      <c r="J74"/>
      <c r="K74"/>
    </row>
    <row r="75" spans="3:11" x14ac:dyDescent="0.3">
      <c r="C75" s="312"/>
      <c r="D75" s="312"/>
      <c r="E75" s="312"/>
      <c r="F75"/>
      <c r="G75"/>
      <c r="H75"/>
      <c r="I75"/>
      <c r="J75"/>
      <c r="K75"/>
    </row>
    <row r="76" spans="3:11" x14ac:dyDescent="0.3">
      <c r="F76"/>
      <c r="G76"/>
      <c r="H76"/>
      <c r="I76"/>
      <c r="J76"/>
      <c r="K76"/>
    </row>
    <row r="77" spans="3:11" x14ac:dyDescent="0.3">
      <c r="F77"/>
      <c r="G77"/>
    </row>
    <row r="78" spans="3:11" x14ac:dyDescent="0.3">
      <c r="F78"/>
      <c r="G78"/>
      <c r="H78"/>
      <c r="I78"/>
      <c r="J78"/>
      <c r="K78"/>
    </row>
    <row r="79" spans="3:11" x14ac:dyDescent="0.3">
      <c r="F79"/>
      <c r="G79"/>
      <c r="H79"/>
      <c r="I79"/>
      <c r="J79"/>
      <c r="K79"/>
    </row>
    <row r="80" spans="3:11" x14ac:dyDescent="0.3">
      <c r="F80"/>
      <c r="G80"/>
    </row>
    <row r="81" spans="3:11" x14ac:dyDescent="0.3">
      <c r="C81" s="312"/>
      <c r="D81" s="312"/>
      <c r="E81" s="312"/>
      <c r="F81"/>
      <c r="G81"/>
      <c r="H81"/>
      <c r="I81"/>
      <c r="J81"/>
      <c r="K81"/>
    </row>
    <row r="82" spans="3:11" x14ac:dyDescent="0.3">
      <c r="F82"/>
      <c r="G82"/>
      <c r="H82"/>
      <c r="I82"/>
      <c r="J82"/>
      <c r="K82"/>
    </row>
    <row r="83" spans="3:11" x14ac:dyDescent="0.3">
      <c r="F83"/>
      <c r="G83"/>
    </row>
    <row r="84" spans="3:11" x14ac:dyDescent="0.3">
      <c r="F84"/>
      <c r="G84"/>
      <c r="H84"/>
      <c r="I84"/>
      <c r="J84"/>
      <c r="K84"/>
    </row>
    <row r="85" spans="3:11" x14ac:dyDescent="0.3">
      <c r="F85"/>
      <c r="G85"/>
      <c r="H85"/>
      <c r="I85"/>
      <c r="J85"/>
      <c r="K85"/>
    </row>
    <row r="86" spans="3:11" x14ac:dyDescent="0.3">
      <c r="F86"/>
      <c r="G86"/>
    </row>
    <row r="87" spans="3:11" x14ac:dyDescent="0.3">
      <c r="C87" s="312"/>
      <c r="D87" s="312"/>
      <c r="E87" s="312"/>
      <c r="F87"/>
      <c r="G87"/>
      <c r="H87"/>
      <c r="I87"/>
      <c r="J87"/>
      <c r="K87"/>
    </row>
    <row r="88" spans="3:11" x14ac:dyDescent="0.3">
      <c r="F88"/>
      <c r="G88"/>
      <c r="H88"/>
      <c r="I88"/>
      <c r="J88"/>
      <c r="K88"/>
    </row>
    <row r="89" spans="3:11" x14ac:dyDescent="0.3">
      <c r="F89"/>
      <c r="G89"/>
    </row>
    <row r="90" spans="3:11" x14ac:dyDescent="0.3">
      <c r="F90"/>
      <c r="G90"/>
      <c r="H90"/>
      <c r="I90"/>
      <c r="J90"/>
      <c r="K90"/>
    </row>
    <row r="91" spans="3:11" x14ac:dyDescent="0.3">
      <c r="F91"/>
      <c r="G91"/>
      <c r="H91"/>
      <c r="I91"/>
      <c r="J91"/>
      <c r="K91"/>
    </row>
    <row r="92" spans="3:11" x14ac:dyDescent="0.3">
      <c r="F92"/>
      <c r="G92"/>
    </row>
    <row r="93" spans="3:11" x14ac:dyDescent="0.3">
      <c r="C93" s="312"/>
      <c r="D93" s="312"/>
      <c r="F93"/>
      <c r="G93"/>
      <c r="H93"/>
      <c r="I93"/>
      <c r="J93"/>
      <c r="K93"/>
    </row>
    <row r="94" spans="3:11" x14ac:dyDescent="0.3">
      <c r="F94"/>
      <c r="G94"/>
      <c r="H94"/>
      <c r="I94"/>
      <c r="J94"/>
      <c r="K94"/>
    </row>
    <row r="95" spans="3:11" x14ac:dyDescent="0.3">
      <c r="F95"/>
      <c r="G95"/>
    </row>
    <row r="96" spans="3:11" x14ac:dyDescent="0.3">
      <c r="F96"/>
      <c r="G96"/>
      <c r="H96"/>
      <c r="I96"/>
      <c r="J96"/>
      <c r="K96"/>
    </row>
    <row r="97" spans="3:11" x14ac:dyDescent="0.3">
      <c r="F97"/>
      <c r="G97"/>
      <c r="H97"/>
      <c r="I97"/>
      <c r="J97"/>
      <c r="K97"/>
    </row>
    <row r="98" spans="3:11" x14ac:dyDescent="0.3">
      <c r="F98"/>
      <c r="G98"/>
      <c r="H98"/>
      <c r="I98"/>
      <c r="J98"/>
      <c r="K98"/>
    </row>
    <row r="99" spans="3:11" x14ac:dyDescent="0.3">
      <c r="F99"/>
      <c r="G99"/>
      <c r="H99"/>
      <c r="I99"/>
      <c r="J99"/>
      <c r="K99"/>
    </row>
    <row r="100" spans="3:11" x14ac:dyDescent="0.3">
      <c r="F100"/>
      <c r="G100"/>
      <c r="H100"/>
      <c r="I100"/>
      <c r="J100"/>
      <c r="K100"/>
    </row>
    <row r="101" spans="3:11" x14ac:dyDescent="0.3">
      <c r="F101"/>
      <c r="G101"/>
      <c r="H101"/>
      <c r="I101"/>
      <c r="J101"/>
      <c r="K101"/>
    </row>
    <row r="102" spans="3:11" x14ac:dyDescent="0.3">
      <c r="F102"/>
      <c r="G102"/>
      <c r="H102"/>
      <c r="I102"/>
      <c r="J102"/>
      <c r="K102"/>
    </row>
    <row r="103" spans="3:11" x14ac:dyDescent="0.3">
      <c r="F103"/>
      <c r="G103"/>
      <c r="H103"/>
      <c r="I103"/>
      <c r="J103"/>
      <c r="K103"/>
    </row>
    <row r="104" spans="3:11" x14ac:dyDescent="0.3">
      <c r="F104"/>
      <c r="G104"/>
    </row>
    <row r="105" spans="3:11" x14ac:dyDescent="0.3">
      <c r="F105"/>
      <c r="G105"/>
    </row>
    <row r="106" spans="3:11" x14ac:dyDescent="0.3">
      <c r="C106" s="312"/>
      <c r="D106" s="312"/>
      <c r="F106"/>
      <c r="G106"/>
      <c r="H106"/>
      <c r="I106"/>
      <c r="J106"/>
      <c r="K106"/>
    </row>
    <row r="107" spans="3:11" x14ac:dyDescent="0.3">
      <c r="F107"/>
      <c r="G107"/>
      <c r="H107"/>
      <c r="I107"/>
      <c r="J107"/>
      <c r="K107"/>
    </row>
    <row r="108" spans="3:11" x14ac:dyDescent="0.3">
      <c r="F108"/>
      <c r="G108"/>
      <c r="H108"/>
      <c r="I108"/>
      <c r="J108"/>
      <c r="K108"/>
    </row>
    <row r="109" spans="3:11" x14ac:dyDescent="0.3">
      <c r="F109"/>
      <c r="G109"/>
      <c r="H109"/>
      <c r="I109"/>
      <c r="J109"/>
      <c r="K109"/>
    </row>
    <row r="110" spans="3:11" x14ac:dyDescent="0.3">
      <c r="F110"/>
      <c r="G110"/>
      <c r="H110"/>
      <c r="I110"/>
      <c r="J110"/>
      <c r="K110"/>
    </row>
    <row r="111" spans="3:11" x14ac:dyDescent="0.3">
      <c r="F111"/>
      <c r="G111"/>
      <c r="H111"/>
      <c r="I111"/>
      <c r="J111"/>
      <c r="K111"/>
    </row>
    <row r="112" spans="3:11" x14ac:dyDescent="0.3">
      <c r="F112"/>
      <c r="G112"/>
      <c r="H112"/>
      <c r="I112"/>
      <c r="J112"/>
      <c r="K112"/>
    </row>
    <row r="113" spans="3:11" x14ac:dyDescent="0.3">
      <c r="F113"/>
      <c r="G113"/>
      <c r="H113"/>
      <c r="I113"/>
      <c r="J113"/>
      <c r="K113"/>
    </row>
    <row r="114" spans="3:11" x14ac:dyDescent="0.3">
      <c r="F114"/>
      <c r="G114"/>
      <c r="H114"/>
      <c r="I114"/>
      <c r="J114"/>
      <c r="K114"/>
    </row>
    <row r="115" spans="3:11" x14ac:dyDescent="0.3">
      <c r="F115"/>
      <c r="G115"/>
      <c r="H115"/>
      <c r="I115"/>
      <c r="J115"/>
      <c r="K115"/>
    </row>
    <row r="116" spans="3:11" x14ac:dyDescent="0.3">
      <c r="F116"/>
      <c r="G116"/>
      <c r="H116"/>
      <c r="I116"/>
      <c r="J116"/>
      <c r="K116"/>
    </row>
    <row r="117" spans="3:11" x14ac:dyDescent="0.3">
      <c r="F117"/>
      <c r="G117"/>
    </row>
    <row r="118" spans="3:11" x14ac:dyDescent="0.3">
      <c r="C118" s="312"/>
      <c r="D118" s="312"/>
      <c r="E118" s="312"/>
      <c r="F118"/>
      <c r="G118"/>
      <c r="H118"/>
      <c r="I118"/>
      <c r="J118"/>
      <c r="K118"/>
    </row>
    <row r="119" spans="3:11" x14ac:dyDescent="0.3">
      <c r="F119"/>
      <c r="G119"/>
      <c r="H119"/>
      <c r="I119"/>
      <c r="J119"/>
      <c r="K119"/>
    </row>
    <row r="120" spans="3:11" x14ac:dyDescent="0.3">
      <c r="F120"/>
      <c r="G120"/>
    </row>
    <row r="121" spans="3:11" x14ac:dyDescent="0.3">
      <c r="F121"/>
      <c r="G121"/>
      <c r="H121"/>
      <c r="I121"/>
      <c r="J121"/>
      <c r="K121"/>
    </row>
    <row r="122" spans="3:11" x14ac:dyDescent="0.3">
      <c r="F122"/>
      <c r="G122"/>
      <c r="H122"/>
      <c r="I122"/>
      <c r="J122"/>
      <c r="K122"/>
    </row>
    <row r="123" spans="3:11" x14ac:dyDescent="0.3">
      <c r="F123"/>
      <c r="G123"/>
      <c r="H123"/>
      <c r="I123"/>
      <c r="J123"/>
      <c r="K123"/>
    </row>
    <row r="124" spans="3:11" x14ac:dyDescent="0.3">
      <c r="F124"/>
      <c r="G124"/>
      <c r="H124"/>
      <c r="I124"/>
      <c r="J124"/>
      <c r="K124"/>
    </row>
    <row r="125" spans="3:11" x14ac:dyDescent="0.3">
      <c r="F125"/>
      <c r="G125"/>
      <c r="H125"/>
      <c r="I125"/>
      <c r="J125"/>
      <c r="K125"/>
    </row>
    <row r="126" spans="3:11" x14ac:dyDescent="0.3">
      <c r="F126"/>
      <c r="G126"/>
      <c r="H126"/>
      <c r="I126"/>
      <c r="J126"/>
      <c r="K126"/>
    </row>
    <row r="127" spans="3:11" x14ac:dyDescent="0.3">
      <c r="F127"/>
      <c r="G127"/>
      <c r="H127"/>
      <c r="I127"/>
      <c r="J127"/>
      <c r="K127"/>
    </row>
    <row r="128" spans="3:11" x14ac:dyDescent="0.3">
      <c r="F128"/>
      <c r="G128"/>
    </row>
    <row r="129" spans="3:11" x14ac:dyDescent="0.3">
      <c r="F129"/>
      <c r="G129"/>
    </row>
    <row r="130" spans="3:11" x14ac:dyDescent="0.3">
      <c r="F130"/>
      <c r="G130"/>
    </row>
    <row r="131" spans="3:11" x14ac:dyDescent="0.3">
      <c r="C131" s="312"/>
      <c r="D131" s="312"/>
      <c r="E131" s="312"/>
      <c r="F131"/>
      <c r="G131"/>
    </row>
    <row r="132" spans="3:11" x14ac:dyDescent="0.3">
      <c r="F132"/>
      <c r="G132"/>
    </row>
    <row r="133" spans="3:11" x14ac:dyDescent="0.3">
      <c r="F133"/>
      <c r="G133"/>
    </row>
    <row r="134" spans="3:11" x14ac:dyDescent="0.3">
      <c r="F134"/>
      <c r="G134"/>
    </row>
    <row r="135" spans="3:11" x14ac:dyDescent="0.3">
      <c r="F135"/>
      <c r="G135"/>
    </row>
    <row r="136" spans="3:11" x14ac:dyDescent="0.3">
      <c r="F136"/>
      <c r="G136"/>
    </row>
    <row r="137" spans="3:11" x14ac:dyDescent="0.3">
      <c r="F137"/>
      <c r="G137"/>
    </row>
    <row r="138" spans="3:11" x14ac:dyDescent="0.3">
      <c r="F138"/>
      <c r="G138"/>
    </row>
    <row r="139" spans="3:11" x14ac:dyDescent="0.3">
      <c r="F139"/>
      <c r="G139"/>
    </row>
    <row r="140" spans="3:11" x14ac:dyDescent="0.3">
      <c r="F140"/>
      <c r="G140"/>
    </row>
    <row r="141" spans="3:11" x14ac:dyDescent="0.3">
      <c r="F141"/>
      <c r="G141"/>
    </row>
    <row r="142" spans="3:11" x14ac:dyDescent="0.3">
      <c r="F142"/>
      <c r="G142"/>
    </row>
    <row r="143" spans="3:11" x14ac:dyDescent="0.3">
      <c r="F143"/>
      <c r="G143"/>
    </row>
    <row r="144" spans="3:11" x14ac:dyDescent="0.3">
      <c r="C144" s="312"/>
      <c r="D144" s="312"/>
      <c r="E144" s="312"/>
      <c r="F144"/>
      <c r="G144"/>
      <c r="H144"/>
      <c r="I144"/>
      <c r="J144"/>
      <c r="K144"/>
    </row>
    <row r="145" spans="3:11" x14ac:dyDescent="0.3">
      <c r="F145"/>
      <c r="G145"/>
      <c r="H145"/>
      <c r="I145"/>
      <c r="J145"/>
      <c r="K145"/>
    </row>
    <row r="146" spans="3:11" x14ac:dyDescent="0.3">
      <c r="F146"/>
      <c r="G146"/>
      <c r="H146"/>
      <c r="I146"/>
      <c r="J146"/>
      <c r="K146"/>
    </row>
    <row r="147" spans="3:11" x14ac:dyDescent="0.3">
      <c r="F147"/>
      <c r="G147"/>
      <c r="H147"/>
      <c r="I147"/>
      <c r="J147"/>
      <c r="K147"/>
    </row>
    <row r="148" spans="3:11" x14ac:dyDescent="0.3">
      <c r="F148"/>
      <c r="G148"/>
    </row>
    <row r="149" spans="3:11" x14ac:dyDescent="0.3">
      <c r="C149" s="312"/>
      <c r="D149" s="312"/>
      <c r="E149" s="312"/>
      <c r="F149"/>
      <c r="G149"/>
      <c r="H149"/>
      <c r="I149"/>
      <c r="J149"/>
      <c r="K149"/>
    </row>
    <row r="150" spans="3:11" x14ac:dyDescent="0.3">
      <c r="F150"/>
      <c r="G150"/>
      <c r="H150"/>
      <c r="I150"/>
      <c r="J150"/>
      <c r="K150"/>
    </row>
    <row r="151" spans="3:11" x14ac:dyDescent="0.3">
      <c r="F151"/>
      <c r="G151"/>
    </row>
    <row r="152" spans="3:11" x14ac:dyDescent="0.3">
      <c r="F152"/>
      <c r="G152"/>
      <c r="H152"/>
      <c r="I152"/>
      <c r="J152"/>
      <c r="K152"/>
    </row>
    <row r="153" spans="3:11" x14ac:dyDescent="0.3">
      <c r="F153"/>
      <c r="G153"/>
      <c r="H153"/>
      <c r="I153"/>
      <c r="J153"/>
      <c r="K153"/>
    </row>
    <row r="154" spans="3:11" x14ac:dyDescent="0.3">
      <c r="F154"/>
      <c r="G154"/>
      <c r="H154"/>
      <c r="I154"/>
      <c r="J154"/>
      <c r="K154"/>
    </row>
    <row r="155" spans="3:11" x14ac:dyDescent="0.3">
      <c r="F155"/>
      <c r="G155"/>
    </row>
    <row r="156" spans="3:11" x14ac:dyDescent="0.3">
      <c r="C156" s="312"/>
      <c r="D156" s="312"/>
      <c r="E156" s="312"/>
      <c r="F156"/>
      <c r="G156"/>
      <c r="H156"/>
      <c r="I156"/>
      <c r="J156"/>
      <c r="K156"/>
    </row>
    <row r="157" spans="3:11" x14ac:dyDescent="0.3">
      <c r="F157"/>
      <c r="G157"/>
      <c r="H157"/>
      <c r="I157"/>
      <c r="J157"/>
      <c r="K157"/>
    </row>
    <row r="158" spans="3:11" x14ac:dyDescent="0.3">
      <c r="F158"/>
      <c r="G158"/>
    </row>
    <row r="159" spans="3:11" x14ac:dyDescent="0.3">
      <c r="F159"/>
      <c r="G159"/>
      <c r="H159"/>
      <c r="I159"/>
      <c r="J159"/>
      <c r="K159"/>
    </row>
    <row r="160" spans="3:11" x14ac:dyDescent="0.3">
      <c r="F160"/>
      <c r="G160"/>
      <c r="H160"/>
      <c r="I160"/>
      <c r="J160"/>
      <c r="K160"/>
    </row>
    <row r="161" spans="6:11" x14ac:dyDescent="0.3">
      <c r="F161"/>
      <c r="G161"/>
      <c r="H161"/>
      <c r="I161"/>
      <c r="J161"/>
      <c r="K161"/>
    </row>
    <row r="162" spans="6:11" x14ac:dyDescent="0.3">
      <c r="F162"/>
      <c r="G162"/>
      <c r="H162"/>
      <c r="I162"/>
      <c r="J162"/>
      <c r="K162"/>
    </row>
    <row r="163" spans="6:11" x14ac:dyDescent="0.3">
      <c r="F163"/>
      <c r="G163"/>
      <c r="H163"/>
      <c r="I163"/>
      <c r="J163"/>
      <c r="K163"/>
    </row>
    <row r="164" spans="6:11" x14ac:dyDescent="0.3">
      <c r="F164"/>
      <c r="G164"/>
      <c r="H164"/>
      <c r="I164"/>
      <c r="J164"/>
      <c r="K164"/>
    </row>
    <row r="165" spans="6:11" x14ac:dyDescent="0.3">
      <c r="F165"/>
      <c r="G165"/>
      <c r="H165"/>
      <c r="I165"/>
      <c r="J165"/>
      <c r="K165"/>
    </row>
    <row r="166" spans="6:11" x14ac:dyDescent="0.3">
      <c r="F166"/>
      <c r="G166"/>
    </row>
    <row r="167" spans="6:11" x14ac:dyDescent="0.3">
      <c r="F167"/>
      <c r="G167"/>
      <c r="H167"/>
      <c r="I167"/>
      <c r="J167"/>
      <c r="K167"/>
    </row>
    <row r="168" spans="6:11" x14ac:dyDescent="0.3">
      <c r="F168"/>
      <c r="G168"/>
    </row>
    <row r="169" spans="6:11" x14ac:dyDescent="0.3">
      <c r="F169"/>
      <c r="G169"/>
    </row>
    <row r="170" spans="6:11" x14ac:dyDescent="0.3">
      <c r="F170"/>
      <c r="G170"/>
    </row>
    <row r="171" spans="6:11" x14ac:dyDescent="0.3">
      <c r="F171"/>
      <c r="G171"/>
    </row>
    <row r="172" spans="6:11" x14ac:dyDescent="0.3">
      <c r="F172"/>
      <c r="G172"/>
    </row>
    <row r="173" spans="6:11" x14ac:dyDescent="0.3">
      <c r="F173"/>
      <c r="G173"/>
    </row>
    <row r="174" spans="6:11" x14ac:dyDescent="0.3">
      <c r="F174"/>
      <c r="G174"/>
    </row>
    <row r="175" spans="6:11" x14ac:dyDescent="0.3">
      <c r="F175"/>
      <c r="G175"/>
    </row>
    <row r="176" spans="6:11" x14ac:dyDescent="0.3">
      <c r="F176"/>
      <c r="G176"/>
    </row>
    <row r="177" spans="6:7" x14ac:dyDescent="0.3">
      <c r="F177"/>
      <c r="G177"/>
    </row>
    <row r="178" spans="6:7" x14ac:dyDescent="0.3">
      <c r="F178"/>
      <c r="G178"/>
    </row>
    <row r="179" spans="6:7" x14ac:dyDescent="0.3">
      <c r="F179"/>
      <c r="G179"/>
    </row>
    <row r="180" spans="6:7" x14ac:dyDescent="0.3">
      <c r="F180"/>
      <c r="G180"/>
    </row>
    <row r="181" spans="6:7" x14ac:dyDescent="0.3">
      <c r="F181"/>
      <c r="G181"/>
    </row>
    <row r="182" spans="6:7" x14ac:dyDescent="0.3">
      <c r="F182"/>
      <c r="G182"/>
    </row>
    <row r="183" spans="6:7" x14ac:dyDescent="0.3">
      <c r="F183"/>
      <c r="G183"/>
    </row>
    <row r="184" spans="6:7" x14ac:dyDescent="0.3">
      <c r="F184"/>
      <c r="G184"/>
    </row>
    <row r="185" spans="6:7" x14ac:dyDescent="0.3">
      <c r="F185"/>
      <c r="G185"/>
    </row>
    <row r="186" spans="6:7" x14ac:dyDescent="0.3">
      <c r="F186"/>
      <c r="G186"/>
    </row>
    <row r="187" spans="6:7" x14ac:dyDescent="0.3">
      <c r="F187"/>
      <c r="G187"/>
    </row>
    <row r="188" spans="6:7" x14ac:dyDescent="0.3">
      <c r="F188"/>
      <c r="G188"/>
    </row>
    <row r="189" spans="6:7" x14ac:dyDescent="0.3">
      <c r="F189"/>
      <c r="G189"/>
    </row>
    <row r="190" spans="6:7" x14ac:dyDescent="0.3">
      <c r="F190"/>
      <c r="G190"/>
    </row>
    <row r="191" spans="6:7" x14ac:dyDescent="0.3">
      <c r="F191"/>
      <c r="G191"/>
    </row>
    <row r="192" spans="6:7" x14ac:dyDescent="0.3">
      <c r="F192"/>
      <c r="G192"/>
    </row>
    <row r="193" spans="6:7" x14ac:dyDescent="0.3">
      <c r="F193"/>
      <c r="G193"/>
    </row>
    <row r="194" spans="6:7" x14ac:dyDescent="0.3">
      <c r="F194"/>
      <c r="G194"/>
    </row>
    <row r="195" spans="6:7" x14ac:dyDescent="0.3">
      <c r="F195"/>
      <c r="G195"/>
    </row>
    <row r="196" spans="6:7" x14ac:dyDescent="0.3">
      <c r="F196"/>
      <c r="G196"/>
    </row>
    <row r="197" spans="6:7" x14ac:dyDescent="0.3">
      <c r="F197"/>
      <c r="G197"/>
    </row>
    <row r="198" spans="6:7" x14ac:dyDescent="0.3">
      <c r="F198"/>
      <c r="G198"/>
    </row>
    <row r="199" spans="6:7" x14ac:dyDescent="0.3">
      <c r="F199"/>
      <c r="G199"/>
    </row>
    <row r="200" spans="6:7" x14ac:dyDescent="0.3">
      <c r="F200"/>
      <c r="G200"/>
    </row>
    <row r="201" spans="6:7" x14ac:dyDescent="0.3">
      <c r="F201"/>
      <c r="G201"/>
    </row>
    <row r="202" spans="6:7" x14ac:dyDescent="0.3">
      <c r="F202"/>
      <c r="G202"/>
    </row>
    <row r="203" spans="6:7" x14ac:dyDescent="0.3">
      <c r="F203"/>
      <c r="G203"/>
    </row>
    <row r="204" spans="6:7" x14ac:dyDescent="0.3">
      <c r="F204"/>
      <c r="G204"/>
    </row>
    <row r="205" spans="6:7" x14ac:dyDescent="0.3">
      <c r="F205"/>
      <c r="G205"/>
    </row>
    <row r="206" spans="6:7" x14ac:dyDescent="0.3">
      <c r="F206"/>
      <c r="G206"/>
    </row>
    <row r="207" spans="6:7" x14ac:dyDescent="0.3">
      <c r="F207"/>
      <c r="G207"/>
    </row>
    <row r="208" spans="6:7" x14ac:dyDescent="0.3">
      <c r="F208"/>
      <c r="G208"/>
    </row>
    <row r="209" spans="6:7" x14ac:dyDescent="0.3">
      <c r="F209"/>
      <c r="G209"/>
    </row>
  </sheetData>
  <mergeCells count="15">
    <mergeCell ref="C75:E75"/>
    <mergeCell ref="F1:O2"/>
    <mergeCell ref="F3:O4"/>
    <mergeCell ref="A9:S9"/>
    <mergeCell ref="A33:R33"/>
    <mergeCell ref="C56:F56"/>
    <mergeCell ref="C144:E144"/>
    <mergeCell ref="C149:E149"/>
    <mergeCell ref="C156:E156"/>
    <mergeCell ref="C81:E81"/>
    <mergeCell ref="C87:E87"/>
    <mergeCell ref="C93:D93"/>
    <mergeCell ref="C106:D106"/>
    <mergeCell ref="C118:E118"/>
    <mergeCell ref="C131:E131"/>
  </mergeCells>
  <pageMargins left="0.7" right="0.7" top="0.75" bottom="0.75" header="0.3" footer="0.3"/>
  <pageSetup paperSize="8" scale="5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L63"/>
  <sheetViews>
    <sheetView view="pageBreakPreview" zoomScale="60" zoomScaleNormal="100" workbookViewId="0">
      <selection activeCell="D37" sqref="D37"/>
    </sheetView>
  </sheetViews>
  <sheetFormatPr defaultRowHeight="14.4" x14ac:dyDescent="0.3"/>
  <cols>
    <col min="1" max="1" width="4.66406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2" x14ac:dyDescent="0.3">
      <c r="A5" s="25"/>
      <c r="B5" s="21"/>
      <c r="C5" s="21"/>
      <c r="D5" s="21"/>
      <c r="E5" s="21"/>
      <c r="F5" s="21"/>
      <c r="G5" s="21"/>
      <c r="H5" s="21"/>
      <c r="I5" s="21"/>
      <c r="J5" s="29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 t="str">
        <f>Data!A13</f>
        <v>I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Data!B13</f>
        <v>CR 01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Data!D13</f>
        <v>BUTCHERY COLD ROOM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Data!K13</f>
        <v>HI 3043L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Data!L13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Data!M13</f>
        <v>1-1/8</v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Data!N13</f>
        <v>5/8</v>
      </c>
      <c r="G22" s="334"/>
      <c r="H22" s="334"/>
      <c r="I22" s="21"/>
      <c r="J22" s="29"/>
    </row>
    <row r="23" spans="1:10" ht="15" thickBot="1" x14ac:dyDescent="0.35">
      <c r="A23" s="25"/>
      <c r="B23" s="21"/>
      <c r="C23" s="21"/>
      <c r="D23" s="21"/>
      <c r="E23" s="21"/>
      <c r="F23" s="21"/>
      <c r="G23" s="21"/>
      <c r="H23" s="21"/>
      <c r="I23" s="21"/>
      <c r="J23" s="29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3.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4.2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Data!U13</f>
        <v>1-1/8</v>
      </c>
      <c r="E28" s="334"/>
      <c r="F28" s="14"/>
      <c r="G28" s="335" t="s">
        <v>40</v>
      </c>
      <c r="H28" s="335"/>
      <c r="I28" s="30" t="str">
        <f>Data!V13</f>
        <v>1/2</v>
      </c>
      <c r="J28" s="40"/>
    </row>
    <row r="29" spans="1:10" ht="25.8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Data!P13</f>
        <v>1-1/8</v>
      </c>
      <c r="E30" s="334"/>
      <c r="F30" s="14"/>
      <c r="G30" s="335" t="s">
        <v>41</v>
      </c>
      <c r="H30" s="335"/>
      <c r="I30" s="30" t="str">
        <f>Data!W13</f>
        <v>TES 2</v>
      </c>
      <c r="J30" s="40"/>
    </row>
    <row r="31" spans="1:10" ht="25.8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Data!Q13</f>
        <v>NONE</v>
      </c>
      <c r="E32" s="334"/>
      <c r="F32" s="14"/>
      <c r="G32" s="335" t="s">
        <v>42</v>
      </c>
      <c r="H32" s="335"/>
      <c r="I32" s="30" t="str">
        <f>Data!X13</f>
        <v>4</v>
      </c>
      <c r="J32" s="40"/>
    </row>
    <row r="33" spans="1:10" ht="25.8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Data!R13</f>
        <v>1-1/8</v>
      </c>
      <c r="E34" s="334"/>
      <c r="F34" s="14"/>
      <c r="G34" s="335" t="s">
        <v>60</v>
      </c>
      <c r="H34" s="335"/>
      <c r="I34" s="30" t="str">
        <f>Data!Y13</f>
        <v>1/2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Data!Z13</f>
        <v xml:space="preserve"> IN COIL</v>
      </c>
      <c r="E36" s="334"/>
      <c r="F36" s="14"/>
      <c r="G36" s="14"/>
      <c r="H36" s="14"/>
      <c r="I36" s="14"/>
      <c r="J36" s="36"/>
    </row>
    <row r="37" spans="1:10" ht="25.8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Data!AA13</f>
        <v>AT COIL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46"/>
      <c r="B41" s="47"/>
      <c r="C41" s="47"/>
      <c r="D41" s="47"/>
      <c r="E41" s="47"/>
      <c r="F41" s="47"/>
      <c r="G41" s="47"/>
      <c r="H41" s="47"/>
      <c r="I41" s="47"/>
      <c r="J41" s="48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6.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15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15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46"/>
      <c r="B57" s="47"/>
      <c r="C57" s="47"/>
      <c r="D57" s="47"/>
      <c r="E57" s="47"/>
      <c r="F57" s="47"/>
      <c r="G57" s="47"/>
      <c r="H57" s="47"/>
      <c r="I57" s="47"/>
      <c r="J57" s="48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16.2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5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16.2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56:D56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B47:D47"/>
    <mergeCell ref="G47:H47"/>
    <mergeCell ref="B34:C34"/>
    <mergeCell ref="D34:E34"/>
    <mergeCell ref="G34:H34"/>
    <mergeCell ref="B36:C36"/>
    <mergeCell ref="D36:E36"/>
    <mergeCell ref="B38:C38"/>
    <mergeCell ref="D38:E38"/>
    <mergeCell ref="C42:H43"/>
    <mergeCell ref="B45:D45"/>
    <mergeCell ref="G45:H45"/>
    <mergeCell ref="B46:D46"/>
    <mergeCell ref="G46:H46"/>
    <mergeCell ref="B30:C30"/>
    <mergeCell ref="D30:E30"/>
    <mergeCell ref="G30:H30"/>
    <mergeCell ref="B32:C32"/>
    <mergeCell ref="D32:E32"/>
    <mergeCell ref="G32:H32"/>
    <mergeCell ref="B28:C28"/>
    <mergeCell ref="D28:E28"/>
    <mergeCell ref="G28:H28"/>
    <mergeCell ref="B14:E14"/>
    <mergeCell ref="F14:H14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C2:H3"/>
    <mergeCell ref="C6:H7"/>
    <mergeCell ref="B10:E10"/>
    <mergeCell ref="F10:H10"/>
    <mergeCell ref="B12:E12"/>
    <mergeCell ref="F12:H12"/>
  </mergeCells>
  <pageMargins left="0.7" right="0.7" top="0.75" bottom="0.75" header="0.3" footer="0.3"/>
  <pageSetup paperSize="9" scale="5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pageSetUpPr fitToPage="1"/>
  </sheetPr>
  <dimension ref="A1:L63"/>
  <sheetViews>
    <sheetView view="pageBreakPreview" zoomScale="60" zoomScaleNormal="100" workbookViewId="0">
      <selection activeCell="I26" sqref="I26"/>
    </sheetView>
  </sheetViews>
  <sheetFormatPr defaultRowHeight="14.4" x14ac:dyDescent="0.3"/>
  <cols>
    <col min="1" max="1" width="4.66406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2" x14ac:dyDescent="0.3">
      <c r="A5" s="25"/>
      <c r="B5" s="21"/>
      <c r="C5" s="21"/>
      <c r="D5" s="21"/>
      <c r="E5" s="21"/>
      <c r="F5" s="21"/>
      <c r="G5" s="21"/>
      <c r="H5" s="21"/>
      <c r="I5" s="21"/>
      <c r="J5" s="29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 t="str">
        <f>Data!A14</f>
        <v>J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Data!B14</f>
        <v>CR 02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Data!D14</f>
        <v xml:space="preserve">FRUIT &amp; VEG COLD ROOM 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Data!K14</f>
        <v>HI 3044L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Data!L14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Data!M14</f>
        <v>1-1/8</v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Data!N14</f>
        <v>5/8</v>
      </c>
      <c r="G22" s="334"/>
      <c r="H22" s="334"/>
      <c r="I22" s="21"/>
      <c r="J22" s="29"/>
    </row>
    <row r="23" spans="1:10" ht="15" thickBot="1" x14ac:dyDescent="0.35">
      <c r="A23" s="25"/>
      <c r="B23" s="21"/>
      <c r="C23" s="21"/>
      <c r="D23" s="21"/>
      <c r="E23" s="21"/>
      <c r="F23" s="21"/>
      <c r="G23" s="21"/>
      <c r="H23" s="21"/>
      <c r="I23" s="21"/>
      <c r="J23" s="29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Data!U14</f>
        <v>1-1/8</v>
      </c>
      <c r="E28" s="334"/>
      <c r="F28" s="14"/>
      <c r="G28" s="335" t="s">
        <v>40</v>
      </c>
      <c r="H28" s="335"/>
      <c r="I28" s="30" t="str">
        <f>Data!V14</f>
        <v>1/2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Data!P14</f>
        <v>1-1/8</v>
      </c>
      <c r="E30" s="334"/>
      <c r="F30" s="14"/>
      <c r="G30" s="335" t="s">
        <v>41</v>
      </c>
      <c r="H30" s="335"/>
      <c r="I30" s="30" t="str">
        <f>Data!W14</f>
        <v>TES 2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Data!Q14</f>
        <v>NONE</v>
      </c>
      <c r="E32" s="334"/>
      <c r="F32" s="14"/>
      <c r="G32" s="335" t="s">
        <v>42</v>
      </c>
      <c r="H32" s="335"/>
      <c r="I32" s="30" t="str">
        <f>Data!X14</f>
        <v>4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Data!R14</f>
        <v>1-1/8</v>
      </c>
      <c r="E34" s="334"/>
      <c r="F34" s="14"/>
      <c r="G34" s="335" t="s">
        <v>60</v>
      </c>
      <c r="H34" s="335"/>
      <c r="I34" s="30" t="str">
        <f>Data!Y14</f>
        <v>1/2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Data!Z14</f>
        <v xml:space="preserve"> IN COIL</v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Data!AA14</f>
        <v>AT COIL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46"/>
      <c r="B41" s="47"/>
      <c r="C41" s="47"/>
      <c r="D41" s="47"/>
      <c r="E41" s="47"/>
      <c r="F41" s="47"/>
      <c r="G41" s="47"/>
      <c r="H41" s="47"/>
      <c r="I41" s="47"/>
      <c r="J41" s="48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46"/>
      <c r="B57" s="47"/>
      <c r="C57" s="47"/>
      <c r="D57" s="47"/>
      <c r="E57" s="47"/>
      <c r="F57" s="47"/>
      <c r="G57" s="47"/>
      <c r="H57" s="47"/>
      <c r="I57" s="47"/>
      <c r="J57" s="48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C2:H3"/>
    <mergeCell ref="B16:E16"/>
    <mergeCell ref="B18:E18"/>
    <mergeCell ref="F16:H16"/>
    <mergeCell ref="F18:H18"/>
    <mergeCell ref="C6:H7"/>
    <mergeCell ref="F14:H14"/>
    <mergeCell ref="F12:H12"/>
    <mergeCell ref="F10:H10"/>
    <mergeCell ref="B10:E10"/>
    <mergeCell ref="B12:E12"/>
    <mergeCell ref="B14:E14"/>
    <mergeCell ref="B34:C34"/>
    <mergeCell ref="D32:E32"/>
    <mergeCell ref="D30:E30"/>
    <mergeCell ref="D34:E34"/>
    <mergeCell ref="B20:E20"/>
    <mergeCell ref="B22:E22"/>
    <mergeCell ref="B32:C32"/>
    <mergeCell ref="B30:C30"/>
    <mergeCell ref="F20:H20"/>
    <mergeCell ref="F22:H22"/>
    <mergeCell ref="C25:H26"/>
    <mergeCell ref="G50:H50"/>
    <mergeCell ref="B47:D47"/>
    <mergeCell ref="B48:D48"/>
    <mergeCell ref="B45:D45"/>
    <mergeCell ref="B28:C28"/>
    <mergeCell ref="D28:E28"/>
    <mergeCell ref="G28:H28"/>
    <mergeCell ref="B49:D49"/>
    <mergeCell ref="C42:H43"/>
    <mergeCell ref="B50:D50"/>
    <mergeCell ref="G30:H30"/>
    <mergeCell ref="G32:H32"/>
    <mergeCell ref="G34:H34"/>
    <mergeCell ref="B36:C36"/>
    <mergeCell ref="B38:C38"/>
    <mergeCell ref="D36:E36"/>
    <mergeCell ref="G45:H45"/>
    <mergeCell ref="G46:H46"/>
    <mergeCell ref="B46:D46"/>
    <mergeCell ref="D38:E38"/>
    <mergeCell ref="G47:H47"/>
    <mergeCell ref="G48:H48"/>
    <mergeCell ref="G49:H49"/>
    <mergeCell ref="B53:D53"/>
    <mergeCell ref="B54:D54"/>
    <mergeCell ref="B55:D55"/>
    <mergeCell ref="B56:D56"/>
    <mergeCell ref="G51:H51"/>
    <mergeCell ref="B51:D51"/>
    <mergeCell ref="B52:D52"/>
  </mergeCells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pageSetUpPr fitToPage="1"/>
  </sheetPr>
  <dimension ref="A1:L63"/>
  <sheetViews>
    <sheetView view="pageBreakPreview" zoomScale="60" zoomScaleNormal="100" workbookViewId="0">
      <selection activeCell="U14" sqref="U14"/>
    </sheetView>
  </sheetViews>
  <sheetFormatPr defaultRowHeight="14.4" x14ac:dyDescent="0.3"/>
  <cols>
    <col min="1" max="1" width="4.8867187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.10937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9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 t="str">
        <f>Data!A15</f>
        <v>K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Data!B15</f>
        <v>CR 03a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Data!D15</f>
        <v>GENERAL COLD ROOM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Data!K15</f>
        <v>HI 3044L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Data!L15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Data!M15</f>
        <v>1-1/8</v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Data!N15</f>
        <v>5/8</v>
      </c>
      <c r="G22" s="334"/>
      <c r="H22" s="334"/>
      <c r="I22" s="21"/>
      <c r="J22" s="29"/>
    </row>
    <row r="23" spans="1:10" ht="15" thickBot="1" x14ac:dyDescent="0.35">
      <c r="A23" s="25"/>
      <c r="B23" s="21"/>
      <c r="C23" s="21"/>
      <c r="D23" s="21"/>
      <c r="E23" s="21"/>
      <c r="F23" s="21"/>
      <c r="G23" s="21"/>
      <c r="H23" s="21"/>
      <c r="I23" s="21"/>
      <c r="J23" s="29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Data!U15</f>
        <v>1-1/8</v>
      </c>
      <c r="E28" s="334"/>
      <c r="F28" s="14"/>
      <c r="G28" s="335" t="s">
        <v>40</v>
      </c>
      <c r="H28" s="335"/>
      <c r="I28" s="30" t="str">
        <f>Data!V15</f>
        <v>1/2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Data!P15</f>
        <v>1-1/8</v>
      </c>
      <c r="E30" s="334"/>
      <c r="F30" s="14"/>
      <c r="G30" s="335" t="s">
        <v>41</v>
      </c>
      <c r="H30" s="335"/>
      <c r="I30" s="30" t="str">
        <f>Data!W15</f>
        <v>TES 2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Data!Q15</f>
        <v>NONE</v>
      </c>
      <c r="E32" s="334"/>
      <c r="F32" s="14"/>
      <c r="G32" s="335" t="s">
        <v>42</v>
      </c>
      <c r="H32" s="335"/>
      <c r="I32" s="30" t="str">
        <f>Data!X15</f>
        <v>4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Data!R15</f>
        <v>1-1/8</v>
      </c>
      <c r="E34" s="334"/>
      <c r="F34" s="14"/>
      <c r="G34" s="335" t="s">
        <v>60</v>
      </c>
      <c r="H34" s="335"/>
      <c r="I34" s="30" t="str">
        <f>Data!Y15</f>
        <v>1/2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Data!Z15</f>
        <v xml:space="preserve"> IN COIL</v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Data!AA15</f>
        <v>AT COIL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46"/>
      <c r="B41" s="47"/>
      <c r="C41" s="47"/>
      <c r="D41" s="47"/>
      <c r="E41" s="47"/>
      <c r="F41" s="47"/>
      <c r="G41" s="47"/>
      <c r="H41" s="47"/>
      <c r="I41" s="47"/>
      <c r="J41" s="48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46"/>
      <c r="B57" s="47"/>
      <c r="C57" s="47"/>
      <c r="D57" s="47"/>
      <c r="E57" s="47"/>
      <c r="F57" s="47"/>
      <c r="G57" s="47"/>
      <c r="H57" s="47"/>
      <c r="I57" s="47"/>
      <c r="J57" s="48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pageSetUpPr fitToPage="1"/>
  </sheetPr>
  <dimension ref="A1:L63"/>
  <sheetViews>
    <sheetView view="pageBreakPreview" zoomScale="60" zoomScaleNormal="100" workbookViewId="0">
      <selection activeCell="I34" sqref="I34"/>
    </sheetView>
  </sheetViews>
  <sheetFormatPr defaultRowHeight="14.4" x14ac:dyDescent="0.3"/>
  <cols>
    <col min="1" max="1" width="5.441406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.10937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9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 t="str">
        <f>Data!A16</f>
        <v>L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Data!B16</f>
        <v>CR 03b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Data!D16</f>
        <v>GENERAL COLD ROOM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Data!K16</f>
        <v>HI 3044L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Data!L16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Data!M16</f>
        <v>1-1/8</v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Data!N16</f>
        <v>5/8</v>
      </c>
      <c r="G22" s="334"/>
      <c r="H22" s="334"/>
      <c r="I22" s="21"/>
      <c r="J22" s="29"/>
    </row>
    <row r="23" spans="1:10" ht="15" thickBot="1" x14ac:dyDescent="0.35">
      <c r="A23" s="25"/>
      <c r="B23" s="21"/>
      <c r="C23" s="21"/>
      <c r="D23" s="21"/>
      <c r="E23" s="21"/>
      <c r="F23" s="21"/>
      <c r="G23" s="21"/>
      <c r="H23" s="21"/>
      <c r="I23" s="21"/>
      <c r="J23" s="29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Data!U16</f>
        <v>1-1/8</v>
      </c>
      <c r="E28" s="334"/>
      <c r="F28" s="14"/>
      <c r="G28" s="335" t="s">
        <v>40</v>
      </c>
      <c r="H28" s="335"/>
      <c r="I28" s="79" t="str">
        <f>Data!V16</f>
        <v>1/2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Data!P16</f>
        <v>1-1/8</v>
      </c>
      <c r="E30" s="334"/>
      <c r="F30" s="14"/>
      <c r="G30" s="335" t="s">
        <v>41</v>
      </c>
      <c r="H30" s="335"/>
      <c r="I30" s="79" t="str">
        <f>Data!W16</f>
        <v>TES 2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Data!Q16</f>
        <v>NONE</v>
      </c>
      <c r="E32" s="334"/>
      <c r="F32" s="14"/>
      <c r="G32" s="335" t="s">
        <v>42</v>
      </c>
      <c r="H32" s="335"/>
      <c r="I32" s="79" t="str">
        <f>Data!X16</f>
        <v>4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Data!R16</f>
        <v>1-1/8</v>
      </c>
      <c r="E34" s="334"/>
      <c r="F34" s="14"/>
      <c r="G34" s="335" t="s">
        <v>60</v>
      </c>
      <c r="H34" s="335"/>
      <c r="I34" s="79" t="str">
        <f>Data!Y16</f>
        <v>1/2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Data!Z16</f>
        <v xml:space="preserve"> IN COIL</v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Data!AA16</f>
        <v>AT COIL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pageSetUpPr fitToPage="1"/>
  </sheetPr>
  <dimension ref="A1:L63"/>
  <sheetViews>
    <sheetView view="pageBreakPreview" topLeftCell="A6" zoomScale="60" zoomScaleNormal="100" workbookViewId="0">
      <selection activeCell="I35" sqref="I35"/>
    </sheetView>
  </sheetViews>
  <sheetFormatPr defaultRowHeight="14.4" x14ac:dyDescent="0.3"/>
  <cols>
    <col min="1" max="1" width="5.332031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ht="15" customHeight="1" x14ac:dyDescent="0.65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  <c r="K2" s="4"/>
      <c r="L2" s="4"/>
    </row>
    <row r="3" spans="1:12" ht="15" customHeight="1" thickBot="1" x14ac:dyDescent="0.7">
      <c r="A3" s="25"/>
      <c r="B3" s="21"/>
      <c r="C3" s="329"/>
      <c r="D3" s="330"/>
      <c r="E3" s="330"/>
      <c r="F3" s="330"/>
      <c r="G3" s="330"/>
      <c r="H3" s="331"/>
      <c r="I3" s="21"/>
      <c r="J3" s="29"/>
      <c r="K3" s="4"/>
      <c r="L3" s="4"/>
    </row>
    <row r="4" spans="1:12" ht="15" thickBot="1" x14ac:dyDescent="0.35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9"/>
    </row>
    <row r="6" spans="1:12" ht="21.75" customHeight="1" x14ac:dyDescent="0.3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</row>
    <row r="7" spans="1:12" ht="12.75" customHeight="1" x14ac:dyDescent="0.3">
      <c r="A7" s="27"/>
      <c r="B7" s="28"/>
      <c r="C7" s="332"/>
      <c r="D7" s="332"/>
      <c r="E7" s="332"/>
      <c r="F7" s="332"/>
      <c r="G7" s="332"/>
      <c r="H7" s="332"/>
      <c r="I7" s="28"/>
      <c r="J7" s="26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5.8" x14ac:dyDescent="0.3">
      <c r="A10" s="25"/>
      <c r="B10" s="333" t="s">
        <v>29</v>
      </c>
      <c r="C10" s="333"/>
      <c r="D10" s="333"/>
      <c r="E10" s="333"/>
      <c r="F10" s="334" t="str">
        <f>Data!A17</f>
        <v>M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Data!B17</f>
        <v>CR 04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Data!D17</f>
        <v>DELI COLD ROOM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Data!K17</f>
        <v>HI 3023L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Data!L17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Data!M17</f>
        <v>7/8</v>
      </c>
      <c r="G20" s="334"/>
      <c r="H20" s="334"/>
      <c r="I20" s="21"/>
      <c r="J20" s="29"/>
    </row>
    <row r="21" spans="1:10" ht="15" customHeight="1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4" customHeight="1" x14ac:dyDescent="0.3">
      <c r="A22" s="25"/>
      <c r="B22" s="333" t="s">
        <v>34</v>
      </c>
      <c r="C22" s="333"/>
      <c r="D22" s="333"/>
      <c r="E22" s="333"/>
      <c r="F22" s="334" t="str">
        <f>Data!N17</f>
        <v>1/2</v>
      </c>
      <c r="G22" s="334"/>
      <c r="H22" s="334"/>
      <c r="I22" s="21"/>
      <c r="J22" s="29"/>
    </row>
    <row r="23" spans="1:10" ht="15" thickBot="1" x14ac:dyDescent="0.35">
      <c r="A23" s="25"/>
      <c r="B23" s="21"/>
      <c r="C23" s="21"/>
      <c r="D23" s="21"/>
      <c r="E23" s="21"/>
      <c r="F23" s="21"/>
      <c r="G23" s="21"/>
      <c r="H23" s="21"/>
      <c r="I23" s="21"/>
      <c r="J23" s="29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.7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ht="13.5" customHeight="1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Data!U17</f>
        <v>3/4</v>
      </c>
      <c r="E28" s="334"/>
      <c r="F28" s="14"/>
      <c r="G28" s="335" t="s">
        <v>40</v>
      </c>
      <c r="H28" s="335"/>
      <c r="I28" s="30" t="str">
        <f>Data!V17</f>
        <v>1/2</v>
      </c>
      <c r="J28" s="40"/>
    </row>
    <row r="29" spans="1:10" ht="12.7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Data!P17</f>
        <v>7/8</v>
      </c>
      <c r="E30" s="334"/>
      <c r="F30" s="14"/>
      <c r="G30" s="335" t="s">
        <v>41</v>
      </c>
      <c r="H30" s="335"/>
      <c r="I30" s="30" t="str">
        <f>Data!W17</f>
        <v>TES 2</v>
      </c>
      <c r="J30" s="40"/>
    </row>
    <row r="31" spans="1:10" ht="25.8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Data!Q17</f>
        <v>7/8  &gt;  3/4</v>
      </c>
      <c r="E32" s="334"/>
      <c r="F32" s="14"/>
      <c r="G32" s="335" t="s">
        <v>42</v>
      </c>
      <c r="H32" s="335"/>
      <c r="I32" s="30" t="str">
        <f>Data!X17</f>
        <v>2</v>
      </c>
      <c r="J32" s="40"/>
    </row>
    <row r="33" spans="1:10" ht="15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Data!R17</f>
        <v>3/4</v>
      </c>
      <c r="E34" s="334"/>
      <c r="F34" s="14"/>
      <c r="G34" s="335" t="s">
        <v>60</v>
      </c>
      <c r="H34" s="335"/>
      <c r="I34" s="30" t="str">
        <f>Data!Y17</f>
        <v>1/2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Data!Z17</f>
        <v xml:space="preserve"> IN COIL</v>
      </c>
      <c r="E36" s="334"/>
      <c r="F36" s="14"/>
      <c r="G36" s="14"/>
      <c r="H36" s="14"/>
      <c r="I36" s="14"/>
      <c r="J36" s="36"/>
    </row>
    <row r="37" spans="1:10" ht="1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4" customHeight="1" x14ac:dyDescent="0.3">
      <c r="A38" s="35"/>
      <c r="B38" s="335" t="s">
        <v>44</v>
      </c>
      <c r="C38" s="335"/>
      <c r="D38" s="334" t="str">
        <f>Data!AA17</f>
        <v>AT COIL</v>
      </c>
      <c r="E38" s="334"/>
      <c r="F38" s="14"/>
      <c r="G38" s="14"/>
      <c r="H38" s="14"/>
      <c r="I38" s="14"/>
      <c r="J38" s="36"/>
    </row>
    <row r="39" spans="1:10" ht="15" customHeight="1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ht="24.9" customHeight="1" x14ac:dyDescent="0.3">
      <c r="A41" s="46"/>
      <c r="B41" s="47"/>
      <c r="C41" s="47"/>
      <c r="D41" s="47"/>
      <c r="E41" s="47"/>
      <c r="F41" s="47"/>
      <c r="G41" s="47"/>
      <c r="H41" s="47"/>
      <c r="I41" s="47"/>
      <c r="J41" s="48"/>
    </row>
    <row r="42" spans="1:10" ht="10.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21.7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ht="24.9" customHeight="1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30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17.25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7.25" customHeight="1" thickBot="1" x14ac:dyDescent="0.35">
      <c r="A57" s="46"/>
      <c r="B57" s="47"/>
      <c r="C57" s="47"/>
      <c r="D57" s="47"/>
      <c r="E57" s="47"/>
      <c r="F57" s="47"/>
      <c r="G57" s="47"/>
      <c r="H57" s="47"/>
      <c r="I57" s="47"/>
      <c r="J57" s="48"/>
    </row>
    <row r="58" spans="1:10" ht="23.25" customHeight="1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23.25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5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24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pageSetUpPr fitToPage="1"/>
  </sheetPr>
  <dimension ref="A1:L63"/>
  <sheetViews>
    <sheetView view="pageBreakPreview" zoomScale="60" zoomScaleNormal="100" workbookViewId="0">
      <selection activeCell="I34" sqref="I34"/>
    </sheetView>
  </sheetViews>
  <sheetFormatPr defaultRowHeight="14.4" x14ac:dyDescent="0.3"/>
  <cols>
    <col min="1" max="1" width="6.332031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6.3320312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ht="15" customHeight="1" x14ac:dyDescent="0.65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  <c r="K2" s="4"/>
      <c r="L2" s="4"/>
    </row>
    <row r="3" spans="1:12" ht="15" customHeight="1" thickBot="1" x14ac:dyDescent="0.7">
      <c r="A3" s="25"/>
      <c r="B3" s="21"/>
      <c r="C3" s="329"/>
      <c r="D3" s="330"/>
      <c r="E3" s="330"/>
      <c r="F3" s="330"/>
      <c r="G3" s="330"/>
      <c r="H3" s="331"/>
      <c r="I3" s="21"/>
      <c r="J3" s="29"/>
      <c r="K3" s="4"/>
      <c r="L3" s="4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24.75" customHeight="1" x14ac:dyDescent="0.3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</row>
    <row r="7" spans="1:12" ht="6.75" customHeight="1" x14ac:dyDescent="0.3">
      <c r="A7" s="27"/>
      <c r="B7" s="28"/>
      <c r="C7" s="332"/>
      <c r="D7" s="332"/>
      <c r="E7" s="332"/>
      <c r="F7" s="332"/>
      <c r="G7" s="332"/>
      <c r="H7" s="332"/>
      <c r="I7" s="28"/>
      <c r="J7" s="26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5.8" x14ac:dyDescent="0.3">
      <c r="A10" s="25"/>
      <c r="B10" s="333" t="s">
        <v>29</v>
      </c>
      <c r="C10" s="333"/>
      <c r="D10" s="333"/>
      <c r="E10" s="333"/>
      <c r="F10" s="334" t="str">
        <f>Data!A18</f>
        <v>N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Data!B18</f>
        <v>CR 05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Data!D18</f>
        <v>BAKERY COLD ROOM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Data!K18</f>
        <v>HI 3023L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Data!L18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Data!M18</f>
        <v>7/8</v>
      </c>
      <c r="G20" s="334"/>
      <c r="H20" s="334"/>
      <c r="I20" s="21"/>
      <c r="J20" s="29"/>
    </row>
    <row r="21" spans="1:10" ht="15" customHeight="1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2.5" customHeight="1" x14ac:dyDescent="0.3">
      <c r="A22" s="25"/>
      <c r="B22" s="333" t="s">
        <v>34</v>
      </c>
      <c r="C22" s="333"/>
      <c r="D22" s="333"/>
      <c r="E22" s="333"/>
      <c r="F22" s="334" t="str">
        <f>Data!N18</f>
        <v>1/2</v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3.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ht="13.5" customHeight="1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Data!U18</f>
        <v>7/8</v>
      </c>
      <c r="E28" s="334"/>
      <c r="F28" s="14"/>
      <c r="G28" s="335" t="s">
        <v>40</v>
      </c>
      <c r="H28" s="335"/>
      <c r="I28" s="30" t="str">
        <f>Data!V18</f>
        <v>1/2</v>
      </c>
      <c r="J28" s="40"/>
    </row>
    <row r="29" spans="1:10" ht="12.7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Data!P18</f>
        <v>7/8</v>
      </c>
      <c r="E30" s="334"/>
      <c r="F30" s="14"/>
      <c r="G30" s="335" t="s">
        <v>41</v>
      </c>
      <c r="H30" s="335"/>
      <c r="I30" s="30" t="str">
        <f>Data!W18</f>
        <v>TES 2</v>
      </c>
      <c r="J30" s="40"/>
    </row>
    <row r="31" spans="1:10" ht="25.8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Data!Q18</f>
        <v>NONE</v>
      </c>
      <c r="E32" s="334"/>
      <c r="F32" s="14"/>
      <c r="G32" s="335" t="s">
        <v>42</v>
      </c>
      <c r="H32" s="335"/>
      <c r="I32" s="30" t="str">
        <f>Data!X18</f>
        <v>2</v>
      </c>
      <c r="J32" s="40"/>
    </row>
    <row r="33" spans="1:10" ht="15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Data!R18</f>
        <v>7/8</v>
      </c>
      <c r="E34" s="334"/>
      <c r="F34" s="14"/>
      <c r="G34" s="335" t="s">
        <v>60</v>
      </c>
      <c r="H34" s="335"/>
      <c r="I34" s="30" t="str">
        <f>Data!Y18</f>
        <v>1/2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Data!Z18</f>
        <v xml:space="preserve"> IN COIL</v>
      </c>
      <c r="E36" s="334"/>
      <c r="F36" s="14"/>
      <c r="G36" s="14"/>
      <c r="H36" s="14"/>
      <c r="I36" s="14"/>
      <c r="J36" s="36"/>
    </row>
    <row r="37" spans="1:10" ht="16.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4.75" customHeight="1" x14ac:dyDescent="0.3">
      <c r="A38" s="35"/>
      <c r="B38" s="335" t="s">
        <v>44</v>
      </c>
      <c r="C38" s="335"/>
      <c r="D38" s="334" t="str">
        <f>Data!AA18</f>
        <v>AT COIL</v>
      </c>
      <c r="E38" s="334"/>
      <c r="F38" s="14"/>
      <c r="G38" s="14"/>
      <c r="H38" s="14"/>
      <c r="I38" s="14"/>
      <c r="J38" s="36"/>
    </row>
    <row r="39" spans="1:10" ht="15" customHeight="1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ht="24.9" customHeight="1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21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9.7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ht="24.9" customHeight="1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8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8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8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8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8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8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8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30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6.25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7.25" customHeight="1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30" customHeight="1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23.25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5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22.5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>
    <pageSetUpPr fitToPage="1"/>
  </sheetPr>
  <dimension ref="A1:L63"/>
  <sheetViews>
    <sheetView view="pageBreakPreview" topLeftCell="A7" zoomScale="60" zoomScaleNormal="100" workbookViewId="0">
      <selection activeCell="I34" sqref="I34"/>
    </sheetView>
  </sheetViews>
  <sheetFormatPr defaultRowHeight="14.4" x14ac:dyDescent="0.3"/>
  <cols>
    <col min="1" max="1" width="5.441406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 t="str">
        <f>Data!A19</f>
        <v>O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Data!B19</f>
        <v>DT 01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Data!D19</f>
        <v>FRUIT &amp; VEG PREP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Data!K19</f>
        <v>HI 3024H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Data!L19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Data!M19</f>
        <v>7/8</v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Data!N19</f>
        <v>1/2</v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Data!U19</f>
        <v>3/4</v>
      </c>
      <c r="E28" s="334"/>
      <c r="F28" s="14"/>
      <c r="G28" s="335" t="s">
        <v>40</v>
      </c>
      <c r="H28" s="335"/>
      <c r="I28" s="30" t="str">
        <f>Data!V19</f>
        <v>1/2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Data!P19</f>
        <v>7/8</v>
      </c>
      <c r="E30" s="334"/>
      <c r="F30" s="14"/>
      <c r="G30" s="335" t="s">
        <v>41</v>
      </c>
      <c r="H30" s="335"/>
      <c r="I30" s="30" t="str">
        <f>Data!W19</f>
        <v>TES 2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Data!Q19</f>
        <v>7/8  &gt;  3/4</v>
      </c>
      <c r="E32" s="334"/>
      <c r="F32" s="14"/>
      <c r="G32" s="335" t="s">
        <v>42</v>
      </c>
      <c r="H32" s="335"/>
      <c r="I32" s="30" t="str">
        <f>Data!X19</f>
        <v>3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Data!R19</f>
        <v>3/4</v>
      </c>
      <c r="E34" s="334"/>
      <c r="F34" s="14"/>
      <c r="G34" s="335" t="s">
        <v>60</v>
      </c>
      <c r="H34" s="335"/>
      <c r="I34" s="30" t="str">
        <f>Data!Y19</f>
        <v>1/2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Data!Z19</f>
        <v xml:space="preserve"> IN COIL</v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Data!AA19</f>
        <v>AT COIL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>
    <pageSetUpPr fitToPage="1"/>
  </sheetPr>
  <dimension ref="A1:L63"/>
  <sheetViews>
    <sheetView topLeftCell="A4" zoomScale="55" zoomScaleNormal="55" workbookViewId="0">
      <selection activeCell="I34" sqref="I34"/>
    </sheetView>
  </sheetViews>
  <sheetFormatPr defaultRowHeight="14.4" x14ac:dyDescent="0.3"/>
  <cols>
    <col min="1" max="1" width="6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.3320312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 t="str">
        <f>Data!A20</f>
        <v>P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Data!B20</f>
        <v>DT 02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Data!D20</f>
        <v>BUTCHERY PREP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Data!K20</f>
        <v>HI 3054H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Data!L20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Data!M20</f>
        <v>1-1/8</v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Data!N20</f>
        <v>5/8</v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Data!U20</f>
        <v>1-1/8</v>
      </c>
      <c r="E28" s="334"/>
      <c r="F28" s="14"/>
      <c r="G28" s="335" t="s">
        <v>40</v>
      </c>
      <c r="H28" s="335"/>
      <c r="I28" s="30" t="str">
        <f>Data!V20</f>
        <v>5/8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Data!P20</f>
        <v>1-1/8</v>
      </c>
      <c r="E30" s="334"/>
      <c r="F30" s="14"/>
      <c r="G30" s="335" t="s">
        <v>41</v>
      </c>
      <c r="H30" s="335"/>
      <c r="I30" s="30" t="str">
        <f>Data!W20</f>
        <v>TES 2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Data!Q20</f>
        <v>NONE</v>
      </c>
      <c r="E32" s="334"/>
      <c r="F32" s="14"/>
      <c r="G32" s="335" t="s">
        <v>42</v>
      </c>
      <c r="H32" s="335"/>
      <c r="I32" s="30" t="str">
        <f>Data!X20</f>
        <v>5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Data!R20</f>
        <v>1-1/8</v>
      </c>
      <c r="E34" s="334"/>
      <c r="F34" s="14"/>
      <c r="G34" s="335" t="s">
        <v>60</v>
      </c>
      <c r="H34" s="335"/>
      <c r="I34" s="30" t="str">
        <f>Data!Y20</f>
        <v>5/8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Data!Z20</f>
        <v xml:space="preserve"> IN COIL</v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Data!AA20</f>
        <v>AT COIL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>
    <pageSetUpPr fitToPage="1"/>
  </sheetPr>
  <dimension ref="A1:L63"/>
  <sheetViews>
    <sheetView topLeftCell="A12" zoomScale="55" zoomScaleNormal="55" workbookViewId="0">
      <selection activeCell="I34" sqref="I34"/>
    </sheetView>
  </sheetViews>
  <sheetFormatPr defaultRowHeight="14.4" x14ac:dyDescent="0.3"/>
  <cols>
    <col min="1" max="1" width="5.332031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.10937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 t="str">
        <f>Data!A21</f>
        <v>Q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Data!B21</f>
        <v>DT 03a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Data!D21</f>
        <v>RECEIVING DROP DEMP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Data!K21</f>
        <v>HI 3043H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Data!L21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Data!M21</f>
        <v>1-1/8</v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Data!N21</f>
        <v>5/8</v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Data!U21</f>
        <v>1-1/8</v>
      </c>
      <c r="E28" s="334"/>
      <c r="F28" s="14"/>
      <c r="G28" s="335" t="s">
        <v>40</v>
      </c>
      <c r="H28" s="335"/>
      <c r="I28" s="30" t="str">
        <f>Data!V21</f>
        <v>1/2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Data!P21</f>
        <v>1-1/8</v>
      </c>
      <c r="E30" s="334"/>
      <c r="F30" s="14"/>
      <c r="G30" s="335" t="s">
        <v>41</v>
      </c>
      <c r="H30" s="335"/>
      <c r="I30" s="30" t="str">
        <f>Data!W21</f>
        <v>TES 2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Data!Q21</f>
        <v>NONE</v>
      </c>
      <c r="E32" s="334"/>
      <c r="F32" s="14"/>
      <c r="G32" s="335" t="s">
        <v>42</v>
      </c>
      <c r="H32" s="335"/>
      <c r="I32" s="30" t="str">
        <f>Data!X21</f>
        <v>4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Data!R21</f>
        <v>1-1/8</v>
      </c>
      <c r="E34" s="334"/>
      <c r="F34" s="14"/>
      <c r="G34" s="335" t="s">
        <v>60</v>
      </c>
      <c r="H34" s="335"/>
      <c r="I34" s="30" t="str">
        <f>Data!Y21</f>
        <v>1/2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Data!Z21</f>
        <v xml:space="preserve"> IN COIL</v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Data!AA21</f>
        <v>AT COIL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pageSetUpPr fitToPage="1"/>
  </sheetPr>
  <dimension ref="A1:L63"/>
  <sheetViews>
    <sheetView topLeftCell="A8" zoomScale="70" zoomScaleNormal="70" workbookViewId="0">
      <selection activeCell="F10" sqref="F10:H10"/>
    </sheetView>
  </sheetViews>
  <sheetFormatPr defaultRowHeight="14.4" x14ac:dyDescent="0.3"/>
  <cols>
    <col min="1" max="1" width="5.66406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.10937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ht="15" customHeight="1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.75" customHeight="1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 t="str">
        <f>Data!A22</f>
        <v>R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Data!B22</f>
        <v>DT 03b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Data!D22</f>
        <v>RECEIVING DROP DEMP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Data!K22</f>
        <v>HI 3043H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Data!L22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Data!M22</f>
        <v>1-1/8</v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Data!N22</f>
        <v>5/8</v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Data!U22</f>
        <v>1-1/8</v>
      </c>
      <c r="E28" s="334"/>
      <c r="F28" s="14"/>
      <c r="G28" s="335" t="s">
        <v>40</v>
      </c>
      <c r="H28" s="335"/>
      <c r="I28" s="30" t="str">
        <f>Data!V22</f>
        <v>1/2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Data!P22</f>
        <v>1-1/8</v>
      </c>
      <c r="E30" s="334"/>
      <c r="F30" s="14"/>
      <c r="G30" s="335" t="s">
        <v>41</v>
      </c>
      <c r="H30" s="335"/>
      <c r="I30" s="30" t="str">
        <f>Data!W22</f>
        <v>TES 2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Data!Q22</f>
        <v>NONE</v>
      </c>
      <c r="E32" s="334"/>
      <c r="F32" s="14"/>
      <c r="G32" s="335" t="s">
        <v>42</v>
      </c>
      <c r="H32" s="335"/>
      <c r="I32" s="30" t="str">
        <f>Data!X22</f>
        <v>4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Data!R22</f>
        <v>1-1/8</v>
      </c>
      <c r="E34" s="334"/>
      <c r="F34" s="14"/>
      <c r="G34" s="335" t="s">
        <v>60</v>
      </c>
      <c r="H34" s="335"/>
      <c r="I34" s="30" t="str">
        <f>Data!Y22</f>
        <v>1/2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Data!Z22</f>
        <v xml:space="preserve"> IN COIL</v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Data!AA22</f>
        <v>AT COIL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>
    <pageSetUpPr fitToPage="1"/>
  </sheetPr>
  <dimension ref="A1:L63"/>
  <sheetViews>
    <sheetView topLeftCell="A15" zoomScale="70" zoomScaleNormal="70" workbookViewId="0">
      <selection activeCell="F10" sqref="F10:H10"/>
    </sheetView>
  </sheetViews>
  <sheetFormatPr defaultRowHeight="14.4" x14ac:dyDescent="0.3"/>
  <cols>
    <col min="1" max="1" width="5.332031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8.4414062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 t="str">
        <f>Data!A23</f>
        <v>LS1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Data!B23</f>
        <v>CR 06a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Data!D23</f>
        <v>WALK IN COLD ROOM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Data!K23</f>
        <v>HI 3044L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Data!L23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Data!M23</f>
        <v>1-1/8</v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Data!N23</f>
        <v>5/8</v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Data!U23</f>
        <v>1-3/8</v>
      </c>
      <c r="E28" s="334"/>
      <c r="F28" s="14"/>
      <c r="G28" s="335" t="s">
        <v>40</v>
      </c>
      <c r="H28" s="335"/>
      <c r="I28" s="30" t="str">
        <f>Data!V23</f>
        <v>5/8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Data!P23</f>
        <v>1-1/8</v>
      </c>
      <c r="E30" s="334"/>
      <c r="F30" s="14"/>
      <c r="G30" s="335" t="s">
        <v>41</v>
      </c>
      <c r="H30" s="335"/>
      <c r="I30" s="30" t="str">
        <f>Data!W23</f>
        <v>TES 2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Data!Q23</f>
        <v>1-3/8  &gt;  1-1/8</v>
      </c>
      <c r="E32" s="334"/>
      <c r="F32" s="14"/>
      <c r="G32" s="335" t="s">
        <v>42</v>
      </c>
      <c r="H32" s="335"/>
      <c r="I32" s="30" t="str">
        <f>Data!X23</f>
        <v>4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Data!R23</f>
        <v>1-3/8</v>
      </c>
      <c r="E34" s="334"/>
      <c r="F34" s="14"/>
      <c r="G34" s="335" t="s">
        <v>60</v>
      </c>
      <c r="H34" s="335"/>
      <c r="I34" s="30" t="str">
        <f>Data!Y23</f>
        <v>5/8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Data!Z23</f>
        <v xml:space="preserve"> IN COIL</v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Data!AA23</f>
        <v>AT COIL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>
    <pageSetUpPr fitToPage="1"/>
  </sheetPr>
  <dimension ref="A1:L63"/>
  <sheetViews>
    <sheetView zoomScale="70" zoomScaleNormal="70" workbookViewId="0">
      <selection activeCell="D39" sqref="D39"/>
    </sheetView>
  </sheetViews>
  <sheetFormatPr defaultRowHeight="14.4" x14ac:dyDescent="0.3"/>
  <cols>
    <col min="1" max="1" width="6.10937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8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 t="str">
        <f>Data!A24</f>
        <v>LS2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Data!B24</f>
        <v>CR 06b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Data!D24</f>
        <v>WALK IN COLD ROOM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Data!K24</f>
        <v>HI 3044L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Data!L24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Data!M24</f>
        <v>1-1/8</v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Data!N24</f>
        <v>5/8</v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Data!R24</f>
        <v>1-3/8</v>
      </c>
      <c r="E28" s="334"/>
      <c r="F28" s="14"/>
      <c r="G28" s="335" t="s">
        <v>40</v>
      </c>
      <c r="H28" s="335"/>
      <c r="I28" s="30" t="str">
        <f>Data!V24</f>
        <v>5/8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Data!P24</f>
        <v>1-1/8</v>
      </c>
      <c r="E30" s="334"/>
      <c r="F30" s="14"/>
      <c r="G30" s="335" t="s">
        <v>41</v>
      </c>
      <c r="H30" s="335"/>
      <c r="I30" s="30" t="str">
        <f>Data!W24</f>
        <v>TES 2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Data!Q24</f>
        <v>1-3/8  &gt;  1-1/8</v>
      </c>
      <c r="E32" s="334"/>
      <c r="F32" s="14"/>
      <c r="G32" s="335" t="s">
        <v>42</v>
      </c>
      <c r="H32" s="335"/>
      <c r="I32" s="271" t="str">
        <f>Data!X24</f>
        <v>4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Data!R24</f>
        <v>1-3/8</v>
      </c>
      <c r="E34" s="334"/>
      <c r="F34" s="14"/>
      <c r="G34" s="335" t="s">
        <v>60</v>
      </c>
      <c r="H34" s="335"/>
      <c r="I34" s="30" t="str">
        <f>Data!Y24</f>
        <v>5/8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Data!Z24</f>
        <v xml:space="preserve"> IN COIL</v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Data!AA24</f>
        <v>AT COIL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5.441406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 t="str">
        <f>Data!A24</f>
        <v>LS2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Data!B24</f>
        <v>CR 06b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Data!D24</f>
        <v>WALK IN COLD ROOM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Data!K24</f>
        <v>HI 3044L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Data!L24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Data!M24</f>
        <v>1-1/8</v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Data!N24</f>
        <v>5/8</v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Data!U24</f>
        <v>1-3/8</v>
      </c>
      <c r="E28" s="334"/>
      <c r="F28" s="14"/>
      <c r="G28" s="335" t="s">
        <v>40</v>
      </c>
      <c r="H28" s="335"/>
      <c r="I28" s="30" t="str">
        <f>Data!V24</f>
        <v>5/8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Data!P24</f>
        <v>1-1/8</v>
      </c>
      <c r="E30" s="334"/>
      <c r="F30" s="14"/>
      <c r="G30" s="335" t="s">
        <v>41</v>
      </c>
      <c r="H30" s="335"/>
      <c r="I30" s="30" t="str">
        <f>Data!W24</f>
        <v>TES 2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Data!Q24</f>
        <v>1-3/8  &gt;  1-1/8</v>
      </c>
      <c r="E32" s="334"/>
      <c r="F32" s="14"/>
      <c r="G32" s="335" t="s">
        <v>42</v>
      </c>
      <c r="H32" s="335"/>
      <c r="I32" s="30" t="str">
        <f>Data!X24</f>
        <v>4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Data!R24</f>
        <v>1-3/8</v>
      </c>
      <c r="E34" s="334"/>
      <c r="F34" s="14"/>
      <c r="G34" s="335" t="s">
        <v>60</v>
      </c>
      <c r="H34" s="335"/>
      <c r="I34" s="30" t="str">
        <f>Data!Y24</f>
        <v>5/8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Data!Z24</f>
        <v xml:space="preserve"> IN COIL</v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Data!AA24</f>
        <v>AT COIL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6.332031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.4414062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Data!A25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Data!B25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>
        <f>Data!D25</f>
        <v>0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Data!K25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Data!L25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Data!M25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Data!N25</f>
        <v/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Data!U25</f>
        <v>0</v>
      </c>
      <c r="E28" s="334"/>
      <c r="F28" s="14"/>
      <c r="G28" s="335" t="s">
        <v>40</v>
      </c>
      <c r="H28" s="335"/>
      <c r="I28" s="30">
        <f>Data!V25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Data!P25</f>
        <v/>
      </c>
      <c r="E30" s="334"/>
      <c r="F30" s="14"/>
      <c r="G30" s="335" t="s">
        <v>41</v>
      </c>
      <c r="H30" s="335"/>
      <c r="I30" s="30">
        <f>Data!W25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Data!Q25</f>
        <v/>
      </c>
      <c r="E32" s="334"/>
      <c r="F32" s="14"/>
      <c r="G32" s="335" t="s">
        <v>42</v>
      </c>
      <c r="H32" s="335"/>
      <c r="I32" s="30">
        <f>Data!X25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Data!R25</f>
        <v/>
      </c>
      <c r="E34" s="334"/>
      <c r="F34" s="14"/>
      <c r="G34" s="335" t="s">
        <v>60</v>
      </c>
      <c r="H34" s="335"/>
      <c r="I34" s="30" t="str">
        <f>Data!Y25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Data!Z25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>
        <f>Data!AA25</f>
        <v>0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5.441406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6.8867187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Data!A26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Data!B26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>
        <f>Data!D26</f>
        <v>0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Data!K26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Data!L26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Data!M26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Data!N26</f>
        <v/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Data!U26</f>
        <v>0</v>
      </c>
      <c r="E28" s="334"/>
      <c r="F28" s="14"/>
      <c r="G28" s="335" t="s">
        <v>40</v>
      </c>
      <c r="H28" s="335"/>
      <c r="I28" s="30">
        <f>Data!V26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Data!P26</f>
        <v/>
      </c>
      <c r="E30" s="334"/>
      <c r="F30" s="14"/>
      <c r="G30" s="335" t="s">
        <v>41</v>
      </c>
      <c r="H30" s="335"/>
      <c r="I30" s="30">
        <f>Data!W26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Data!Q26</f>
        <v/>
      </c>
      <c r="E32" s="334"/>
      <c r="F32" s="14"/>
      <c r="G32" s="335" t="s">
        <v>42</v>
      </c>
      <c r="H32" s="335"/>
      <c r="I32" s="30">
        <f>Data!X26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Data!R26</f>
        <v/>
      </c>
      <c r="E34" s="334"/>
      <c r="F34" s="14"/>
      <c r="G34" s="335" t="s">
        <v>60</v>
      </c>
      <c r="H34" s="335"/>
      <c r="I34" s="30" t="str">
        <f>Data!Y26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Data!Z26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Data!AA26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5.8867187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.4414062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Data!A27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Data!B27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>
        <f>Data!D27</f>
        <v>0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Data!K27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Data!L27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Data!M27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Data!N27</f>
        <v/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Data!U27</f>
        <v>0</v>
      </c>
      <c r="E28" s="334"/>
      <c r="F28" s="14"/>
      <c r="G28" s="335" t="s">
        <v>40</v>
      </c>
      <c r="H28" s="335"/>
      <c r="I28" s="30">
        <f>Data!V27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Data!P27</f>
        <v/>
      </c>
      <c r="E30" s="334"/>
      <c r="F30" s="14"/>
      <c r="G30" s="335" t="s">
        <v>41</v>
      </c>
      <c r="H30" s="335"/>
      <c r="I30" s="30">
        <f>Data!W27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Data!Q27</f>
        <v/>
      </c>
      <c r="E32" s="334"/>
      <c r="F32" s="14"/>
      <c r="G32" s="335" t="s">
        <v>42</v>
      </c>
      <c r="H32" s="335"/>
      <c r="I32" s="30">
        <f>Data!X27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Data!R27</f>
        <v/>
      </c>
      <c r="E34" s="334"/>
      <c r="F34" s="14"/>
      <c r="G34" s="335" t="s">
        <v>60</v>
      </c>
      <c r="H34" s="335"/>
      <c r="I34" s="30" t="str">
        <f>Data!Y27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Data!Z27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Data!AA27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5.332031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Data!A28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Data!B28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>
        <f>Data!D28</f>
        <v>0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Data!K28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Data!L28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Data!M28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Data!N28</f>
        <v/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Data!U28</f>
        <v>0</v>
      </c>
      <c r="E28" s="334"/>
      <c r="F28" s="14"/>
      <c r="G28" s="335" t="s">
        <v>40</v>
      </c>
      <c r="H28" s="335"/>
      <c r="I28" s="30">
        <f>Data!V28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Data!P28</f>
        <v/>
      </c>
      <c r="E30" s="334"/>
      <c r="F30" s="14"/>
      <c r="G30" s="335" t="s">
        <v>41</v>
      </c>
      <c r="H30" s="335"/>
      <c r="I30" s="30">
        <f>Data!W28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Data!Q28</f>
        <v/>
      </c>
      <c r="E32" s="334"/>
      <c r="F32" s="14"/>
      <c r="G32" s="335" t="s">
        <v>42</v>
      </c>
      <c r="H32" s="335"/>
      <c r="I32" s="30">
        <f>Data!X28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Data!R28</f>
        <v/>
      </c>
      <c r="E34" s="334"/>
      <c r="F34" s="14"/>
      <c r="G34" s="335" t="s">
        <v>60</v>
      </c>
      <c r="H34" s="335"/>
      <c r="I34" s="30" t="str">
        <f>Data!Y28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Data!Z28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Data!AA28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5.66406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.3320312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Data!A29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Data!B29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>
        <f>Data!D29</f>
        <v>0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Data!K29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Data!L29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Data!M29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Data!N29</f>
        <v/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Data!U29</f>
        <v>0</v>
      </c>
      <c r="E28" s="334"/>
      <c r="F28" s="14"/>
      <c r="G28" s="335" t="s">
        <v>40</v>
      </c>
      <c r="H28" s="335"/>
      <c r="I28" s="30">
        <f>Data!V29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Data!P29</f>
        <v/>
      </c>
      <c r="E30" s="334"/>
      <c r="F30" s="14"/>
      <c r="G30" s="335" t="s">
        <v>41</v>
      </c>
      <c r="H30" s="335"/>
      <c r="I30" s="30">
        <f>Data!W29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Data!Q29</f>
        <v/>
      </c>
      <c r="E32" s="334"/>
      <c r="F32" s="14"/>
      <c r="G32" s="335" t="s">
        <v>42</v>
      </c>
      <c r="H32" s="335"/>
      <c r="I32" s="30">
        <f>Data!X29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Data!R29</f>
        <v/>
      </c>
      <c r="E34" s="334"/>
      <c r="F34" s="14"/>
      <c r="G34" s="335" t="s">
        <v>60</v>
      </c>
      <c r="H34" s="335"/>
      <c r="I34" s="30" t="str">
        <f>Data!Y29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Data!Z29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Data!AA29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5.441406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.3320312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Data!A30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Data!B30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>
        <f>Data!D30</f>
        <v>0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Data!K30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Data!L30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Data!M30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Data!N30</f>
        <v/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Data!U30</f>
        <v>0</v>
      </c>
      <c r="E28" s="334"/>
      <c r="F28" s="14"/>
      <c r="G28" s="335" t="s">
        <v>40</v>
      </c>
      <c r="H28" s="335"/>
      <c r="I28" s="30">
        <f>Data!V30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Data!P30</f>
        <v/>
      </c>
      <c r="E30" s="334"/>
      <c r="F30" s="14"/>
      <c r="G30" s="335" t="s">
        <v>41</v>
      </c>
      <c r="H30" s="335"/>
      <c r="I30" s="30">
        <f>Data!W30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Data!Q30</f>
        <v/>
      </c>
      <c r="E32" s="334"/>
      <c r="F32" s="14"/>
      <c r="G32" s="335" t="s">
        <v>42</v>
      </c>
      <c r="H32" s="335"/>
      <c r="I32" s="30">
        <f>Data!X30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Data!R30</f>
        <v/>
      </c>
      <c r="E34" s="334"/>
      <c r="F34" s="14"/>
      <c r="G34" s="335" t="s">
        <v>60</v>
      </c>
      <c r="H34" s="335"/>
      <c r="I34" s="30" t="str">
        <f>Data!Y30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Data!Z30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Data!AA30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5.441406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Data!A31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Data!B31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>
        <f>Data!D31</f>
        <v>0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Data!K31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Data!L31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Data!M31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Data!N31</f>
        <v/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Data!U31</f>
        <v>0</v>
      </c>
      <c r="E28" s="334"/>
      <c r="F28" s="14"/>
      <c r="G28" s="335" t="s">
        <v>40</v>
      </c>
      <c r="H28" s="335"/>
      <c r="I28" s="30">
        <f>Data!V31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Data!P31</f>
        <v/>
      </c>
      <c r="E30" s="334"/>
      <c r="F30" s="14"/>
      <c r="G30" s="335" t="s">
        <v>41</v>
      </c>
      <c r="H30" s="335"/>
      <c r="I30" s="30">
        <f>Data!W31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Data!Q31</f>
        <v/>
      </c>
      <c r="E32" s="334"/>
      <c r="F32" s="14"/>
      <c r="G32" s="335" t="s">
        <v>42</v>
      </c>
      <c r="H32" s="335"/>
      <c r="I32" s="30">
        <f>Data!X31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Data!R31</f>
        <v/>
      </c>
      <c r="E34" s="334"/>
      <c r="F34" s="14"/>
      <c r="G34" s="335" t="s">
        <v>60</v>
      </c>
      <c r="H34" s="335"/>
      <c r="I34" s="30" t="str">
        <f>Data!Y31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Data!Z31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Data!AA31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5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5.10937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.3320312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Data!A32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Data!B32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>
        <f>Data!D32</f>
        <v>0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Data!K32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Data!L32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Data!M32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Data!N32</f>
        <v/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Data!U32</f>
        <v>0</v>
      </c>
      <c r="E28" s="334"/>
      <c r="F28" s="14"/>
      <c r="G28" s="335" t="s">
        <v>40</v>
      </c>
      <c r="H28" s="335"/>
      <c r="I28" s="30">
        <f>Data!V32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Data!P32</f>
        <v/>
      </c>
      <c r="E30" s="334"/>
      <c r="F30" s="14"/>
      <c r="G30" s="335" t="s">
        <v>41</v>
      </c>
      <c r="H30" s="335"/>
      <c r="I30" s="30">
        <f>Data!W32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Data!Q32</f>
        <v/>
      </c>
      <c r="E32" s="334"/>
      <c r="F32" s="14"/>
      <c r="G32" s="335" t="s">
        <v>42</v>
      </c>
      <c r="H32" s="335"/>
      <c r="I32" s="30">
        <f>Data!X32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Data!R32</f>
        <v/>
      </c>
      <c r="E34" s="334"/>
      <c r="F34" s="14"/>
      <c r="G34" s="335" t="s">
        <v>60</v>
      </c>
      <c r="H34" s="335"/>
      <c r="I34" s="30" t="str">
        <f>Data!Y32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Data!Z32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Data!AA32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6">
    <pageSetUpPr fitToPage="1"/>
  </sheetPr>
  <dimension ref="A1:L63"/>
  <sheetViews>
    <sheetView topLeftCell="A2" zoomScale="55" zoomScaleNormal="55" workbookViewId="0">
      <selection activeCell="P15" sqref="P15"/>
    </sheetView>
  </sheetViews>
  <sheetFormatPr defaultRowHeight="14.4" x14ac:dyDescent="0.3"/>
  <cols>
    <col min="1" max="1" width="5.10937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.3320312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 t="str">
        <f>Data!A36</f>
        <v>AA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Data!B36</f>
        <v>FR 01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Data!D36</f>
        <v>BUTCHERY FREEZER ROOM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Data!K36</f>
        <v>HI 4033-4L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Data!L36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Data!M36</f>
        <v>1-3/8</v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Data!N36</f>
        <v>7/8</v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Data!U36</f>
        <v>1-5/8</v>
      </c>
      <c r="E28" s="334"/>
      <c r="F28" s="14"/>
      <c r="G28" s="335" t="s">
        <v>40</v>
      </c>
      <c r="H28" s="335"/>
      <c r="I28" s="30" t="str">
        <f>Data!V36</f>
        <v>1/2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Data!P36</f>
        <v>1-3/8</v>
      </c>
      <c r="E30" s="334"/>
      <c r="F30" s="14"/>
      <c r="G30" s="335" t="s">
        <v>41</v>
      </c>
      <c r="H30" s="335"/>
      <c r="I30" s="30" t="str">
        <f>Data!W36</f>
        <v>TES 2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Data!Q36</f>
        <v>1-5/8  &gt;  1-3/8</v>
      </c>
      <c r="E32" s="334"/>
      <c r="F32" s="14"/>
      <c r="G32" s="335" t="s">
        <v>42</v>
      </c>
      <c r="H32" s="335"/>
      <c r="I32" s="30">
        <f>Data!X36</f>
        <v>5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Data!R36</f>
        <v>1-5/8</v>
      </c>
      <c r="E34" s="334"/>
      <c r="F34" s="14"/>
      <c r="G34" s="335" t="s">
        <v>60</v>
      </c>
      <c r="H34" s="335"/>
      <c r="I34" s="30" t="str">
        <f>Data!Y36</f>
        <v>1/2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Data!Z36</f>
        <v xml:space="preserve"> IN COIL</v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Data!AA36</f>
        <v>AT COIL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7">
    <pageSetUpPr fitToPage="1"/>
  </sheetPr>
  <dimension ref="A1:L63"/>
  <sheetViews>
    <sheetView zoomScale="40" zoomScaleNormal="40" workbookViewId="0">
      <selection activeCell="I34" sqref="I34"/>
    </sheetView>
  </sheetViews>
  <sheetFormatPr defaultRowHeight="14.4" x14ac:dyDescent="0.3"/>
  <cols>
    <col min="1" max="1" width="5.66406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6.3320312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 t="str">
        <f>Data!A37</f>
        <v>BB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Data!B37</f>
        <v>FR 02a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Data!D37</f>
        <v>GENERAL FREEZER ROOM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Data!K37</f>
        <v>HI 4033-4L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Data!L37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Data!M37</f>
        <v>1-3/8</v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Data!N37</f>
        <v>7/8</v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Data!U37</f>
        <v>1-3/8</v>
      </c>
      <c r="E28" s="334"/>
      <c r="F28" s="14"/>
      <c r="G28" s="335" t="s">
        <v>40</v>
      </c>
      <c r="H28" s="335"/>
      <c r="I28" s="30" t="str">
        <f>Data!V37</f>
        <v>1/2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Data!P37</f>
        <v>1-3/8</v>
      </c>
      <c r="E30" s="334"/>
      <c r="F30" s="14"/>
      <c r="G30" s="335" t="s">
        <v>41</v>
      </c>
      <c r="H30" s="335"/>
      <c r="I30" s="30" t="str">
        <f>Data!W37</f>
        <v>TES 2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Data!Q37</f>
        <v>NONE</v>
      </c>
      <c r="E32" s="334"/>
      <c r="F32" s="14"/>
      <c r="G32" s="335" t="s">
        <v>42</v>
      </c>
      <c r="H32" s="335"/>
      <c r="I32" s="30">
        <f>Data!X37</f>
        <v>5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Data!R37</f>
        <v>1-3/8</v>
      </c>
      <c r="E34" s="334"/>
      <c r="F34" s="14"/>
      <c r="G34" s="335" t="s">
        <v>60</v>
      </c>
      <c r="H34" s="335"/>
      <c r="I34" s="30" t="str">
        <f>Data!Y37</f>
        <v>1/2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Data!Z37</f>
        <v xml:space="preserve"> IN COIL</v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Data!AA37</f>
        <v>AT COIL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8">
    <pageSetUpPr fitToPage="1"/>
  </sheetPr>
  <dimension ref="A1:L63"/>
  <sheetViews>
    <sheetView zoomScale="70" zoomScaleNormal="70" workbookViewId="0">
      <selection activeCell="I34" sqref="I34"/>
    </sheetView>
  </sheetViews>
  <sheetFormatPr defaultRowHeight="14.4" x14ac:dyDescent="0.3"/>
  <cols>
    <col min="1" max="1" width="5.441406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6.554687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 t="str">
        <f>Data!A38</f>
        <v>CC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Data!B38</f>
        <v>FR 02b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Data!D38</f>
        <v>GENERAL FREEZER ROOM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Data!K38</f>
        <v>HI 4033-4L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Data!L38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Data!M38</f>
        <v>1-3/8</v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Data!N38</f>
        <v>7/8</v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Data!U38</f>
        <v>1-1/8</v>
      </c>
      <c r="E28" s="334"/>
      <c r="F28" s="14"/>
      <c r="G28" s="335" t="s">
        <v>40</v>
      </c>
      <c r="H28" s="335"/>
      <c r="I28" s="30" t="str">
        <f>Data!V38</f>
        <v>1/2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Data!P38</f>
        <v>1-3/8</v>
      </c>
      <c r="E30" s="334"/>
      <c r="F30" s="14"/>
      <c r="G30" s="335" t="s">
        <v>41</v>
      </c>
      <c r="H30" s="335"/>
      <c r="I30" s="30" t="str">
        <f>Data!W38</f>
        <v>TES 2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Data!Q38</f>
        <v>1-3/8  &gt;  1-1/8</v>
      </c>
      <c r="E32" s="334"/>
      <c r="F32" s="14"/>
      <c r="G32" s="335" t="s">
        <v>42</v>
      </c>
      <c r="H32" s="335"/>
      <c r="I32" s="30">
        <f>Data!X38</f>
        <v>5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Data!R38</f>
        <v>1-1/8</v>
      </c>
      <c r="E34" s="334"/>
      <c r="F34" s="14"/>
      <c r="G34" s="335" t="s">
        <v>60</v>
      </c>
      <c r="H34" s="335"/>
      <c r="I34" s="30" t="str">
        <f>Data!Y38</f>
        <v>1/2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Data!Z38</f>
        <v xml:space="preserve"> IN COIL</v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Data!AA38</f>
        <v>AT COIL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9">
    <pageSetUpPr fitToPage="1"/>
  </sheetPr>
  <dimension ref="A1:L63"/>
  <sheetViews>
    <sheetView zoomScale="70" zoomScaleNormal="70" workbookViewId="0">
      <selection activeCell="K30" sqref="K30"/>
    </sheetView>
  </sheetViews>
  <sheetFormatPr defaultRowHeight="14.4" x14ac:dyDescent="0.3"/>
  <cols>
    <col min="1" max="1" width="5.332031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6.8867187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 t="str">
        <f>Data!A39</f>
        <v>DD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Data!B39</f>
        <v>FR 03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Data!D39</f>
        <v>ICE CREAM FREEZER ROOM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Data!K39</f>
        <v>HI 4033-4L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Data!L39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Data!M39</f>
        <v>1-3/8</v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Data!N39</f>
        <v>7/8</v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Data!U39</f>
        <v>1-1/8</v>
      </c>
      <c r="E28" s="334"/>
      <c r="F28" s="14"/>
      <c r="G28" s="335" t="s">
        <v>40</v>
      </c>
      <c r="H28" s="335"/>
      <c r="I28" s="30" t="str">
        <f>Data!V39</f>
        <v>1/2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Data!P39</f>
        <v>1-3/8</v>
      </c>
      <c r="E30" s="334"/>
      <c r="F30" s="14"/>
      <c r="G30" s="335" t="s">
        <v>41</v>
      </c>
      <c r="H30" s="335"/>
      <c r="I30" s="30" t="str">
        <f>Data!W39</f>
        <v>TES 2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Data!Q39</f>
        <v>1-3/8  &gt;  1-1/8</v>
      </c>
      <c r="E32" s="334"/>
      <c r="F32" s="14"/>
      <c r="G32" s="335" t="s">
        <v>42</v>
      </c>
      <c r="H32" s="335"/>
      <c r="I32" s="30">
        <f>Data!X39</f>
        <v>6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Data!R39</f>
        <v>1-1/8</v>
      </c>
      <c r="E34" s="334"/>
      <c r="F34" s="14"/>
      <c r="G34" s="335" t="s">
        <v>60</v>
      </c>
      <c r="H34" s="335"/>
      <c r="I34" s="30" t="str">
        <f>Data!Y39</f>
        <v>1/2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Data!Z39</f>
        <v xml:space="preserve"> IN COIL</v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Data!AA39</f>
        <v>AT COIL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0">
    <pageSetUpPr fitToPage="1"/>
  </sheetPr>
  <dimension ref="A1:L63"/>
  <sheetViews>
    <sheetView zoomScale="55" zoomScaleNormal="55" workbookViewId="0">
      <selection activeCell="I34" sqref="I34"/>
    </sheetView>
  </sheetViews>
  <sheetFormatPr defaultRowHeight="14.4" x14ac:dyDescent="0.3"/>
  <cols>
    <col min="1" max="1" width="5.66406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6.3320312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 t="str">
        <f>Data!A40</f>
        <v>EE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 t="str">
        <f>Data!B40</f>
        <v>FR 04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str">
        <f>Data!D40</f>
        <v>BAKERY FREEZER ROOM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Data!K40</f>
        <v>HI 3034-4L</v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Data!L40</f>
        <v>1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Data!M40</f>
        <v>7/8</v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Data!N40</f>
        <v>5/8</v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 t="str">
        <f>Data!U40</f>
        <v>1-1/8</v>
      </c>
      <c r="E28" s="334"/>
      <c r="F28" s="14"/>
      <c r="G28" s="335" t="s">
        <v>40</v>
      </c>
      <c r="H28" s="335"/>
      <c r="I28" s="30" t="str">
        <f>Data!V40</f>
        <v>1/2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Data!P40</f>
        <v>7/8</v>
      </c>
      <c r="E30" s="334"/>
      <c r="F30" s="14"/>
      <c r="G30" s="335" t="s">
        <v>41</v>
      </c>
      <c r="H30" s="335"/>
      <c r="I30" s="30" t="str">
        <f>Data!W40</f>
        <v>TES 2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Data!Q40</f>
        <v>1-1/8  &gt;  7/8</v>
      </c>
      <c r="E32" s="334"/>
      <c r="F32" s="14"/>
      <c r="G32" s="335" t="s">
        <v>42</v>
      </c>
      <c r="H32" s="335"/>
      <c r="I32" s="30">
        <f>Data!X40</f>
        <v>3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Data!R40</f>
        <v>1-1/8</v>
      </c>
      <c r="E34" s="334"/>
      <c r="F34" s="14"/>
      <c r="G34" s="335" t="s">
        <v>60</v>
      </c>
      <c r="H34" s="335"/>
      <c r="I34" s="30" t="str">
        <f>Data!Y40</f>
        <v>1/2 Castel</v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Data!Z40</f>
        <v xml:space="preserve"> IN COIL</v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Data!AA40</f>
        <v>AT COIL</v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1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5.332031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.10937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Data!A41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Data!B41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>
        <f>Data!D41</f>
        <v>0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Data!K41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Data!L41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Data!M41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Data!N41</f>
        <v/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Data!U41</f>
        <v>0</v>
      </c>
      <c r="E28" s="334"/>
      <c r="F28" s="14"/>
      <c r="G28" s="335" t="s">
        <v>40</v>
      </c>
      <c r="H28" s="335"/>
      <c r="I28" s="30">
        <f>Data!V41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Data!P41</f>
        <v/>
      </c>
      <c r="E30" s="334"/>
      <c r="F30" s="14"/>
      <c r="G30" s="335" t="s">
        <v>41</v>
      </c>
      <c r="H30" s="335"/>
      <c r="I30" s="30">
        <f>Data!W41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Data!Q41</f>
        <v/>
      </c>
      <c r="E32" s="334"/>
      <c r="F32" s="14"/>
      <c r="G32" s="335" t="s">
        <v>42</v>
      </c>
      <c r="H32" s="335"/>
      <c r="I32" s="30">
        <f>Data!X41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Data!R41</f>
        <v/>
      </c>
      <c r="E34" s="334"/>
      <c r="F34" s="14"/>
      <c r="G34" s="335" t="s">
        <v>60</v>
      </c>
      <c r="H34" s="335"/>
      <c r="I34" s="30" t="str">
        <f>Data!Y41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Data!Z41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Data!AA41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2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5.554687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6.554687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Data!A42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Data!B42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>
        <f>Data!D42</f>
        <v>0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Data!K42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Data!L42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Data!M42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Data!N42</f>
        <v/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Data!U42</f>
        <v>0</v>
      </c>
      <c r="E28" s="334"/>
      <c r="F28" s="14"/>
      <c r="G28" s="335" t="s">
        <v>40</v>
      </c>
      <c r="H28" s="335"/>
      <c r="I28" s="30">
        <f>Data!V42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Data!P42</f>
        <v/>
      </c>
      <c r="E30" s="334"/>
      <c r="F30" s="14"/>
      <c r="G30" s="335" t="s">
        <v>41</v>
      </c>
      <c r="H30" s="335"/>
      <c r="I30" s="30">
        <f>Data!W42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Data!Q42</f>
        <v/>
      </c>
      <c r="E32" s="334"/>
      <c r="F32" s="14"/>
      <c r="G32" s="335" t="s">
        <v>42</v>
      </c>
      <c r="H32" s="335"/>
      <c r="I32" s="30">
        <f>Data!X42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Data!R42</f>
        <v/>
      </c>
      <c r="E34" s="334"/>
      <c r="F34" s="14"/>
      <c r="G34" s="335" t="s">
        <v>60</v>
      </c>
      <c r="H34" s="335"/>
      <c r="I34" s="30" t="str">
        <f>Data!Y42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Data!Z42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Data!AA42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3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6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6.10937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Data!A43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Data!B43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e">
        <f>Data!#REF!</f>
        <v>#REF!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Data!K43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Data!L43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Data!M43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Data!N43</f>
        <v/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Data!U43</f>
        <v>0</v>
      </c>
      <c r="E28" s="334"/>
      <c r="F28" s="14"/>
      <c r="G28" s="335" t="s">
        <v>40</v>
      </c>
      <c r="H28" s="335"/>
      <c r="I28" s="30">
        <f>Data!V43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Data!P43</f>
        <v/>
      </c>
      <c r="E30" s="334"/>
      <c r="F30" s="14"/>
      <c r="G30" s="335" t="s">
        <v>41</v>
      </c>
      <c r="H30" s="335"/>
      <c r="I30" s="30">
        <f>Data!W43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Data!Q43</f>
        <v/>
      </c>
      <c r="E32" s="334"/>
      <c r="F32" s="14"/>
      <c r="G32" s="335" t="s">
        <v>42</v>
      </c>
      <c r="H32" s="335"/>
      <c r="I32" s="30">
        <f>Data!X43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Data!R43</f>
        <v/>
      </c>
      <c r="E34" s="334"/>
      <c r="F34" s="14"/>
      <c r="G34" s="335" t="s">
        <v>60</v>
      </c>
      <c r="H34" s="335"/>
      <c r="I34" s="30" t="str">
        <f>Data!Y43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Data!Z43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Data!AA43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4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6.4414062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Data!A44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Data!B44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 t="e">
        <f>Data!#REF!</f>
        <v>#REF!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Data!K44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Data!L44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Data!M44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Data!N44</f>
        <v/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Data!U44</f>
        <v>0</v>
      </c>
      <c r="E28" s="334"/>
      <c r="F28" s="14"/>
      <c r="G28" s="335" t="s">
        <v>40</v>
      </c>
      <c r="H28" s="335"/>
      <c r="I28" s="30">
        <f>Data!V44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Data!P44</f>
        <v/>
      </c>
      <c r="E30" s="334"/>
      <c r="F30" s="14"/>
      <c r="G30" s="335" t="s">
        <v>41</v>
      </c>
      <c r="H30" s="335"/>
      <c r="I30" s="30">
        <f>Data!W44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Data!Q44</f>
        <v/>
      </c>
      <c r="E32" s="334"/>
      <c r="F32" s="14"/>
      <c r="G32" s="335" t="s">
        <v>42</v>
      </c>
      <c r="H32" s="335"/>
      <c r="I32" s="30">
        <f>Data!X44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Data!R44</f>
        <v/>
      </c>
      <c r="E34" s="334"/>
      <c r="F34" s="14"/>
      <c r="G34" s="335" t="s">
        <v>60</v>
      </c>
      <c r="H34" s="335"/>
      <c r="I34" s="30" t="str">
        <f>Data!Y44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Data!Z44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Data!AA44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5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5.554687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6.10937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Data!A45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Data!B45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>
        <f>Data!D45</f>
        <v>0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Data!K45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Data!L45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Data!M45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Data!N45</f>
        <v/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Data!U45</f>
        <v>0</v>
      </c>
      <c r="E28" s="334"/>
      <c r="F28" s="14"/>
      <c r="G28" s="335" t="s">
        <v>40</v>
      </c>
      <c r="H28" s="335"/>
      <c r="I28" s="30">
        <f>Data!V45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Data!P45</f>
        <v/>
      </c>
      <c r="E30" s="334"/>
      <c r="F30" s="14"/>
      <c r="G30" s="335" t="s">
        <v>41</v>
      </c>
      <c r="H30" s="335"/>
      <c r="I30" s="30">
        <f>Data!W45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Data!Q45</f>
        <v/>
      </c>
      <c r="E32" s="334"/>
      <c r="F32" s="14"/>
      <c r="G32" s="335" t="s">
        <v>42</v>
      </c>
      <c r="H32" s="335"/>
      <c r="I32" s="30">
        <f>Data!X45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Data!R45</f>
        <v/>
      </c>
      <c r="E34" s="334"/>
      <c r="F34" s="14"/>
      <c r="G34" s="335" t="s">
        <v>60</v>
      </c>
      <c r="H34" s="335"/>
      <c r="I34" s="30" t="str">
        <f>Data!Y45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Data!Z45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Data!AA45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6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4.332031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5.8867187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ht="15" customHeight="1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.75" customHeight="1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25"/>
      <c r="B4" s="21"/>
      <c r="C4" s="21"/>
      <c r="D4" s="21"/>
      <c r="E4" s="21"/>
      <c r="F4" s="21"/>
      <c r="G4" s="21"/>
      <c r="H4" s="21"/>
      <c r="I4" s="21"/>
      <c r="J4" s="29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Data!A46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Data!B46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>
        <f>Data!D46</f>
        <v>0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Data!K46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Data!L46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Data!M46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Data!N46</f>
        <v/>
      </c>
      <c r="G22" s="334"/>
      <c r="H22" s="334"/>
      <c r="I22" s="21"/>
      <c r="J22" s="29"/>
    </row>
    <row r="23" spans="1:10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34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Data!U46</f>
        <v>0</v>
      </c>
      <c r="E28" s="334"/>
      <c r="F28" s="14"/>
      <c r="G28" s="335" t="s">
        <v>40</v>
      </c>
      <c r="H28" s="335"/>
      <c r="I28" s="30">
        <f>Data!V46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Data!P46</f>
        <v/>
      </c>
      <c r="E30" s="334"/>
      <c r="F30" s="14"/>
      <c r="G30" s="335" t="s">
        <v>41</v>
      </c>
      <c r="H30" s="335"/>
      <c r="I30" s="30">
        <f>Data!W46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Data!Q46</f>
        <v/>
      </c>
      <c r="E32" s="334"/>
      <c r="F32" s="14"/>
      <c r="G32" s="335" t="s">
        <v>42</v>
      </c>
      <c r="H32" s="335"/>
      <c r="I32" s="30">
        <f>Data!X46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Data!R46</f>
        <v/>
      </c>
      <c r="E34" s="334"/>
      <c r="F34" s="14"/>
      <c r="G34" s="335" t="s">
        <v>60</v>
      </c>
      <c r="H34" s="335"/>
      <c r="I34" s="30" t="str">
        <f>Data!Y46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Data!Z46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Data!AA46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7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4.554687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6.664062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ht="15" customHeight="1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.75" customHeight="1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Data!A47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Data!B47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>
        <f>Data!D47</f>
        <v>0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Data!K47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Data!L47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Data!M47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Data!N47</f>
        <v/>
      </c>
      <c r="G22" s="334"/>
      <c r="H22" s="334"/>
      <c r="I22" s="21"/>
      <c r="J22" s="29"/>
    </row>
    <row r="23" spans="1:10" ht="15" thickBot="1" x14ac:dyDescent="0.35">
      <c r="A23" s="25"/>
      <c r="B23" s="21"/>
      <c r="C23" s="21"/>
      <c r="D23" s="21"/>
      <c r="E23" s="21"/>
      <c r="F23" s="21"/>
      <c r="G23" s="21"/>
      <c r="H23" s="21"/>
      <c r="I23" s="21"/>
      <c r="J23" s="29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Data!U47</f>
        <v>0</v>
      </c>
      <c r="E28" s="334"/>
      <c r="F28" s="14"/>
      <c r="G28" s="335" t="s">
        <v>40</v>
      </c>
      <c r="H28" s="335"/>
      <c r="I28" s="30">
        <f>Data!V47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Data!P47</f>
        <v/>
      </c>
      <c r="E30" s="334"/>
      <c r="F30" s="14"/>
      <c r="G30" s="335" t="s">
        <v>41</v>
      </c>
      <c r="H30" s="335"/>
      <c r="I30" s="30">
        <f>Data!W47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Data!Q47</f>
        <v/>
      </c>
      <c r="E32" s="334"/>
      <c r="F32" s="14"/>
      <c r="G32" s="335" t="s">
        <v>42</v>
      </c>
      <c r="H32" s="335"/>
      <c r="I32" s="30">
        <f>Data!X47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Data!R47</f>
        <v/>
      </c>
      <c r="E34" s="334"/>
      <c r="F34" s="14"/>
      <c r="G34" s="335" t="s">
        <v>60</v>
      </c>
      <c r="H34" s="335"/>
      <c r="I34" s="30" t="str">
        <f>Data!Y47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Data!Z47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Data!AA47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8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5.332031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.10937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4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Data!A48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Data!B48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>
        <f>Data!D48</f>
        <v>0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Data!K48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Data!L48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Data!M48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Data!N48</f>
        <v/>
      </c>
      <c r="G22" s="334"/>
      <c r="H22" s="334"/>
      <c r="I22" s="21"/>
      <c r="J22" s="29"/>
    </row>
    <row r="23" spans="1:10" ht="15" thickBot="1" x14ac:dyDescent="0.35">
      <c r="A23" s="25"/>
      <c r="B23" s="21"/>
      <c r="C23" s="21"/>
      <c r="D23" s="21"/>
      <c r="E23" s="21"/>
      <c r="F23" s="21"/>
      <c r="G23" s="21"/>
      <c r="H23" s="21"/>
      <c r="I23" s="21"/>
      <c r="J23" s="29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Data!U48</f>
        <v>0</v>
      </c>
      <c r="E28" s="334"/>
      <c r="F28" s="14"/>
      <c r="G28" s="335" t="s">
        <v>40</v>
      </c>
      <c r="H28" s="335"/>
      <c r="I28" s="30">
        <f>Data!V48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Data!P48</f>
        <v/>
      </c>
      <c r="E30" s="334"/>
      <c r="F30" s="14"/>
      <c r="G30" s="335" t="s">
        <v>41</v>
      </c>
      <c r="H30" s="335"/>
      <c r="I30" s="30">
        <f>Data!W48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Data!Q48</f>
        <v/>
      </c>
      <c r="E32" s="334"/>
      <c r="F32" s="14"/>
      <c r="G32" s="335" t="s">
        <v>42</v>
      </c>
      <c r="H32" s="335"/>
      <c r="I32" s="30">
        <f>Data!X48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Data!R48</f>
        <v/>
      </c>
      <c r="E34" s="334"/>
      <c r="F34" s="14"/>
      <c r="G34" s="335" t="s">
        <v>60</v>
      </c>
      <c r="H34" s="335"/>
      <c r="I34" s="30" t="str">
        <f>Data!Y48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Data!Z48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Data!AA48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9">
    <pageSetUpPr fitToPage="1"/>
  </sheetPr>
  <dimension ref="A1:L63"/>
  <sheetViews>
    <sheetView workbookViewId="0">
      <selection activeCell="I34" sqref="I34"/>
    </sheetView>
  </sheetViews>
  <sheetFormatPr defaultRowHeight="14.4" x14ac:dyDescent="0.3"/>
  <cols>
    <col min="1" max="1" width="5.10937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6.664062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9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Data!A49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Data!B49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>
        <f>Data!D49</f>
        <v>0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Data!K49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Data!L49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Data!M49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Data!N49</f>
        <v/>
      </c>
      <c r="G22" s="334"/>
      <c r="H22" s="334"/>
      <c r="I22" s="21"/>
      <c r="J22" s="29"/>
    </row>
    <row r="23" spans="1:10" ht="15" thickBot="1" x14ac:dyDescent="0.35">
      <c r="A23" s="25"/>
      <c r="B23" s="21"/>
      <c r="C23" s="21"/>
      <c r="D23" s="21"/>
      <c r="E23" s="21"/>
      <c r="F23" s="21"/>
      <c r="G23" s="21"/>
      <c r="H23" s="21"/>
      <c r="I23" s="21"/>
      <c r="J23" s="29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Data!U49</f>
        <v>0</v>
      </c>
      <c r="E28" s="334"/>
      <c r="F28" s="14"/>
      <c r="G28" s="335" t="s">
        <v>40</v>
      </c>
      <c r="H28" s="335"/>
      <c r="I28" s="30">
        <f>Data!V49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Data!P49</f>
        <v/>
      </c>
      <c r="E30" s="334"/>
      <c r="F30" s="14"/>
      <c r="G30" s="335" t="s">
        <v>41</v>
      </c>
      <c r="H30" s="335"/>
      <c r="I30" s="30">
        <f>Data!W49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Data!Q49</f>
        <v/>
      </c>
      <c r="E32" s="334"/>
      <c r="F32" s="14"/>
      <c r="G32" s="335" t="s">
        <v>42</v>
      </c>
      <c r="H32" s="335"/>
      <c r="I32" s="30">
        <f>Data!X49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Data!R49</f>
        <v/>
      </c>
      <c r="E34" s="334"/>
      <c r="F34" s="14"/>
      <c r="G34" s="335" t="s">
        <v>60</v>
      </c>
      <c r="H34" s="335"/>
      <c r="I34" s="30" t="str">
        <f>Data!Y49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Data!Z49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Data!AA49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40">
    <pageSetUpPr fitToPage="1"/>
  </sheetPr>
  <dimension ref="A1:L63"/>
  <sheetViews>
    <sheetView topLeftCell="A31" workbookViewId="0">
      <selection activeCell="I34" sqref="I34"/>
    </sheetView>
  </sheetViews>
  <sheetFormatPr defaultRowHeight="14.4" x14ac:dyDescent="0.3"/>
  <cols>
    <col min="1" max="1" width="5.44140625" customWidth="1"/>
    <col min="2" max="2" width="21" customWidth="1"/>
    <col min="3" max="3" width="9.33203125" customWidth="1"/>
    <col min="4" max="4" width="12.88671875" customWidth="1"/>
    <col min="5" max="5" width="15.88671875" customWidth="1"/>
    <col min="6" max="6" width="7.33203125" customWidth="1"/>
    <col min="7" max="7" width="1.44140625" customWidth="1"/>
    <col min="8" max="8" width="47.44140625" customWidth="1"/>
    <col min="9" max="9" width="26.109375" customWidth="1"/>
    <col min="10" max="10" width="7.109375" customWidth="1"/>
  </cols>
  <sheetData>
    <row r="1" spans="1:12" ht="15" thickBot="1" x14ac:dyDescent="0.3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2" x14ac:dyDescent="0.3">
      <c r="A2" s="25"/>
      <c r="B2" s="21"/>
      <c r="C2" s="326" t="str">
        <f>COVER!H4</f>
        <v>SR Levy Mall Zambia</v>
      </c>
      <c r="D2" s="327"/>
      <c r="E2" s="327"/>
      <c r="F2" s="327"/>
      <c r="G2" s="327"/>
      <c r="H2" s="328"/>
      <c r="I2" s="21"/>
      <c r="J2" s="29"/>
    </row>
    <row r="3" spans="1:12" ht="15" thickBot="1" x14ac:dyDescent="0.35">
      <c r="A3" s="25"/>
      <c r="B3" s="21"/>
      <c r="C3" s="329"/>
      <c r="D3" s="330"/>
      <c r="E3" s="330"/>
      <c r="F3" s="330"/>
      <c r="G3" s="330"/>
      <c r="H3" s="331"/>
      <c r="I3" s="21"/>
      <c r="J3" s="29"/>
    </row>
    <row r="4" spans="1:12" ht="15" thickBot="1" x14ac:dyDescent="0.35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2" x14ac:dyDescent="0.3">
      <c r="A5" s="22"/>
      <c r="B5" s="23"/>
      <c r="C5" s="23"/>
      <c r="D5" s="23"/>
      <c r="E5" s="23"/>
      <c r="F5" s="23"/>
      <c r="G5" s="23"/>
      <c r="H5" s="23"/>
      <c r="I5" s="23"/>
      <c r="J5" s="29"/>
    </row>
    <row r="6" spans="1:12" ht="15" customHeight="1" x14ac:dyDescent="0.65">
      <c r="A6" s="25"/>
      <c r="B6" s="21"/>
      <c r="C6" s="332" t="s">
        <v>28</v>
      </c>
      <c r="D6" s="332"/>
      <c r="E6" s="332"/>
      <c r="F6" s="332"/>
      <c r="G6" s="332"/>
      <c r="H6" s="332"/>
      <c r="I6" s="28"/>
      <c r="J6" s="26"/>
      <c r="K6" s="4"/>
      <c r="L6" s="4"/>
    </row>
    <row r="7" spans="1:12" ht="15" customHeight="1" x14ac:dyDescent="0.65">
      <c r="A7" s="27"/>
      <c r="B7" s="28"/>
      <c r="C7" s="332"/>
      <c r="D7" s="332"/>
      <c r="E7" s="332"/>
      <c r="F7" s="332"/>
      <c r="G7" s="332"/>
      <c r="H7" s="332"/>
      <c r="I7" s="28"/>
      <c r="J7" s="26"/>
      <c r="K7" s="4"/>
      <c r="L7" s="4"/>
    </row>
    <row r="8" spans="1:12" x14ac:dyDescent="0.3">
      <c r="A8" s="25"/>
      <c r="B8" s="21"/>
      <c r="C8" s="21"/>
      <c r="D8" s="21"/>
      <c r="E8" s="21"/>
      <c r="F8" s="21"/>
      <c r="G8" s="21"/>
      <c r="H8" s="21"/>
      <c r="I8" s="21"/>
      <c r="J8" s="29"/>
    </row>
    <row r="9" spans="1:12" x14ac:dyDescent="0.3">
      <c r="A9" s="25"/>
      <c r="B9" s="21"/>
      <c r="C9" s="21"/>
      <c r="D9" s="21"/>
      <c r="E9" s="21"/>
      <c r="F9" s="21"/>
      <c r="G9" s="21"/>
      <c r="H9" s="21"/>
      <c r="I9" s="21"/>
      <c r="J9" s="29"/>
    </row>
    <row r="10" spans="1:12" ht="24.75" customHeight="1" x14ac:dyDescent="0.3">
      <c r="A10" s="25"/>
      <c r="B10" s="333" t="s">
        <v>29</v>
      </c>
      <c r="C10" s="333"/>
      <c r="D10" s="333"/>
      <c r="E10" s="333"/>
      <c r="F10" s="334">
        <f>Data!A50</f>
        <v>0</v>
      </c>
      <c r="G10" s="334"/>
      <c r="H10" s="334"/>
      <c r="I10" s="70"/>
      <c r="J10" s="71"/>
    </row>
    <row r="11" spans="1:12" x14ac:dyDescent="0.3">
      <c r="A11" s="25"/>
      <c r="B11" s="69"/>
      <c r="C11" s="69"/>
      <c r="D11" s="69"/>
      <c r="E11" s="69"/>
      <c r="F11" s="21"/>
      <c r="G11" s="21"/>
      <c r="H11" s="21"/>
      <c r="I11" s="21"/>
      <c r="J11" s="29"/>
    </row>
    <row r="12" spans="1:12" ht="25.8" x14ac:dyDescent="0.3">
      <c r="A12" s="25"/>
      <c r="B12" s="333" t="s">
        <v>30</v>
      </c>
      <c r="C12" s="333"/>
      <c r="D12" s="333"/>
      <c r="E12" s="333"/>
      <c r="F12" s="334">
        <f>Data!B50</f>
        <v>0</v>
      </c>
      <c r="G12" s="334"/>
      <c r="H12" s="334"/>
      <c r="I12" s="21"/>
      <c r="J12" s="29"/>
    </row>
    <row r="13" spans="1:12" x14ac:dyDescent="0.3">
      <c r="A13" s="25"/>
      <c r="B13" s="69"/>
      <c r="C13" s="69"/>
      <c r="D13" s="69"/>
      <c r="E13" s="69"/>
      <c r="F13" s="21"/>
      <c r="G13" s="21"/>
      <c r="H13" s="21"/>
      <c r="I13" s="21"/>
      <c r="J13" s="29"/>
    </row>
    <row r="14" spans="1:12" ht="25.8" x14ac:dyDescent="0.3">
      <c r="A14" s="25"/>
      <c r="B14" s="333" t="s">
        <v>59</v>
      </c>
      <c r="C14" s="333"/>
      <c r="D14" s="333"/>
      <c r="E14" s="333"/>
      <c r="F14" s="334">
        <f>Data!D50</f>
        <v>0</v>
      </c>
      <c r="G14" s="334"/>
      <c r="H14" s="334"/>
      <c r="I14" s="21"/>
      <c r="J14" s="29"/>
    </row>
    <row r="15" spans="1:12" x14ac:dyDescent="0.3">
      <c r="A15" s="25"/>
      <c r="B15" s="69"/>
      <c r="C15" s="69"/>
      <c r="D15" s="69"/>
      <c r="E15" s="69"/>
      <c r="F15" s="21"/>
      <c r="G15" s="21"/>
      <c r="H15" s="21"/>
      <c r="I15" s="21"/>
      <c r="J15" s="29"/>
    </row>
    <row r="16" spans="1:12" ht="25.8" x14ac:dyDescent="0.3">
      <c r="A16" s="25"/>
      <c r="B16" s="333" t="s">
        <v>31</v>
      </c>
      <c r="C16" s="333"/>
      <c r="D16" s="333"/>
      <c r="E16" s="333"/>
      <c r="F16" s="334" t="str">
        <f>Data!K50</f>
        <v/>
      </c>
      <c r="G16" s="334"/>
      <c r="H16" s="334"/>
      <c r="I16" s="75"/>
      <c r="J16" s="31"/>
    </row>
    <row r="17" spans="1:10" x14ac:dyDescent="0.3">
      <c r="A17" s="25"/>
      <c r="B17" s="69"/>
      <c r="C17" s="69"/>
      <c r="D17" s="69"/>
      <c r="E17" s="69"/>
      <c r="F17" s="21"/>
      <c r="G17" s="21"/>
      <c r="H17" s="21"/>
      <c r="I17" s="21"/>
      <c r="J17" s="29"/>
    </row>
    <row r="18" spans="1:10" ht="25.8" x14ac:dyDescent="0.3">
      <c r="A18" s="25"/>
      <c r="B18" s="333" t="s">
        <v>32</v>
      </c>
      <c r="C18" s="333"/>
      <c r="D18" s="333"/>
      <c r="E18" s="333"/>
      <c r="F18" s="334">
        <f>Data!L50</f>
        <v>0</v>
      </c>
      <c r="G18" s="334"/>
      <c r="H18" s="334"/>
      <c r="I18" s="21"/>
      <c r="J18" s="29"/>
    </row>
    <row r="19" spans="1:10" x14ac:dyDescent="0.3">
      <c r="A19" s="25"/>
      <c r="B19" s="69"/>
      <c r="C19" s="69"/>
      <c r="D19" s="69"/>
      <c r="E19" s="69"/>
      <c r="F19" s="21"/>
      <c r="G19" s="21"/>
      <c r="H19" s="21"/>
      <c r="I19" s="21"/>
      <c r="J19" s="29"/>
    </row>
    <row r="20" spans="1:10" ht="25.8" x14ac:dyDescent="0.3">
      <c r="A20" s="25"/>
      <c r="B20" s="333" t="s">
        <v>33</v>
      </c>
      <c r="C20" s="333"/>
      <c r="D20" s="333"/>
      <c r="E20" s="333"/>
      <c r="F20" s="334" t="str">
        <f>Data!M50</f>
        <v/>
      </c>
      <c r="G20" s="334"/>
      <c r="H20" s="334"/>
      <c r="I20" s="21"/>
      <c r="J20" s="29"/>
    </row>
    <row r="21" spans="1:10" x14ac:dyDescent="0.3">
      <c r="A21" s="25"/>
      <c r="B21" s="69"/>
      <c r="C21" s="69"/>
      <c r="D21" s="69"/>
      <c r="E21" s="69"/>
      <c r="F21" s="21"/>
      <c r="G21" s="21"/>
      <c r="H21" s="21"/>
      <c r="I21" s="21"/>
      <c r="J21" s="29"/>
    </row>
    <row r="22" spans="1:10" ht="25.8" x14ac:dyDescent="0.3">
      <c r="A22" s="25"/>
      <c r="B22" s="333" t="s">
        <v>34</v>
      </c>
      <c r="C22" s="333"/>
      <c r="D22" s="333"/>
      <c r="E22" s="333"/>
      <c r="F22" s="334" t="str">
        <f>Data!N50</f>
        <v/>
      </c>
      <c r="G22" s="334"/>
      <c r="H22" s="334"/>
      <c r="I22" s="21"/>
      <c r="J22" s="29"/>
    </row>
    <row r="23" spans="1:10" ht="15" thickBot="1" x14ac:dyDescent="0.35">
      <c r="A23" s="25"/>
      <c r="B23" s="21"/>
      <c r="C23" s="21"/>
      <c r="D23" s="21"/>
      <c r="E23" s="21"/>
      <c r="F23" s="21"/>
      <c r="G23" s="21"/>
      <c r="H23" s="21"/>
      <c r="I23" s="21"/>
      <c r="J23" s="29"/>
    </row>
    <row r="24" spans="1:10" x14ac:dyDescent="0.3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ht="15" customHeight="1" x14ac:dyDescent="0.3">
      <c r="A25" s="35"/>
      <c r="B25" s="37"/>
      <c r="C25" s="297" t="s">
        <v>35</v>
      </c>
      <c r="D25" s="297"/>
      <c r="E25" s="297"/>
      <c r="F25" s="297"/>
      <c r="G25" s="297"/>
      <c r="H25" s="297"/>
      <c r="I25" s="37"/>
      <c r="J25" s="38"/>
    </row>
    <row r="26" spans="1:10" ht="15" customHeight="1" x14ac:dyDescent="0.3">
      <c r="A26" s="39"/>
      <c r="B26" s="37"/>
      <c r="C26" s="297"/>
      <c r="D26" s="297"/>
      <c r="E26" s="297"/>
      <c r="F26" s="297"/>
      <c r="G26" s="297"/>
      <c r="H26" s="297"/>
      <c r="I26" s="37"/>
      <c r="J26" s="38"/>
    </row>
    <row r="27" spans="1:10" x14ac:dyDescent="0.3">
      <c r="A27" s="35"/>
      <c r="B27" s="14"/>
      <c r="C27" s="14"/>
      <c r="D27" s="14"/>
      <c r="E27" s="14"/>
      <c r="F27" s="14"/>
      <c r="G27" s="14"/>
      <c r="H27" s="14"/>
      <c r="I27" s="14"/>
      <c r="J27" s="36"/>
    </row>
    <row r="28" spans="1:10" ht="25.8" x14ac:dyDescent="0.3">
      <c r="A28" s="35"/>
      <c r="B28" s="335" t="s">
        <v>36</v>
      </c>
      <c r="C28" s="335"/>
      <c r="D28" s="334">
        <f>Data!U50</f>
        <v>0</v>
      </c>
      <c r="E28" s="334"/>
      <c r="F28" s="14"/>
      <c r="G28" s="335" t="s">
        <v>40</v>
      </c>
      <c r="H28" s="335"/>
      <c r="I28" s="30">
        <f>Data!V50</f>
        <v>0</v>
      </c>
      <c r="J28" s="40"/>
    </row>
    <row r="29" spans="1:10" ht="15" customHeight="1" x14ac:dyDescent="0.3">
      <c r="A29" s="35"/>
      <c r="B29" s="15"/>
      <c r="C29" s="15"/>
      <c r="D29" s="14"/>
      <c r="E29" s="14"/>
      <c r="F29" s="14"/>
      <c r="G29" s="15"/>
      <c r="H29" s="15"/>
      <c r="I29" s="76"/>
      <c r="J29" s="40"/>
    </row>
    <row r="30" spans="1:10" ht="25.8" x14ac:dyDescent="0.3">
      <c r="A30" s="35"/>
      <c r="B30" s="335" t="s">
        <v>37</v>
      </c>
      <c r="C30" s="335"/>
      <c r="D30" s="334" t="str">
        <f>Data!P50</f>
        <v/>
      </c>
      <c r="E30" s="334"/>
      <c r="F30" s="14"/>
      <c r="G30" s="335" t="s">
        <v>41</v>
      </c>
      <c r="H30" s="335"/>
      <c r="I30" s="30">
        <f>Data!W50</f>
        <v>0</v>
      </c>
      <c r="J30" s="40"/>
    </row>
    <row r="31" spans="1:10" ht="13.5" customHeight="1" x14ac:dyDescent="0.3">
      <c r="A31" s="35"/>
      <c r="B31" s="15"/>
      <c r="C31" s="15"/>
      <c r="D31" s="14"/>
      <c r="E31" s="14"/>
      <c r="F31" s="14"/>
      <c r="G31" s="14"/>
      <c r="H31" s="14"/>
      <c r="I31" s="76"/>
      <c r="J31" s="40"/>
    </row>
    <row r="32" spans="1:10" ht="25.8" x14ac:dyDescent="0.3">
      <c r="A32" s="35"/>
      <c r="B32" s="335" t="s">
        <v>38</v>
      </c>
      <c r="C32" s="335"/>
      <c r="D32" s="334" t="str">
        <f>Data!Q50</f>
        <v/>
      </c>
      <c r="E32" s="334"/>
      <c r="F32" s="14"/>
      <c r="G32" s="335" t="s">
        <v>42</v>
      </c>
      <c r="H32" s="335"/>
      <c r="I32" s="30">
        <f>Data!X50</f>
        <v>0</v>
      </c>
      <c r="J32" s="40"/>
    </row>
    <row r="33" spans="1:10" ht="12.75" customHeight="1" x14ac:dyDescent="0.3">
      <c r="A33" s="35"/>
      <c r="B33" s="15"/>
      <c r="C33" s="15"/>
      <c r="D33" s="14"/>
      <c r="E33" s="14"/>
      <c r="F33" s="14"/>
      <c r="G33" s="15"/>
      <c r="H33" s="15"/>
      <c r="I33" s="76"/>
      <c r="J33" s="40"/>
    </row>
    <row r="34" spans="1:10" ht="25.8" x14ac:dyDescent="0.3">
      <c r="A34" s="35"/>
      <c r="B34" s="335" t="s">
        <v>39</v>
      </c>
      <c r="C34" s="335"/>
      <c r="D34" s="334" t="str">
        <f>Data!R50</f>
        <v/>
      </c>
      <c r="E34" s="334"/>
      <c r="F34" s="14"/>
      <c r="G34" s="335" t="s">
        <v>60</v>
      </c>
      <c r="H34" s="335"/>
      <c r="I34" s="30" t="str">
        <f>Data!Y50</f>
        <v/>
      </c>
      <c r="J34" s="40"/>
    </row>
    <row r="35" spans="1:10" x14ac:dyDescent="0.3">
      <c r="A35" s="35"/>
      <c r="B35" s="14"/>
      <c r="C35" s="14"/>
      <c r="D35" s="14"/>
      <c r="E35" s="14"/>
      <c r="F35" s="14"/>
      <c r="G35" s="14"/>
      <c r="H35" s="14"/>
      <c r="I35" s="77"/>
      <c r="J35" s="41"/>
    </row>
    <row r="36" spans="1:10" ht="25.8" x14ac:dyDescent="0.3">
      <c r="A36" s="35"/>
      <c r="B36" s="335" t="s">
        <v>43</v>
      </c>
      <c r="C36" s="335"/>
      <c r="D36" s="334" t="str">
        <f>Data!Z50</f>
        <v/>
      </c>
      <c r="E36" s="334"/>
      <c r="F36" s="14"/>
      <c r="G36" s="14"/>
      <c r="H36" s="14"/>
      <c r="I36" s="14"/>
      <c r="J36" s="36"/>
    </row>
    <row r="37" spans="1:10" ht="15.75" customHeight="1" x14ac:dyDescent="0.3">
      <c r="A37" s="35"/>
      <c r="B37" s="15"/>
      <c r="C37" s="15"/>
      <c r="D37" s="42"/>
      <c r="E37" s="42"/>
      <c r="F37" s="14"/>
      <c r="G37" s="14"/>
      <c r="H37" s="14"/>
      <c r="I37" s="14"/>
      <c r="J37" s="36"/>
    </row>
    <row r="38" spans="1:10" ht="25.8" x14ac:dyDescent="0.3">
      <c r="A38" s="35"/>
      <c r="B38" s="335" t="s">
        <v>44</v>
      </c>
      <c r="C38" s="335"/>
      <c r="D38" s="334" t="str">
        <f>Data!AA50</f>
        <v/>
      </c>
      <c r="E38" s="334"/>
      <c r="F38" s="14"/>
      <c r="G38" s="14"/>
      <c r="H38" s="14"/>
      <c r="I38" s="14"/>
      <c r="J38" s="36"/>
    </row>
    <row r="39" spans="1:10" x14ac:dyDescent="0.3">
      <c r="A39" s="35"/>
      <c r="B39" s="14"/>
      <c r="C39" s="14"/>
      <c r="D39" s="14"/>
      <c r="E39" s="14"/>
      <c r="F39" s="14"/>
      <c r="G39" s="14"/>
      <c r="H39" s="14"/>
      <c r="I39" s="14"/>
      <c r="J39" s="36"/>
    </row>
    <row r="40" spans="1:10" ht="15" thickBot="1" x14ac:dyDescent="0.35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87"/>
      <c r="B41" s="88"/>
      <c r="C41" s="88"/>
      <c r="D41" s="88"/>
      <c r="E41" s="88"/>
      <c r="F41" s="88"/>
      <c r="G41" s="88"/>
      <c r="H41" s="88"/>
      <c r="I41" s="88"/>
      <c r="J41" s="89"/>
    </row>
    <row r="42" spans="1:10" ht="15" customHeight="1" x14ac:dyDescent="0.3">
      <c r="A42" s="46"/>
      <c r="B42" s="16"/>
      <c r="C42" s="297" t="s">
        <v>45</v>
      </c>
      <c r="D42" s="297"/>
      <c r="E42" s="297"/>
      <c r="F42" s="297"/>
      <c r="G42" s="297"/>
      <c r="H42" s="297"/>
      <c r="I42" s="16"/>
      <c r="J42" s="17"/>
    </row>
    <row r="43" spans="1:10" ht="15" customHeight="1" x14ac:dyDescent="0.3">
      <c r="A43" s="18"/>
      <c r="B43" s="16"/>
      <c r="C43" s="297"/>
      <c r="D43" s="297"/>
      <c r="E43" s="297"/>
      <c r="F43" s="297"/>
      <c r="G43" s="297"/>
      <c r="H43" s="297"/>
      <c r="I43" s="16"/>
      <c r="J43" s="17"/>
    </row>
    <row r="44" spans="1:10" x14ac:dyDescent="0.3">
      <c r="A44" s="46"/>
      <c r="B44" s="47"/>
      <c r="C44" s="47"/>
      <c r="D44" s="47"/>
      <c r="E44" s="47"/>
      <c r="F44" s="47"/>
      <c r="G44" s="47"/>
      <c r="H44" s="47"/>
      <c r="I44" s="78"/>
      <c r="J44" s="49"/>
    </row>
    <row r="45" spans="1:10" ht="24.9" customHeight="1" x14ac:dyDescent="0.3">
      <c r="A45" s="46"/>
      <c r="B45" s="336" t="s">
        <v>46</v>
      </c>
      <c r="C45" s="336"/>
      <c r="D45" s="336"/>
      <c r="E45" s="50" t="s">
        <v>54</v>
      </c>
      <c r="F45" s="47"/>
      <c r="G45" s="336" t="s">
        <v>51</v>
      </c>
      <c r="H45" s="336"/>
      <c r="I45" s="50" t="s">
        <v>54</v>
      </c>
      <c r="J45" s="49"/>
    </row>
    <row r="46" spans="1:10" ht="24.9" customHeight="1" x14ac:dyDescent="0.3">
      <c r="A46" s="46"/>
      <c r="B46" s="336" t="s">
        <v>61</v>
      </c>
      <c r="C46" s="336"/>
      <c r="D46" s="336"/>
      <c r="E46" s="50" t="s">
        <v>54</v>
      </c>
      <c r="F46" s="47"/>
      <c r="G46" s="336" t="s">
        <v>52</v>
      </c>
      <c r="H46" s="336"/>
      <c r="I46" s="50" t="s">
        <v>54</v>
      </c>
      <c r="J46" s="49"/>
    </row>
    <row r="47" spans="1:10" ht="24.9" customHeight="1" x14ac:dyDescent="0.3">
      <c r="A47" s="46"/>
      <c r="B47" s="336" t="s">
        <v>50</v>
      </c>
      <c r="C47" s="336"/>
      <c r="D47" s="336"/>
      <c r="E47" s="50" t="s">
        <v>54</v>
      </c>
      <c r="F47" s="47"/>
      <c r="G47" s="336" t="s">
        <v>71</v>
      </c>
      <c r="H47" s="336"/>
      <c r="I47" s="50" t="s">
        <v>54</v>
      </c>
      <c r="J47" s="49"/>
    </row>
    <row r="48" spans="1:10" ht="24.9" customHeight="1" x14ac:dyDescent="0.3">
      <c r="A48" s="46"/>
      <c r="B48" s="336" t="s">
        <v>47</v>
      </c>
      <c r="C48" s="336"/>
      <c r="D48" s="336"/>
      <c r="E48" s="50" t="s">
        <v>54</v>
      </c>
      <c r="F48" s="47"/>
      <c r="G48" s="336" t="s">
        <v>53</v>
      </c>
      <c r="H48" s="336"/>
      <c r="I48" s="50" t="s">
        <v>54</v>
      </c>
      <c r="J48" s="49"/>
    </row>
    <row r="49" spans="1:10" ht="24.9" customHeight="1" x14ac:dyDescent="0.3">
      <c r="A49" s="46"/>
      <c r="B49" s="336" t="s">
        <v>62</v>
      </c>
      <c r="C49" s="336"/>
      <c r="D49" s="336"/>
      <c r="E49" s="50" t="s">
        <v>54</v>
      </c>
      <c r="F49" s="47"/>
      <c r="G49" s="336" t="s">
        <v>63</v>
      </c>
      <c r="H49" s="336"/>
      <c r="I49" s="50" t="s">
        <v>54</v>
      </c>
      <c r="J49" s="49"/>
    </row>
    <row r="50" spans="1:10" ht="24.9" customHeight="1" x14ac:dyDescent="0.3">
      <c r="A50" s="46"/>
      <c r="B50" s="336" t="s">
        <v>64</v>
      </c>
      <c r="C50" s="336"/>
      <c r="D50" s="336"/>
      <c r="E50" s="50" t="s">
        <v>54</v>
      </c>
      <c r="F50" s="47"/>
      <c r="G50" s="336" t="s">
        <v>65</v>
      </c>
      <c r="H50" s="336"/>
      <c r="I50" s="50" t="s">
        <v>54</v>
      </c>
      <c r="J50" s="49"/>
    </row>
    <row r="51" spans="1:10" ht="24.9" customHeight="1" x14ac:dyDescent="0.3">
      <c r="A51" s="46"/>
      <c r="B51" s="336" t="s">
        <v>66</v>
      </c>
      <c r="C51" s="336"/>
      <c r="D51" s="336"/>
      <c r="E51" s="50" t="s">
        <v>54</v>
      </c>
      <c r="F51" s="47"/>
      <c r="G51" s="336" t="s">
        <v>67</v>
      </c>
      <c r="H51" s="336"/>
      <c r="I51" s="50" t="s">
        <v>54</v>
      </c>
      <c r="J51" s="49"/>
    </row>
    <row r="52" spans="1:10" ht="24.9" customHeight="1" thickBot="1" x14ac:dyDescent="0.35">
      <c r="A52" s="46"/>
      <c r="B52" s="336" t="s">
        <v>68</v>
      </c>
      <c r="C52" s="336"/>
      <c r="D52" s="336"/>
      <c r="E52" s="50" t="s">
        <v>54</v>
      </c>
      <c r="F52" s="47"/>
      <c r="G52" s="47"/>
      <c r="H52" s="47"/>
      <c r="I52" s="47"/>
      <c r="J52" s="48"/>
    </row>
    <row r="53" spans="1:10" ht="24.9" customHeight="1" x14ac:dyDescent="0.3">
      <c r="A53" s="46"/>
      <c r="B53" s="336" t="s">
        <v>69</v>
      </c>
      <c r="C53" s="336"/>
      <c r="D53" s="336"/>
      <c r="E53" s="50" t="s">
        <v>54</v>
      </c>
      <c r="F53" s="47"/>
      <c r="G53" s="47"/>
      <c r="H53" s="51" t="s">
        <v>55</v>
      </c>
      <c r="I53" s="47"/>
      <c r="J53" s="48"/>
    </row>
    <row r="54" spans="1:10" ht="24.9" customHeight="1" x14ac:dyDescent="0.3">
      <c r="A54" s="46"/>
      <c r="B54" s="336" t="s">
        <v>70</v>
      </c>
      <c r="C54" s="336"/>
      <c r="D54" s="336"/>
      <c r="E54" s="50" t="s">
        <v>54</v>
      </c>
      <c r="F54" s="47"/>
      <c r="G54" s="47"/>
      <c r="H54" s="52"/>
      <c r="I54" s="47"/>
      <c r="J54" s="48"/>
    </row>
    <row r="55" spans="1:10" ht="24.9" customHeight="1" x14ac:dyDescent="0.3">
      <c r="A55" s="46"/>
      <c r="B55" s="336" t="s">
        <v>48</v>
      </c>
      <c r="C55" s="336"/>
      <c r="D55" s="336"/>
      <c r="E55" s="50" t="s">
        <v>54</v>
      </c>
      <c r="F55" s="47"/>
      <c r="G55" s="47"/>
      <c r="H55" s="52"/>
      <c r="I55" s="47"/>
      <c r="J55" s="48"/>
    </row>
    <row r="56" spans="1:10" ht="24.9" customHeight="1" thickBot="1" x14ac:dyDescent="0.35">
      <c r="A56" s="46"/>
      <c r="B56" s="336" t="s">
        <v>49</v>
      </c>
      <c r="C56" s="336"/>
      <c r="D56" s="336"/>
      <c r="E56" s="50" t="s">
        <v>54</v>
      </c>
      <c r="F56" s="47"/>
      <c r="G56" s="47"/>
      <c r="H56" s="53"/>
      <c r="I56" s="47"/>
      <c r="J56" s="48"/>
    </row>
    <row r="57" spans="1:10" ht="15" thickBot="1" x14ac:dyDescent="0.35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ht="15" thickBot="1" x14ac:dyDescent="0.35">
      <c r="A58" s="81"/>
      <c r="B58" s="82"/>
      <c r="C58" s="82"/>
      <c r="D58" s="82"/>
      <c r="E58" s="82"/>
      <c r="F58" s="82"/>
      <c r="G58" s="82"/>
      <c r="H58" s="82"/>
      <c r="I58" s="82"/>
      <c r="J58" s="83"/>
    </row>
    <row r="59" spans="1:10" ht="30" customHeight="1" thickBot="1" x14ac:dyDescent="0.35">
      <c r="A59" s="57"/>
      <c r="B59" s="67" t="s">
        <v>56</v>
      </c>
      <c r="C59" s="68"/>
      <c r="D59" s="64"/>
      <c r="E59" s="65"/>
      <c r="F59" s="66" t="s">
        <v>58</v>
      </c>
      <c r="G59" s="64"/>
      <c r="H59" s="65"/>
      <c r="I59" s="58"/>
      <c r="J59" s="59"/>
    </row>
    <row r="60" spans="1:10" x14ac:dyDescent="0.3">
      <c r="A60" s="57"/>
      <c r="B60" s="60"/>
      <c r="C60" s="58"/>
      <c r="D60" s="58"/>
      <c r="E60" s="58"/>
      <c r="F60" s="19"/>
      <c r="G60" s="58"/>
      <c r="H60" s="58"/>
      <c r="I60" s="58"/>
      <c r="J60" s="59"/>
    </row>
    <row r="61" spans="1:10" ht="1.5" customHeight="1" thickBot="1" x14ac:dyDescent="0.35">
      <c r="A61" s="57"/>
      <c r="B61" s="60"/>
      <c r="C61" s="58"/>
      <c r="D61" s="58"/>
      <c r="E61" s="58"/>
      <c r="F61" s="19"/>
      <c r="G61" s="58"/>
      <c r="H61" s="58"/>
      <c r="I61" s="58"/>
      <c r="J61" s="59"/>
    </row>
    <row r="62" spans="1:10" ht="30" customHeight="1" thickBot="1" x14ac:dyDescent="0.35">
      <c r="A62" s="57"/>
      <c r="B62" s="67" t="s">
        <v>57</v>
      </c>
      <c r="C62" s="64"/>
      <c r="D62" s="64"/>
      <c r="E62" s="65"/>
      <c r="F62" s="66" t="s">
        <v>58</v>
      </c>
      <c r="G62" s="64"/>
      <c r="H62" s="65"/>
      <c r="I62" s="58"/>
      <c r="J62" s="59"/>
    </row>
    <row r="63" spans="1:10" ht="15" thickBot="1" x14ac:dyDescent="0.35">
      <c r="A63" s="61"/>
      <c r="B63" s="62"/>
      <c r="C63" s="62"/>
      <c r="D63" s="62"/>
      <c r="E63" s="62"/>
      <c r="F63" s="20"/>
      <c r="G63" s="62"/>
      <c r="H63" s="62"/>
      <c r="I63" s="62"/>
      <c r="J63" s="63"/>
    </row>
  </sheetData>
  <mergeCells count="53">
    <mergeCell ref="B14:E14"/>
    <mergeCell ref="F14:H14"/>
    <mergeCell ref="C6:H7"/>
    <mergeCell ref="B10:E10"/>
    <mergeCell ref="F10:H10"/>
    <mergeCell ref="B12:E12"/>
    <mergeCell ref="F12:H12"/>
    <mergeCell ref="B16:E16"/>
    <mergeCell ref="F16:H16"/>
    <mergeCell ref="B18:E18"/>
    <mergeCell ref="F18:H18"/>
    <mergeCell ref="B20:E20"/>
    <mergeCell ref="F20:H20"/>
    <mergeCell ref="B22:E22"/>
    <mergeCell ref="F22:H22"/>
    <mergeCell ref="C25:H26"/>
    <mergeCell ref="B28:C28"/>
    <mergeCell ref="D28:E28"/>
    <mergeCell ref="G28:H28"/>
    <mergeCell ref="B38:C38"/>
    <mergeCell ref="D38:E38"/>
    <mergeCell ref="B30:C30"/>
    <mergeCell ref="D30:E30"/>
    <mergeCell ref="G30:H30"/>
    <mergeCell ref="B32:C32"/>
    <mergeCell ref="D32:E32"/>
    <mergeCell ref="G32:H32"/>
    <mergeCell ref="B34:C34"/>
    <mergeCell ref="D34:E34"/>
    <mergeCell ref="G34:H34"/>
    <mergeCell ref="B36:C36"/>
    <mergeCell ref="D36:E36"/>
    <mergeCell ref="G45:H45"/>
    <mergeCell ref="B46:D46"/>
    <mergeCell ref="G46:H46"/>
    <mergeCell ref="B47:D47"/>
    <mergeCell ref="G47:H47"/>
    <mergeCell ref="B56:D56"/>
    <mergeCell ref="C2:H3"/>
    <mergeCell ref="B51:D51"/>
    <mergeCell ref="G51:H51"/>
    <mergeCell ref="B52:D52"/>
    <mergeCell ref="B53:D53"/>
    <mergeCell ref="B54:D54"/>
    <mergeCell ref="B55:D55"/>
    <mergeCell ref="B48:D48"/>
    <mergeCell ref="G48:H48"/>
    <mergeCell ref="B49:D49"/>
    <mergeCell ref="G49:H49"/>
    <mergeCell ref="B50:D50"/>
    <mergeCell ref="G50:H50"/>
    <mergeCell ref="C42:H43"/>
    <mergeCell ref="B45:D45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1"/>
  <dimension ref="A1:BK190"/>
  <sheetViews>
    <sheetView topLeftCell="Y1" zoomScaleNormal="100" workbookViewId="0">
      <selection activeCell="AH4" sqref="AH4"/>
    </sheetView>
  </sheetViews>
  <sheetFormatPr defaultRowHeight="14.4" x14ac:dyDescent="0.3"/>
  <cols>
    <col min="1" max="1" width="22.6640625" customWidth="1"/>
  </cols>
  <sheetData>
    <row r="1" spans="1:63" ht="26.4" thickBot="1" x14ac:dyDescent="0.55000000000000004">
      <c r="A1" s="1" t="s">
        <v>131</v>
      </c>
      <c r="B1" s="106">
        <v>0.5</v>
      </c>
      <c r="C1" s="107" t="s">
        <v>88</v>
      </c>
      <c r="D1">
        <v>2</v>
      </c>
      <c r="AA1" s="342" t="s">
        <v>371</v>
      </c>
      <c r="AB1" s="343"/>
      <c r="AC1" s="343"/>
      <c r="AD1" s="343"/>
      <c r="AE1" s="343"/>
      <c r="AF1" s="343"/>
      <c r="AG1" s="344"/>
      <c r="AH1" s="217"/>
      <c r="AI1" s="342" t="s">
        <v>372</v>
      </c>
      <c r="AJ1" s="343"/>
      <c r="AK1" s="343"/>
      <c r="AL1" s="343"/>
      <c r="AM1" s="343"/>
      <c r="AN1" s="343"/>
      <c r="AO1" s="343"/>
      <c r="AP1" s="343"/>
      <c r="AQ1" s="344"/>
      <c r="AU1" s="247" t="s">
        <v>443</v>
      </c>
      <c r="AV1" s="247"/>
      <c r="AW1" s="247"/>
      <c r="AX1" s="247"/>
      <c r="AY1" s="248"/>
      <c r="AZ1" s="249"/>
      <c r="BA1" s="250"/>
      <c r="BB1" s="248"/>
      <c r="BC1" s="248"/>
      <c r="BD1" s="248"/>
      <c r="BE1" s="250"/>
      <c r="BF1" s="250"/>
      <c r="BG1" s="248"/>
      <c r="BH1" s="248"/>
      <c r="BI1" s="250"/>
      <c r="BJ1" s="249"/>
      <c r="BK1" s="248"/>
    </row>
    <row r="2" spans="1:63" ht="125.4" thickBot="1" x14ac:dyDescent="0.55000000000000004">
      <c r="A2" s="1" t="s">
        <v>132</v>
      </c>
      <c r="B2" s="107" t="s">
        <v>86</v>
      </c>
      <c r="C2" s="107" t="s">
        <v>90</v>
      </c>
      <c r="D2">
        <v>2</v>
      </c>
      <c r="I2" t="s">
        <v>279</v>
      </c>
      <c r="AA2" s="218" t="s">
        <v>373</v>
      </c>
      <c r="AB2" s="219" t="s">
        <v>374</v>
      </c>
      <c r="AC2" s="219" t="s">
        <v>375</v>
      </c>
      <c r="AD2" s="219" t="s">
        <v>376</v>
      </c>
      <c r="AE2" s="219" t="s">
        <v>377</v>
      </c>
      <c r="AF2" s="220" t="s">
        <v>378</v>
      </c>
      <c r="AG2" s="221" t="s">
        <v>379</v>
      </c>
      <c r="AH2" s="222"/>
      <c r="AI2" s="218" t="s">
        <v>380</v>
      </c>
      <c r="AJ2" s="223" t="s">
        <v>381</v>
      </c>
      <c r="AK2" s="224" t="s">
        <v>382</v>
      </c>
      <c r="AL2" s="224" t="s">
        <v>383</v>
      </c>
      <c r="AM2" s="219" t="s">
        <v>384</v>
      </c>
      <c r="AN2" s="219" t="s">
        <v>385</v>
      </c>
      <c r="AO2" s="224" t="s">
        <v>386</v>
      </c>
      <c r="AP2" s="220" t="s">
        <v>387</v>
      </c>
      <c r="AQ2" s="225" t="s">
        <v>388</v>
      </c>
      <c r="AU2" s="382"/>
      <c r="AV2" s="382"/>
      <c r="AW2" s="382"/>
      <c r="AX2" s="382"/>
      <c r="AY2" s="248"/>
      <c r="AZ2" s="249"/>
      <c r="BA2" s="250"/>
      <c r="BB2" s="248"/>
      <c r="BC2" s="251"/>
      <c r="BD2" s="251"/>
      <c r="BE2" s="252"/>
      <c r="BF2" s="252"/>
      <c r="BG2" s="251"/>
      <c r="BH2" s="251"/>
      <c r="BI2" s="252"/>
      <c r="BJ2" s="253"/>
      <c r="BK2" s="251"/>
    </row>
    <row r="3" spans="1:63" ht="15" thickBot="1" x14ac:dyDescent="0.35">
      <c r="A3" s="1" t="s">
        <v>133</v>
      </c>
      <c r="B3" s="107" t="s">
        <v>86</v>
      </c>
      <c r="C3" s="107" t="s">
        <v>90</v>
      </c>
      <c r="D3">
        <v>2</v>
      </c>
      <c r="I3" t="s">
        <v>280</v>
      </c>
      <c r="AA3" s="226"/>
      <c r="AB3" s="227"/>
      <c r="AC3" s="227"/>
      <c r="AD3" s="227"/>
      <c r="AE3" s="227"/>
      <c r="AF3" s="228"/>
      <c r="AG3" s="229"/>
      <c r="AH3" s="230"/>
      <c r="AI3" s="226"/>
      <c r="AJ3" s="231"/>
      <c r="AK3" s="232"/>
      <c r="AL3" s="232"/>
      <c r="AM3" s="227"/>
      <c r="AN3" s="227"/>
      <c r="AO3" s="232"/>
      <c r="AP3" s="228"/>
      <c r="AQ3" s="233"/>
      <c r="AU3" s="203" t="s">
        <v>327</v>
      </c>
      <c r="AV3" s="383" t="s">
        <v>323</v>
      </c>
      <c r="AW3" s="204">
        <v>2.61</v>
      </c>
      <c r="AX3" s="204">
        <v>1.9235699999999998</v>
      </c>
      <c r="AY3" s="205">
        <v>1548</v>
      </c>
      <c r="AZ3" s="206">
        <v>8</v>
      </c>
      <c r="BA3" s="234">
        <v>2.36</v>
      </c>
      <c r="BB3" s="174"/>
      <c r="BC3" s="340" t="s">
        <v>324</v>
      </c>
      <c r="BD3" s="350" t="s">
        <v>444</v>
      </c>
      <c r="BE3" s="210">
        <v>1.76</v>
      </c>
      <c r="BF3" s="210">
        <v>8.26</v>
      </c>
      <c r="BG3" s="255" t="s">
        <v>86</v>
      </c>
      <c r="BH3" s="255" t="s">
        <v>88</v>
      </c>
      <c r="BI3" s="210">
        <v>1.8</v>
      </c>
      <c r="BJ3" s="235">
        <v>16</v>
      </c>
      <c r="BK3" s="374" t="s">
        <v>445</v>
      </c>
    </row>
    <row r="4" spans="1:63" x14ac:dyDescent="0.3">
      <c r="A4" s="1" t="s">
        <v>134</v>
      </c>
      <c r="B4" s="107" t="s">
        <v>86</v>
      </c>
      <c r="C4" s="107" t="s">
        <v>88</v>
      </c>
      <c r="D4">
        <v>2</v>
      </c>
      <c r="I4" t="s">
        <v>321</v>
      </c>
      <c r="AA4" s="169" t="s">
        <v>322</v>
      </c>
      <c r="AB4" s="345" t="s">
        <v>323</v>
      </c>
      <c r="AC4" s="170">
        <v>1.88</v>
      </c>
      <c r="AD4" s="170">
        <v>1.3855599999999999</v>
      </c>
      <c r="AE4" s="171">
        <v>1584</v>
      </c>
      <c r="AF4" s="172">
        <v>12</v>
      </c>
      <c r="AG4" s="173">
        <v>2.3199999999999998</v>
      </c>
      <c r="AH4" s="174">
        <v>1</v>
      </c>
      <c r="AI4" s="348" t="s">
        <v>324</v>
      </c>
      <c r="AJ4" s="350" t="s">
        <v>325</v>
      </c>
      <c r="AK4" s="175">
        <v>1.24</v>
      </c>
      <c r="AL4" s="175">
        <v>5.73</v>
      </c>
      <c r="AM4" s="173" t="s">
        <v>86</v>
      </c>
      <c r="AN4" s="173" t="s">
        <v>88</v>
      </c>
      <c r="AO4" s="175">
        <v>0.73799999999999999</v>
      </c>
      <c r="AP4" s="172">
        <v>16</v>
      </c>
      <c r="AQ4" s="353" t="s">
        <v>326</v>
      </c>
      <c r="AU4" s="182" t="s">
        <v>329</v>
      </c>
      <c r="AV4" s="384"/>
      <c r="AW4" s="183">
        <v>3.46</v>
      </c>
      <c r="AX4" s="183">
        <v>2.55002</v>
      </c>
      <c r="AY4" s="184">
        <v>1440</v>
      </c>
      <c r="AZ4" s="185">
        <v>7</v>
      </c>
      <c r="BA4" s="236">
        <v>2.19</v>
      </c>
      <c r="BB4" s="174"/>
      <c r="BC4" s="341"/>
      <c r="BD4" s="351"/>
      <c r="BE4" s="187">
        <v>2.93</v>
      </c>
      <c r="BF4" s="187">
        <v>13.76</v>
      </c>
      <c r="BG4" s="187" t="s">
        <v>86</v>
      </c>
      <c r="BH4" s="187" t="s">
        <v>90</v>
      </c>
      <c r="BI4" s="187">
        <v>2.25</v>
      </c>
      <c r="BJ4" s="237">
        <v>18</v>
      </c>
      <c r="BK4" s="375"/>
    </row>
    <row r="5" spans="1:63" x14ac:dyDescent="0.3">
      <c r="A5" s="1" t="s">
        <v>135</v>
      </c>
      <c r="B5" s="107" t="s">
        <v>86</v>
      </c>
      <c r="C5" s="107" t="s">
        <v>90</v>
      </c>
      <c r="D5">
        <v>2</v>
      </c>
      <c r="AA5" s="176" t="s">
        <v>327</v>
      </c>
      <c r="AB5" s="346"/>
      <c r="AC5" s="177">
        <v>2.67</v>
      </c>
      <c r="AD5" s="177">
        <v>1.9677899999999999</v>
      </c>
      <c r="AE5" s="178">
        <v>1548</v>
      </c>
      <c r="AF5" s="179">
        <v>11</v>
      </c>
      <c r="AG5" s="180">
        <v>2.2799999999999998</v>
      </c>
      <c r="AH5" s="174">
        <v>1</v>
      </c>
      <c r="AI5" s="349"/>
      <c r="AJ5" s="351"/>
      <c r="AK5" s="181">
        <v>1.86</v>
      </c>
      <c r="AL5" s="181">
        <v>8.6</v>
      </c>
      <c r="AM5" s="180" t="s">
        <v>86</v>
      </c>
      <c r="AN5" s="180" t="s">
        <v>88</v>
      </c>
      <c r="AO5" s="181">
        <v>0.73799999999999999</v>
      </c>
      <c r="AP5" s="179">
        <v>18.399999999999999</v>
      </c>
      <c r="AQ5" s="354"/>
      <c r="AU5" s="176" t="s">
        <v>332</v>
      </c>
      <c r="AV5" s="384"/>
      <c r="AW5" s="177">
        <v>5.22</v>
      </c>
      <c r="AX5" s="177">
        <v>3.8471399999999996</v>
      </c>
      <c r="AY5" s="178">
        <v>3096</v>
      </c>
      <c r="AZ5" s="179">
        <v>11</v>
      </c>
      <c r="BA5" s="238">
        <v>2.36</v>
      </c>
      <c r="BB5" s="174"/>
      <c r="BC5" s="367" t="s">
        <v>331</v>
      </c>
      <c r="BD5" s="351"/>
      <c r="BE5" s="181">
        <v>3.35</v>
      </c>
      <c r="BF5" s="181">
        <v>16.510000000000002</v>
      </c>
      <c r="BG5" s="181" t="s">
        <v>86</v>
      </c>
      <c r="BH5" s="181" t="s">
        <v>90</v>
      </c>
      <c r="BI5" s="181">
        <v>3</v>
      </c>
      <c r="BJ5" s="239">
        <v>26</v>
      </c>
      <c r="BK5" s="375"/>
    </row>
    <row r="6" spans="1:63" x14ac:dyDescent="0.3">
      <c r="A6" s="1" t="s">
        <v>136</v>
      </c>
      <c r="B6" s="107" t="s">
        <v>86</v>
      </c>
      <c r="C6" s="107" t="s">
        <v>90</v>
      </c>
      <c r="D6">
        <v>2</v>
      </c>
      <c r="AA6" s="176" t="s">
        <v>328</v>
      </c>
      <c r="AB6" s="346"/>
      <c r="AC6" s="177">
        <v>3.17</v>
      </c>
      <c r="AD6" s="177">
        <v>2.33629</v>
      </c>
      <c r="AE6" s="178">
        <v>1512</v>
      </c>
      <c r="AF6" s="179">
        <v>10</v>
      </c>
      <c r="AG6" s="180">
        <v>2.21</v>
      </c>
      <c r="AH6" s="174">
        <v>1</v>
      </c>
      <c r="AI6" s="349"/>
      <c r="AJ6" s="351"/>
      <c r="AK6" s="181">
        <v>2.48</v>
      </c>
      <c r="AL6" s="181">
        <v>11.47</v>
      </c>
      <c r="AM6" s="180" t="s">
        <v>86</v>
      </c>
      <c r="AN6" s="180" t="s">
        <v>90</v>
      </c>
      <c r="AO6" s="181">
        <v>1.476</v>
      </c>
      <c r="AP6" s="179">
        <v>19.7</v>
      </c>
      <c r="AQ6" s="355"/>
      <c r="AU6" s="176" t="s">
        <v>334</v>
      </c>
      <c r="AV6" s="384"/>
      <c r="AW6" s="177">
        <v>6.97</v>
      </c>
      <c r="AX6" s="177">
        <v>5.1368900000000002</v>
      </c>
      <c r="AY6" s="178">
        <v>2880</v>
      </c>
      <c r="AZ6" s="179">
        <v>10</v>
      </c>
      <c r="BA6" s="238">
        <v>2.19</v>
      </c>
      <c r="BB6" s="174"/>
      <c r="BC6" s="368"/>
      <c r="BD6" s="351"/>
      <c r="BE6" s="181">
        <v>5.59</v>
      </c>
      <c r="BF6" s="181">
        <v>27.52</v>
      </c>
      <c r="BG6" s="181" t="s">
        <v>86</v>
      </c>
      <c r="BH6" s="181" t="s">
        <v>90</v>
      </c>
      <c r="BI6" s="181">
        <v>3.75</v>
      </c>
      <c r="BJ6" s="239">
        <v>31</v>
      </c>
      <c r="BK6" s="375"/>
    </row>
    <row r="7" spans="1:63" x14ac:dyDescent="0.3">
      <c r="A7" s="1"/>
      <c r="B7" s="1"/>
      <c r="C7" s="1"/>
      <c r="AA7" s="176" t="s">
        <v>329</v>
      </c>
      <c r="AB7" s="346"/>
      <c r="AC7" s="177">
        <v>3.51</v>
      </c>
      <c r="AD7" s="177">
        <v>2.5868699999999998</v>
      </c>
      <c r="AE7" s="178">
        <v>1440</v>
      </c>
      <c r="AF7" s="179">
        <v>9</v>
      </c>
      <c r="AG7" s="180">
        <v>2.12</v>
      </c>
      <c r="AH7" s="174">
        <v>1</v>
      </c>
      <c r="AI7" s="349"/>
      <c r="AJ7" s="351"/>
      <c r="AK7" s="181">
        <v>3.1</v>
      </c>
      <c r="AL7" s="181">
        <v>14.33</v>
      </c>
      <c r="AM7" s="180" t="s">
        <v>86</v>
      </c>
      <c r="AN7" s="180" t="s">
        <v>90</v>
      </c>
      <c r="AO7" s="181">
        <v>1.476</v>
      </c>
      <c r="AP7" s="179">
        <v>21</v>
      </c>
      <c r="AQ7" s="355"/>
      <c r="AU7" s="182" t="s">
        <v>337</v>
      </c>
      <c r="AV7" s="384"/>
      <c r="AW7" s="183">
        <v>7.87</v>
      </c>
      <c r="AX7" s="183">
        <v>5.8001899999999997</v>
      </c>
      <c r="AY7" s="184">
        <v>4680</v>
      </c>
      <c r="AZ7" s="185">
        <v>8</v>
      </c>
      <c r="BA7" s="236">
        <v>2.36</v>
      </c>
      <c r="BB7" s="174"/>
      <c r="BC7" s="369" t="s">
        <v>336</v>
      </c>
      <c r="BD7" s="351"/>
      <c r="BE7" s="187">
        <v>4.95</v>
      </c>
      <c r="BF7" s="187">
        <v>24.77</v>
      </c>
      <c r="BG7" s="187" t="s">
        <v>86</v>
      </c>
      <c r="BH7" s="187" t="s">
        <v>91</v>
      </c>
      <c r="BI7" s="187">
        <v>4.4000000000000004</v>
      </c>
      <c r="BJ7" s="237">
        <v>37</v>
      </c>
      <c r="BK7" s="375"/>
    </row>
    <row r="8" spans="1:63" x14ac:dyDescent="0.3">
      <c r="A8" s="1" t="s">
        <v>137</v>
      </c>
      <c r="B8" s="107" t="s">
        <v>86</v>
      </c>
      <c r="C8" s="107" t="s">
        <v>90</v>
      </c>
      <c r="D8">
        <v>3</v>
      </c>
      <c r="AA8" s="182" t="s">
        <v>330</v>
      </c>
      <c r="AB8" s="346"/>
      <c r="AC8" s="183">
        <v>3.94</v>
      </c>
      <c r="AD8" s="183">
        <v>2.9037799999999998</v>
      </c>
      <c r="AE8" s="184">
        <v>3204</v>
      </c>
      <c r="AF8" s="185">
        <v>12</v>
      </c>
      <c r="AG8" s="186">
        <v>2.3199999999999998</v>
      </c>
      <c r="AH8" s="174">
        <v>2</v>
      </c>
      <c r="AI8" s="357" t="s">
        <v>331</v>
      </c>
      <c r="AJ8" s="351"/>
      <c r="AK8" s="187">
        <v>2.35</v>
      </c>
      <c r="AL8" s="187">
        <v>11.47</v>
      </c>
      <c r="AM8" s="186" t="s">
        <v>86</v>
      </c>
      <c r="AN8" s="186" t="s">
        <v>90</v>
      </c>
      <c r="AO8" s="187">
        <v>1.3380000000000001</v>
      </c>
      <c r="AP8" s="185">
        <v>26</v>
      </c>
      <c r="AQ8" s="355"/>
      <c r="AU8" s="182" t="s">
        <v>339</v>
      </c>
      <c r="AV8" s="384"/>
      <c r="AW8" s="183">
        <v>10.45</v>
      </c>
      <c r="AX8" s="183">
        <v>7.701649999999999</v>
      </c>
      <c r="AY8" s="184">
        <v>4320</v>
      </c>
      <c r="AZ8" s="185">
        <v>7</v>
      </c>
      <c r="BA8" s="236">
        <v>2.19</v>
      </c>
      <c r="BB8" s="174"/>
      <c r="BC8" s="341"/>
      <c r="BD8" s="351"/>
      <c r="BE8" s="187">
        <v>8.25</v>
      </c>
      <c r="BF8" s="187">
        <v>41.28</v>
      </c>
      <c r="BG8" s="187" t="s">
        <v>86</v>
      </c>
      <c r="BH8" s="187" t="s">
        <v>91</v>
      </c>
      <c r="BI8" s="187">
        <v>5.5</v>
      </c>
      <c r="BJ8" s="237">
        <v>44</v>
      </c>
      <c r="BK8" s="375"/>
    </row>
    <row r="9" spans="1:63" x14ac:dyDescent="0.3">
      <c r="A9" s="1" t="s">
        <v>138</v>
      </c>
      <c r="B9" s="107" t="s">
        <v>86</v>
      </c>
      <c r="C9" s="107" t="s">
        <v>90</v>
      </c>
      <c r="D9">
        <v>3</v>
      </c>
      <c r="AA9" s="182" t="s">
        <v>332</v>
      </c>
      <c r="AB9" s="346"/>
      <c r="AC9" s="183">
        <v>5.34</v>
      </c>
      <c r="AD9" s="183">
        <v>3.9355799999999999</v>
      </c>
      <c r="AE9" s="184">
        <v>3132</v>
      </c>
      <c r="AF9" s="185">
        <v>11</v>
      </c>
      <c r="AG9" s="186">
        <v>2.2799999999999998</v>
      </c>
      <c r="AH9" s="174">
        <v>2</v>
      </c>
      <c r="AI9" s="357"/>
      <c r="AJ9" s="351"/>
      <c r="AK9" s="187">
        <v>3.52</v>
      </c>
      <c r="AL9" s="187">
        <v>17.2</v>
      </c>
      <c r="AM9" s="186" t="s">
        <v>86</v>
      </c>
      <c r="AN9" s="186" t="s">
        <v>90</v>
      </c>
      <c r="AO9" s="187">
        <v>1.3380000000000001</v>
      </c>
      <c r="AP9" s="185">
        <v>28.9</v>
      </c>
      <c r="AQ9" s="355"/>
      <c r="AU9" s="176" t="s">
        <v>342</v>
      </c>
      <c r="AV9" s="384"/>
      <c r="AW9" s="177">
        <v>10.54</v>
      </c>
      <c r="AX9" s="177">
        <v>7.7679799999999997</v>
      </c>
      <c r="AY9" s="178">
        <v>6228</v>
      </c>
      <c r="AZ9" s="179">
        <v>11</v>
      </c>
      <c r="BA9" s="238">
        <v>2.36</v>
      </c>
      <c r="BB9" s="174"/>
      <c r="BC9" s="367" t="s">
        <v>341</v>
      </c>
      <c r="BD9" s="351"/>
      <c r="BE9" s="181">
        <v>6.54</v>
      </c>
      <c r="BF9" s="181">
        <v>33.03</v>
      </c>
      <c r="BG9" s="181" t="s">
        <v>86</v>
      </c>
      <c r="BH9" s="181" t="s">
        <v>91</v>
      </c>
      <c r="BI9" s="181">
        <v>5.6</v>
      </c>
      <c r="BJ9" s="239">
        <v>47</v>
      </c>
      <c r="BK9" s="375"/>
    </row>
    <row r="10" spans="1:63" ht="15" thickBot="1" x14ac:dyDescent="0.35">
      <c r="A10" s="1" t="s">
        <v>139</v>
      </c>
      <c r="B10" s="107" t="s">
        <v>86</v>
      </c>
      <c r="C10" s="107" t="s">
        <v>90</v>
      </c>
      <c r="D10">
        <v>3</v>
      </c>
      <c r="AA10" s="182" t="s">
        <v>333</v>
      </c>
      <c r="AB10" s="346"/>
      <c r="AC10" s="183">
        <v>6.38</v>
      </c>
      <c r="AD10" s="183">
        <v>4.7020599999999995</v>
      </c>
      <c r="AE10" s="184">
        <v>3024</v>
      </c>
      <c r="AF10" s="185">
        <v>10</v>
      </c>
      <c r="AG10" s="186">
        <v>2.21</v>
      </c>
      <c r="AH10" s="174">
        <v>2</v>
      </c>
      <c r="AI10" s="357"/>
      <c r="AJ10" s="351"/>
      <c r="AK10" s="187">
        <v>4.7</v>
      </c>
      <c r="AL10" s="187">
        <v>22.93</v>
      </c>
      <c r="AM10" s="186" t="s">
        <v>86</v>
      </c>
      <c r="AN10" s="186" t="s">
        <v>91</v>
      </c>
      <c r="AO10" s="187">
        <v>2.6760000000000002</v>
      </c>
      <c r="AP10" s="185">
        <v>31.5</v>
      </c>
      <c r="AQ10" s="355"/>
      <c r="AU10" s="194" t="s">
        <v>344</v>
      </c>
      <c r="AV10" s="385"/>
      <c r="AW10" s="195">
        <v>13.93</v>
      </c>
      <c r="AX10" s="195">
        <v>10.26641</v>
      </c>
      <c r="AY10" s="196">
        <v>5760</v>
      </c>
      <c r="AZ10" s="197">
        <v>10</v>
      </c>
      <c r="BA10" s="240">
        <v>2.19</v>
      </c>
      <c r="BB10" s="174"/>
      <c r="BC10" s="370"/>
      <c r="BD10" s="352"/>
      <c r="BE10" s="199">
        <v>10.91</v>
      </c>
      <c r="BF10" s="199">
        <v>55.04</v>
      </c>
      <c r="BG10" s="199" t="s">
        <v>88</v>
      </c>
      <c r="BH10" s="199" t="s">
        <v>91</v>
      </c>
      <c r="BI10" s="199">
        <v>7</v>
      </c>
      <c r="BJ10" s="241">
        <v>56</v>
      </c>
      <c r="BK10" s="376"/>
    </row>
    <row r="11" spans="1:63" ht="26.4" thickBot="1" x14ac:dyDescent="0.55000000000000004">
      <c r="A11" s="1" t="s">
        <v>262</v>
      </c>
      <c r="B11" s="107" t="s">
        <v>86</v>
      </c>
      <c r="C11" s="107" t="s">
        <v>90</v>
      </c>
      <c r="D11">
        <v>3</v>
      </c>
      <c r="AA11" s="182" t="s">
        <v>334</v>
      </c>
      <c r="AB11" s="346"/>
      <c r="AC11" s="183">
        <v>7.12</v>
      </c>
      <c r="AD11" s="183">
        <v>5.2474400000000001</v>
      </c>
      <c r="AE11" s="184">
        <v>2916</v>
      </c>
      <c r="AF11" s="185">
        <v>9</v>
      </c>
      <c r="AG11" s="186">
        <v>2.12</v>
      </c>
      <c r="AH11" s="174">
        <v>2</v>
      </c>
      <c r="AI11" s="357"/>
      <c r="AJ11" s="351"/>
      <c r="AK11" s="187">
        <v>5.87</v>
      </c>
      <c r="AL11" s="187">
        <v>28.67</v>
      </c>
      <c r="AM11" s="186" t="s">
        <v>86</v>
      </c>
      <c r="AN11" s="186" t="s">
        <v>91</v>
      </c>
      <c r="AO11" s="187">
        <v>2.6760000000000002</v>
      </c>
      <c r="AP11" s="185">
        <v>34.1</v>
      </c>
      <c r="AQ11" s="355"/>
      <c r="AU11" s="254"/>
      <c r="AV11" s="254"/>
      <c r="AW11" s="254"/>
      <c r="AX11" s="254"/>
      <c r="AY11" s="248"/>
      <c r="AZ11" s="249"/>
      <c r="BA11" s="250"/>
      <c r="BB11" s="248"/>
      <c r="BC11" s="248"/>
      <c r="BD11" s="248"/>
      <c r="BE11" s="250"/>
      <c r="BF11" s="250"/>
      <c r="BG11" s="250"/>
      <c r="BH11" s="250"/>
      <c r="BI11" s="250"/>
      <c r="BJ11" s="249"/>
      <c r="BK11" s="248"/>
    </row>
    <row r="12" spans="1:63" x14ac:dyDescent="0.3">
      <c r="A12" s="1" t="s">
        <v>140</v>
      </c>
      <c r="B12" s="107" t="s">
        <v>86</v>
      </c>
      <c r="C12" s="107" t="s">
        <v>90</v>
      </c>
      <c r="D12">
        <v>3</v>
      </c>
      <c r="AA12" s="176" t="s">
        <v>335</v>
      </c>
      <c r="AB12" s="346"/>
      <c r="AC12" s="177">
        <v>5.96</v>
      </c>
      <c r="AD12" s="177">
        <v>4.3925200000000002</v>
      </c>
      <c r="AE12" s="178">
        <v>4788</v>
      </c>
      <c r="AF12" s="179">
        <v>12</v>
      </c>
      <c r="AG12" s="180">
        <v>2.3199999999999998</v>
      </c>
      <c r="AH12" s="174">
        <v>3</v>
      </c>
      <c r="AI12" s="349" t="s">
        <v>336</v>
      </c>
      <c r="AJ12" s="351"/>
      <c r="AK12" s="181">
        <v>3.46</v>
      </c>
      <c r="AL12" s="181">
        <v>17.2</v>
      </c>
      <c r="AM12" s="180" t="s">
        <v>86</v>
      </c>
      <c r="AN12" s="180" t="s">
        <v>91</v>
      </c>
      <c r="AO12" s="181">
        <v>1.9379999999999999</v>
      </c>
      <c r="AP12" s="179">
        <v>35</v>
      </c>
      <c r="AQ12" s="355"/>
      <c r="AU12" s="203" t="s">
        <v>352</v>
      </c>
      <c r="AV12" s="386" t="s">
        <v>351</v>
      </c>
      <c r="AW12" s="204">
        <v>2.23</v>
      </c>
      <c r="AX12" s="204">
        <v>1.64351</v>
      </c>
      <c r="AY12" s="205">
        <v>1584</v>
      </c>
      <c r="AZ12" s="206">
        <v>8</v>
      </c>
      <c r="BA12" s="234">
        <v>2.4</v>
      </c>
      <c r="BB12" s="208"/>
      <c r="BC12" s="340" t="s">
        <v>324</v>
      </c>
      <c r="BD12" s="350" t="s">
        <v>444</v>
      </c>
      <c r="BE12" s="210">
        <v>1.76</v>
      </c>
      <c r="BF12" s="210">
        <v>5.69</v>
      </c>
      <c r="BG12" s="210" t="s">
        <v>86</v>
      </c>
      <c r="BH12" s="210" t="s">
        <v>88</v>
      </c>
      <c r="BI12" s="210">
        <v>1.8</v>
      </c>
      <c r="BJ12" s="206">
        <v>15</v>
      </c>
      <c r="BK12" s="353" t="s">
        <v>445</v>
      </c>
    </row>
    <row r="13" spans="1:63" x14ac:dyDescent="0.3">
      <c r="A13" s="1" t="s">
        <v>141</v>
      </c>
      <c r="B13" s="107" t="s">
        <v>86</v>
      </c>
      <c r="C13" s="107" t="s">
        <v>90</v>
      </c>
      <c r="D13">
        <v>3</v>
      </c>
      <c r="AA13" s="176" t="s">
        <v>337</v>
      </c>
      <c r="AB13" s="346"/>
      <c r="AC13" s="177">
        <v>8</v>
      </c>
      <c r="AD13" s="177">
        <v>5.8959999999999999</v>
      </c>
      <c r="AE13" s="178">
        <v>4680</v>
      </c>
      <c r="AF13" s="179">
        <v>11</v>
      </c>
      <c r="AG13" s="180">
        <v>2.2799999999999998</v>
      </c>
      <c r="AH13" s="174">
        <v>3</v>
      </c>
      <c r="AI13" s="349"/>
      <c r="AJ13" s="351"/>
      <c r="AK13" s="181">
        <v>5.19</v>
      </c>
      <c r="AL13" s="181">
        <v>25.8</v>
      </c>
      <c r="AM13" s="180" t="s">
        <v>86</v>
      </c>
      <c r="AN13" s="180" t="s">
        <v>91</v>
      </c>
      <c r="AO13" s="181">
        <v>1.9379999999999999</v>
      </c>
      <c r="AP13" s="179">
        <v>39</v>
      </c>
      <c r="AQ13" s="355"/>
      <c r="AU13" s="182" t="s">
        <v>354</v>
      </c>
      <c r="AV13" s="387"/>
      <c r="AW13" s="183">
        <v>3.17</v>
      </c>
      <c r="AX13" s="183">
        <v>2.33629</v>
      </c>
      <c r="AY13" s="184">
        <v>1512</v>
      </c>
      <c r="AZ13" s="185">
        <v>7</v>
      </c>
      <c r="BA13" s="236">
        <v>2.2999999999999998</v>
      </c>
      <c r="BB13" s="174"/>
      <c r="BC13" s="341"/>
      <c r="BD13" s="351"/>
      <c r="BE13" s="187">
        <v>2.93</v>
      </c>
      <c r="BF13" s="187">
        <v>9.48</v>
      </c>
      <c r="BG13" s="187" t="s">
        <v>86</v>
      </c>
      <c r="BH13" s="187" t="s">
        <v>90</v>
      </c>
      <c r="BI13" s="187">
        <v>2.25</v>
      </c>
      <c r="BJ13" s="185">
        <v>17</v>
      </c>
      <c r="BK13" s="355"/>
    </row>
    <row r="14" spans="1:63" x14ac:dyDescent="0.3">
      <c r="A14" s="1"/>
      <c r="B14" s="1"/>
      <c r="C14" s="1"/>
      <c r="AA14" s="176" t="s">
        <v>338</v>
      </c>
      <c r="AB14" s="346"/>
      <c r="AC14" s="177">
        <v>9.57</v>
      </c>
      <c r="AD14" s="177">
        <v>7.0530900000000001</v>
      </c>
      <c r="AE14" s="178">
        <v>4536</v>
      </c>
      <c r="AF14" s="179">
        <v>10</v>
      </c>
      <c r="AG14" s="180">
        <v>2.21</v>
      </c>
      <c r="AH14" s="174">
        <v>3</v>
      </c>
      <c r="AI14" s="349"/>
      <c r="AJ14" s="351"/>
      <c r="AK14" s="181">
        <v>6.92</v>
      </c>
      <c r="AL14" s="181">
        <v>34.4</v>
      </c>
      <c r="AM14" s="180" t="s">
        <v>86</v>
      </c>
      <c r="AN14" s="180" t="s">
        <v>91</v>
      </c>
      <c r="AO14" s="181">
        <v>3.8759999999999999</v>
      </c>
      <c r="AP14" s="179">
        <v>42.9</v>
      </c>
      <c r="AQ14" s="355"/>
      <c r="AU14" s="176" t="s">
        <v>356</v>
      </c>
      <c r="AV14" s="387"/>
      <c r="AW14" s="177">
        <v>4.5199999999999996</v>
      </c>
      <c r="AX14" s="177">
        <v>3.3312399999999998</v>
      </c>
      <c r="AY14" s="178">
        <v>3168</v>
      </c>
      <c r="AZ14" s="179">
        <v>11</v>
      </c>
      <c r="BA14" s="238">
        <v>2.4</v>
      </c>
      <c r="BB14" s="174"/>
      <c r="BC14" s="367" t="s">
        <v>331</v>
      </c>
      <c r="BD14" s="351"/>
      <c r="BE14" s="181">
        <v>3.35</v>
      </c>
      <c r="BF14" s="181">
        <v>11.38</v>
      </c>
      <c r="BG14" s="181" t="s">
        <v>86</v>
      </c>
      <c r="BH14" s="181" t="s">
        <v>90</v>
      </c>
      <c r="BI14" s="181">
        <v>3</v>
      </c>
      <c r="BJ14" s="179">
        <v>25</v>
      </c>
      <c r="BK14" s="355"/>
    </row>
    <row r="15" spans="1:63" x14ac:dyDescent="0.3">
      <c r="A15" s="1" t="s">
        <v>128</v>
      </c>
      <c r="B15" s="107" t="s">
        <v>86</v>
      </c>
      <c r="C15" s="107" t="s">
        <v>91</v>
      </c>
      <c r="D15">
        <v>4</v>
      </c>
      <c r="AA15" s="176" t="s">
        <v>339</v>
      </c>
      <c r="AB15" s="346"/>
      <c r="AC15" s="177">
        <v>10.68</v>
      </c>
      <c r="AD15" s="177">
        <v>7.8711599999999997</v>
      </c>
      <c r="AE15" s="178">
        <v>4356</v>
      </c>
      <c r="AF15" s="179">
        <v>9</v>
      </c>
      <c r="AG15" s="180">
        <v>2.12</v>
      </c>
      <c r="AH15" s="174">
        <v>3</v>
      </c>
      <c r="AI15" s="349"/>
      <c r="AJ15" s="351"/>
      <c r="AK15" s="181">
        <v>8.65</v>
      </c>
      <c r="AL15" s="181">
        <v>43</v>
      </c>
      <c r="AM15" s="180" t="s">
        <v>86</v>
      </c>
      <c r="AN15" s="180" t="s">
        <v>91</v>
      </c>
      <c r="AO15" s="181">
        <v>3.8759999999999999</v>
      </c>
      <c r="AP15" s="179">
        <v>46.8</v>
      </c>
      <c r="AQ15" s="355"/>
      <c r="AU15" s="176" t="s">
        <v>358</v>
      </c>
      <c r="AV15" s="387"/>
      <c r="AW15" s="177">
        <v>6.34</v>
      </c>
      <c r="AX15" s="177">
        <v>4.67258</v>
      </c>
      <c r="AY15" s="178">
        <v>3024</v>
      </c>
      <c r="AZ15" s="179">
        <v>10</v>
      </c>
      <c r="BA15" s="238">
        <v>2.2999999999999998</v>
      </c>
      <c r="BB15" s="174"/>
      <c r="BC15" s="368"/>
      <c r="BD15" s="351"/>
      <c r="BE15" s="181">
        <v>5.59</v>
      </c>
      <c r="BF15" s="181">
        <v>18.97</v>
      </c>
      <c r="BG15" s="181" t="s">
        <v>86</v>
      </c>
      <c r="BH15" s="181" t="s">
        <v>90</v>
      </c>
      <c r="BI15" s="181">
        <v>3.75</v>
      </c>
      <c r="BJ15" s="179">
        <v>30</v>
      </c>
      <c r="BK15" s="355"/>
    </row>
    <row r="16" spans="1:63" x14ac:dyDescent="0.3">
      <c r="A16" s="1" t="s">
        <v>142</v>
      </c>
      <c r="B16" s="107" t="s">
        <v>86</v>
      </c>
      <c r="C16" s="107" t="s">
        <v>91</v>
      </c>
      <c r="D16">
        <v>4</v>
      </c>
      <c r="AA16" s="188" t="s">
        <v>340</v>
      </c>
      <c r="AB16" s="346"/>
      <c r="AC16" s="189">
        <v>7.99</v>
      </c>
      <c r="AD16" s="189">
        <v>5.88863</v>
      </c>
      <c r="AE16" s="190">
        <v>6372</v>
      </c>
      <c r="AF16" s="191">
        <v>12</v>
      </c>
      <c r="AG16" s="192">
        <v>2.3199999999999998</v>
      </c>
      <c r="AH16" s="174">
        <v>4</v>
      </c>
      <c r="AI16" s="357" t="s">
        <v>341</v>
      </c>
      <c r="AJ16" s="351"/>
      <c r="AK16" s="193">
        <v>4.57</v>
      </c>
      <c r="AL16" s="193">
        <v>22.93</v>
      </c>
      <c r="AM16" s="192" t="s">
        <v>86</v>
      </c>
      <c r="AN16" s="192" t="s">
        <v>91</v>
      </c>
      <c r="AO16" s="193">
        <v>2.6760000000000002</v>
      </c>
      <c r="AP16" s="191">
        <v>43</v>
      </c>
      <c r="AQ16" s="355"/>
      <c r="AU16" s="182" t="s">
        <v>360</v>
      </c>
      <c r="AV16" s="387"/>
      <c r="AW16" s="183">
        <v>6.85</v>
      </c>
      <c r="AX16" s="183">
        <v>5.0484499999999999</v>
      </c>
      <c r="AY16" s="184">
        <v>4752</v>
      </c>
      <c r="AZ16" s="185">
        <v>8</v>
      </c>
      <c r="BA16" s="236">
        <v>2.4</v>
      </c>
      <c r="BB16" s="174"/>
      <c r="BC16" s="369" t="s">
        <v>336</v>
      </c>
      <c r="BD16" s="351"/>
      <c r="BE16" s="187">
        <v>4.95</v>
      </c>
      <c r="BF16" s="187">
        <v>17.07</v>
      </c>
      <c r="BG16" s="187" t="s">
        <v>86</v>
      </c>
      <c r="BH16" s="187" t="s">
        <v>91</v>
      </c>
      <c r="BI16" s="187">
        <v>4.4000000000000004</v>
      </c>
      <c r="BJ16" s="185">
        <v>35</v>
      </c>
      <c r="BK16" s="355"/>
    </row>
    <row r="17" spans="1:63" x14ac:dyDescent="0.3">
      <c r="A17" s="1" t="s">
        <v>143</v>
      </c>
      <c r="B17" s="107" t="s">
        <v>86</v>
      </c>
      <c r="C17" s="107" t="s">
        <v>91</v>
      </c>
      <c r="D17">
        <v>4</v>
      </c>
      <c r="AA17" s="182" t="s">
        <v>342</v>
      </c>
      <c r="AB17" s="346"/>
      <c r="AC17" s="183">
        <v>10.67</v>
      </c>
      <c r="AD17" s="183">
        <v>7.8637899999999998</v>
      </c>
      <c r="AE17" s="184">
        <v>6228</v>
      </c>
      <c r="AF17" s="185">
        <v>11</v>
      </c>
      <c r="AG17" s="186">
        <v>2.2799999999999998</v>
      </c>
      <c r="AH17" s="174">
        <v>4</v>
      </c>
      <c r="AI17" s="357"/>
      <c r="AJ17" s="351"/>
      <c r="AK17" s="187">
        <v>6.85</v>
      </c>
      <c r="AL17" s="187">
        <v>34.4</v>
      </c>
      <c r="AM17" s="186" t="s">
        <v>86</v>
      </c>
      <c r="AN17" s="186" t="s">
        <v>91</v>
      </c>
      <c r="AO17" s="187">
        <v>2.6760000000000002</v>
      </c>
      <c r="AP17" s="185">
        <v>49.3</v>
      </c>
      <c r="AQ17" s="355"/>
      <c r="AU17" s="182" t="s">
        <v>362</v>
      </c>
      <c r="AV17" s="387"/>
      <c r="AW17" s="183">
        <v>9.51</v>
      </c>
      <c r="AX17" s="183">
        <v>7.0088699999999999</v>
      </c>
      <c r="AY17" s="184">
        <v>4536</v>
      </c>
      <c r="AZ17" s="185">
        <v>7</v>
      </c>
      <c r="BA17" s="236">
        <v>2.2999999999999998</v>
      </c>
      <c r="BB17" s="174"/>
      <c r="BC17" s="341"/>
      <c r="BD17" s="351"/>
      <c r="BE17" s="187">
        <v>8.25</v>
      </c>
      <c r="BF17" s="187">
        <v>28.45</v>
      </c>
      <c r="BG17" s="187" t="s">
        <v>86</v>
      </c>
      <c r="BH17" s="187" t="s">
        <v>91</v>
      </c>
      <c r="BI17" s="187">
        <v>5.5</v>
      </c>
      <c r="BJ17" s="185">
        <v>42</v>
      </c>
      <c r="BK17" s="355"/>
    </row>
    <row r="18" spans="1:63" x14ac:dyDescent="0.3">
      <c r="A18" s="1" t="s">
        <v>144</v>
      </c>
      <c r="B18" s="107" t="s">
        <v>86</v>
      </c>
      <c r="C18" s="107" t="s">
        <v>91</v>
      </c>
      <c r="D18">
        <v>4</v>
      </c>
      <c r="AA18" s="182" t="s">
        <v>343</v>
      </c>
      <c r="AB18" s="346"/>
      <c r="AC18" s="183">
        <v>12.77</v>
      </c>
      <c r="AD18" s="183">
        <v>9.4114899999999988</v>
      </c>
      <c r="AE18" s="184">
        <v>6048</v>
      </c>
      <c r="AF18" s="185">
        <v>10</v>
      </c>
      <c r="AG18" s="186">
        <v>2.21</v>
      </c>
      <c r="AH18" s="174">
        <v>4</v>
      </c>
      <c r="AI18" s="357"/>
      <c r="AJ18" s="351"/>
      <c r="AK18" s="187">
        <v>9.1300000000000008</v>
      </c>
      <c r="AL18" s="187">
        <v>45.87</v>
      </c>
      <c r="AM18" s="186" t="s">
        <v>88</v>
      </c>
      <c r="AN18" s="186" t="s">
        <v>91</v>
      </c>
      <c r="AO18" s="187">
        <v>5.3520000000000003</v>
      </c>
      <c r="AP18" s="185">
        <v>54.5</v>
      </c>
      <c r="AQ18" s="355"/>
      <c r="AU18" s="176" t="s">
        <v>364</v>
      </c>
      <c r="AV18" s="387"/>
      <c r="AW18" s="177">
        <v>9.08</v>
      </c>
      <c r="AX18" s="177">
        <v>6.6919599999999999</v>
      </c>
      <c r="AY18" s="178">
        <v>6336</v>
      </c>
      <c r="AZ18" s="179">
        <v>11</v>
      </c>
      <c r="BA18" s="238">
        <v>2.4</v>
      </c>
      <c r="BB18" s="174"/>
      <c r="BC18" s="367" t="s">
        <v>341</v>
      </c>
      <c r="BD18" s="351"/>
      <c r="BE18" s="181">
        <v>6.54</v>
      </c>
      <c r="BF18" s="181">
        <v>22.76</v>
      </c>
      <c r="BG18" s="181" t="s">
        <v>86</v>
      </c>
      <c r="BH18" s="181" t="s">
        <v>91</v>
      </c>
      <c r="BI18" s="181">
        <v>5.6</v>
      </c>
      <c r="BJ18" s="179">
        <v>45</v>
      </c>
      <c r="BK18" s="355"/>
    </row>
    <row r="19" spans="1:63" ht="15" thickBot="1" x14ac:dyDescent="0.35">
      <c r="A19" s="1" t="s">
        <v>145</v>
      </c>
      <c r="B19" s="107" t="s">
        <v>86</v>
      </c>
      <c r="C19" s="107" t="s">
        <v>91</v>
      </c>
      <c r="D19">
        <v>4</v>
      </c>
      <c r="AA19" s="182" t="s">
        <v>344</v>
      </c>
      <c r="AB19" s="346"/>
      <c r="AC19" s="183">
        <v>14.23</v>
      </c>
      <c r="AD19" s="183">
        <v>10.48751</v>
      </c>
      <c r="AE19" s="184">
        <v>5832</v>
      </c>
      <c r="AF19" s="185">
        <v>9</v>
      </c>
      <c r="AG19" s="186">
        <v>2.12</v>
      </c>
      <c r="AH19" s="174">
        <v>4</v>
      </c>
      <c r="AI19" s="357"/>
      <c r="AJ19" s="351"/>
      <c r="AK19" s="187">
        <v>11.42</v>
      </c>
      <c r="AL19" s="187">
        <v>57.34</v>
      </c>
      <c r="AM19" s="186" t="s">
        <v>88</v>
      </c>
      <c r="AN19" s="186" t="s">
        <v>92</v>
      </c>
      <c r="AO19" s="187">
        <v>5.3520000000000003</v>
      </c>
      <c r="AP19" s="185">
        <v>59.7</v>
      </c>
      <c r="AQ19" s="355"/>
      <c r="AU19" s="194" t="s">
        <v>366</v>
      </c>
      <c r="AV19" s="388"/>
      <c r="AW19" s="195">
        <v>12.77</v>
      </c>
      <c r="AX19" s="195">
        <v>9.4114899999999988</v>
      </c>
      <c r="AY19" s="196">
        <v>6048</v>
      </c>
      <c r="AZ19" s="197">
        <v>10</v>
      </c>
      <c r="BA19" s="240">
        <v>2.2999999999999998</v>
      </c>
      <c r="BB19" s="174"/>
      <c r="BC19" s="370"/>
      <c r="BD19" s="352"/>
      <c r="BE19" s="199">
        <v>10.91</v>
      </c>
      <c r="BF19" s="199">
        <v>37.94</v>
      </c>
      <c r="BG19" s="199" t="s">
        <v>88</v>
      </c>
      <c r="BH19" s="199" t="s">
        <v>91</v>
      </c>
      <c r="BI19" s="199">
        <v>7</v>
      </c>
      <c r="BJ19" s="197">
        <v>54</v>
      </c>
      <c r="BK19" s="356"/>
    </row>
    <row r="20" spans="1:63" x14ac:dyDescent="0.3">
      <c r="A20" s="1" t="s">
        <v>146</v>
      </c>
      <c r="B20" s="107" t="s">
        <v>86</v>
      </c>
      <c r="C20" s="107" t="s">
        <v>91</v>
      </c>
      <c r="D20">
        <v>4</v>
      </c>
      <c r="AA20" s="176" t="s">
        <v>345</v>
      </c>
      <c r="AB20" s="346"/>
      <c r="AC20" s="177">
        <v>9.98</v>
      </c>
      <c r="AD20" s="177">
        <v>7.3552600000000004</v>
      </c>
      <c r="AE20" s="178">
        <v>7956</v>
      </c>
      <c r="AF20" s="179">
        <v>12</v>
      </c>
      <c r="AG20" s="180">
        <v>2.3199999999999998</v>
      </c>
      <c r="AH20" s="174">
        <v>5</v>
      </c>
      <c r="AI20" s="349" t="s">
        <v>346</v>
      </c>
      <c r="AJ20" s="351"/>
      <c r="AK20" s="181">
        <v>5.68</v>
      </c>
      <c r="AL20" s="181">
        <v>28.67</v>
      </c>
      <c r="AM20" s="180" t="s">
        <v>86</v>
      </c>
      <c r="AN20" s="180" t="s">
        <v>91</v>
      </c>
      <c r="AO20" s="181">
        <v>3.2759999999999998</v>
      </c>
      <c r="AP20" s="179">
        <v>54</v>
      </c>
      <c r="AQ20" s="355"/>
    </row>
    <row r="21" spans="1:63" x14ac:dyDescent="0.3">
      <c r="A21" s="1"/>
      <c r="B21" s="1"/>
      <c r="C21" s="1"/>
      <c r="AA21" s="176" t="s">
        <v>347</v>
      </c>
      <c r="AB21" s="346"/>
      <c r="AC21" s="177">
        <v>13.46</v>
      </c>
      <c r="AD21" s="177">
        <v>9.9200200000000009</v>
      </c>
      <c r="AE21" s="178">
        <v>7812</v>
      </c>
      <c r="AF21" s="179">
        <v>11</v>
      </c>
      <c r="AG21" s="180">
        <v>2.2799999999999998</v>
      </c>
      <c r="AH21" s="174">
        <v>5</v>
      </c>
      <c r="AI21" s="349"/>
      <c r="AJ21" s="351"/>
      <c r="AK21" s="181">
        <v>8.51</v>
      </c>
      <c r="AL21" s="181">
        <v>43</v>
      </c>
      <c r="AM21" s="180" t="s">
        <v>88</v>
      </c>
      <c r="AN21" s="180" t="s">
        <v>92</v>
      </c>
      <c r="AO21" s="181">
        <v>3.2759999999999998</v>
      </c>
      <c r="AP21" s="179">
        <v>59.6</v>
      </c>
      <c r="AQ21" s="355"/>
    </row>
    <row r="22" spans="1:63" x14ac:dyDescent="0.3">
      <c r="A22" s="1" t="s">
        <v>119</v>
      </c>
      <c r="B22" s="107" t="s">
        <v>86</v>
      </c>
      <c r="C22" s="107" t="s">
        <v>91</v>
      </c>
      <c r="D22">
        <v>5</v>
      </c>
      <c r="AA22" s="176" t="s">
        <v>348</v>
      </c>
      <c r="AB22" s="346"/>
      <c r="AC22" s="177">
        <v>16.010000000000002</v>
      </c>
      <c r="AD22" s="177">
        <v>11.799370000000001</v>
      </c>
      <c r="AE22" s="178">
        <v>7560</v>
      </c>
      <c r="AF22" s="179">
        <v>10</v>
      </c>
      <c r="AG22" s="180">
        <v>2.21</v>
      </c>
      <c r="AH22" s="174">
        <v>5</v>
      </c>
      <c r="AI22" s="349"/>
      <c r="AJ22" s="351"/>
      <c r="AK22" s="181">
        <v>11.35</v>
      </c>
      <c r="AL22" s="181">
        <v>57.34</v>
      </c>
      <c r="AM22" s="180" t="s">
        <v>88</v>
      </c>
      <c r="AN22" s="180" t="s">
        <v>92</v>
      </c>
      <c r="AO22" s="181">
        <v>6.5519999999999996</v>
      </c>
      <c r="AP22" s="179">
        <v>66.099999999999994</v>
      </c>
      <c r="AQ22" s="355"/>
    </row>
    <row r="23" spans="1:63" ht="15" thickBot="1" x14ac:dyDescent="0.35">
      <c r="A23" s="1" t="s">
        <v>147</v>
      </c>
      <c r="B23" s="107" t="s">
        <v>88</v>
      </c>
      <c r="C23" s="107" t="s">
        <v>91</v>
      </c>
      <c r="D23">
        <v>5</v>
      </c>
      <c r="AA23" s="194" t="s">
        <v>349</v>
      </c>
      <c r="AB23" s="347"/>
      <c r="AC23" s="195">
        <v>17.84</v>
      </c>
      <c r="AD23" s="195">
        <v>13.14808</v>
      </c>
      <c r="AE23" s="196">
        <v>7272</v>
      </c>
      <c r="AF23" s="197">
        <v>9</v>
      </c>
      <c r="AG23" s="198">
        <v>2.21</v>
      </c>
      <c r="AH23" s="174">
        <v>5</v>
      </c>
      <c r="AI23" s="358"/>
      <c r="AJ23" s="352"/>
      <c r="AK23" s="199">
        <v>14.19</v>
      </c>
      <c r="AL23" s="199">
        <v>71.67</v>
      </c>
      <c r="AM23" s="198" t="s">
        <v>88</v>
      </c>
      <c r="AN23" s="198" t="s">
        <v>92</v>
      </c>
      <c r="AO23" s="199">
        <v>6.5519999999999996</v>
      </c>
      <c r="AP23" s="197">
        <v>72.599999999999994</v>
      </c>
      <c r="AQ23" s="356"/>
    </row>
    <row r="24" spans="1:63" ht="15" thickBot="1" x14ac:dyDescent="0.35">
      <c r="A24" s="1" t="s">
        <v>148</v>
      </c>
      <c r="B24" s="107" t="s">
        <v>88</v>
      </c>
      <c r="C24" s="107" t="s">
        <v>91</v>
      </c>
      <c r="D24">
        <v>5</v>
      </c>
      <c r="AA24" s="200"/>
      <c r="AB24" s="174"/>
      <c r="AC24" s="174"/>
      <c r="AD24" s="174"/>
      <c r="AE24" s="174"/>
      <c r="AF24" s="201"/>
      <c r="AG24" s="202"/>
      <c r="AH24" s="174"/>
      <c r="AI24" s="174"/>
      <c r="AJ24" s="174"/>
      <c r="AK24" s="202"/>
      <c r="AL24" s="202"/>
      <c r="AM24" s="202"/>
      <c r="AN24" s="202"/>
      <c r="AO24" s="202"/>
      <c r="AP24" s="201"/>
      <c r="AQ24" s="174"/>
    </row>
    <row r="25" spans="1:63" x14ac:dyDescent="0.3">
      <c r="A25" s="1" t="s">
        <v>149</v>
      </c>
      <c r="B25" s="107" t="s">
        <v>86</v>
      </c>
      <c r="C25" s="107" t="s">
        <v>91</v>
      </c>
      <c r="D25">
        <v>5</v>
      </c>
      <c r="AA25" s="203" t="s">
        <v>350</v>
      </c>
      <c r="AB25" s="359" t="s">
        <v>351</v>
      </c>
      <c r="AC25" s="204">
        <v>1.62</v>
      </c>
      <c r="AD25" s="204">
        <v>1.19394</v>
      </c>
      <c r="AE25" s="205">
        <v>1620</v>
      </c>
      <c r="AF25" s="206">
        <v>12</v>
      </c>
      <c r="AG25" s="207">
        <v>2.35</v>
      </c>
      <c r="AH25" s="174">
        <v>1</v>
      </c>
      <c r="AI25" s="362" t="s">
        <v>324</v>
      </c>
      <c r="AJ25" s="350" t="s">
        <v>325</v>
      </c>
      <c r="AK25" s="209">
        <v>1.24</v>
      </c>
      <c r="AL25" s="209">
        <v>3.95</v>
      </c>
      <c r="AM25" s="207" t="s">
        <v>86</v>
      </c>
      <c r="AN25" s="207" t="s">
        <v>88</v>
      </c>
      <c r="AO25" s="210">
        <v>0.73799999999999999</v>
      </c>
      <c r="AP25" s="206">
        <v>17</v>
      </c>
      <c r="AQ25" s="353" t="s">
        <v>326</v>
      </c>
    </row>
    <row r="26" spans="1:63" x14ac:dyDescent="0.3">
      <c r="A26" s="1" t="s">
        <v>150</v>
      </c>
      <c r="B26" s="107" t="s">
        <v>88</v>
      </c>
      <c r="C26" s="107" t="s">
        <v>91</v>
      </c>
      <c r="D26">
        <v>5</v>
      </c>
      <c r="AA26" s="182" t="s">
        <v>352</v>
      </c>
      <c r="AB26" s="360"/>
      <c r="AC26" s="183">
        <v>2.29</v>
      </c>
      <c r="AD26" s="183">
        <v>1.68773</v>
      </c>
      <c r="AE26" s="184">
        <v>1584</v>
      </c>
      <c r="AF26" s="185">
        <v>11</v>
      </c>
      <c r="AG26" s="186">
        <v>2.31</v>
      </c>
      <c r="AH26" s="174">
        <v>1</v>
      </c>
      <c r="AI26" s="357"/>
      <c r="AJ26" s="351"/>
      <c r="AK26" s="187">
        <v>1.86</v>
      </c>
      <c r="AL26" s="187">
        <v>5.93</v>
      </c>
      <c r="AM26" s="186" t="s">
        <v>86</v>
      </c>
      <c r="AN26" s="186" t="s">
        <v>88</v>
      </c>
      <c r="AO26" s="187">
        <v>0.73799999999999999</v>
      </c>
      <c r="AP26" s="185">
        <v>17.8</v>
      </c>
      <c r="AQ26" s="354"/>
    </row>
    <row r="27" spans="1:63" x14ac:dyDescent="0.3">
      <c r="A27" s="1" t="s">
        <v>151</v>
      </c>
      <c r="B27" s="107" t="s">
        <v>88</v>
      </c>
      <c r="C27" s="107" t="s">
        <v>91</v>
      </c>
      <c r="D27">
        <v>5</v>
      </c>
      <c r="AA27" s="182" t="s">
        <v>353</v>
      </c>
      <c r="AB27" s="360"/>
      <c r="AC27" s="183">
        <v>2.8</v>
      </c>
      <c r="AD27" s="183">
        <v>2.0635999999999997</v>
      </c>
      <c r="AE27" s="184">
        <v>1548</v>
      </c>
      <c r="AF27" s="185">
        <v>10</v>
      </c>
      <c r="AG27" s="186">
        <v>2.2799999999999998</v>
      </c>
      <c r="AH27" s="174">
        <v>1</v>
      </c>
      <c r="AI27" s="357"/>
      <c r="AJ27" s="351"/>
      <c r="AK27" s="187">
        <v>2.48</v>
      </c>
      <c r="AL27" s="187">
        <v>7.9</v>
      </c>
      <c r="AM27" s="186" t="s">
        <v>86</v>
      </c>
      <c r="AN27" s="186" t="s">
        <v>88</v>
      </c>
      <c r="AO27" s="187">
        <v>0.73799999999999999</v>
      </c>
      <c r="AP27" s="185">
        <v>18.899999999999999</v>
      </c>
      <c r="AQ27" s="355"/>
    </row>
    <row r="28" spans="1:63" x14ac:dyDescent="0.3">
      <c r="A28" s="1"/>
      <c r="B28" s="1"/>
      <c r="C28" s="1"/>
      <c r="AA28" s="182" t="s">
        <v>354</v>
      </c>
      <c r="AB28" s="360"/>
      <c r="AC28" s="183">
        <v>3.2</v>
      </c>
      <c r="AD28" s="183">
        <v>2.3584000000000001</v>
      </c>
      <c r="AE28" s="184">
        <v>1512</v>
      </c>
      <c r="AF28" s="185">
        <v>9</v>
      </c>
      <c r="AG28" s="186">
        <v>2.23</v>
      </c>
      <c r="AH28" s="174">
        <v>1</v>
      </c>
      <c r="AI28" s="357"/>
      <c r="AJ28" s="351"/>
      <c r="AK28" s="187">
        <v>3.1</v>
      </c>
      <c r="AL28" s="187">
        <v>9.8800000000000008</v>
      </c>
      <c r="AM28" s="186" t="s">
        <v>86</v>
      </c>
      <c r="AN28" s="186" t="s">
        <v>90</v>
      </c>
      <c r="AO28" s="187">
        <v>0.73799999999999999</v>
      </c>
      <c r="AP28" s="185">
        <v>20</v>
      </c>
      <c r="AQ28" s="355"/>
    </row>
    <row r="29" spans="1:63" x14ac:dyDescent="0.3">
      <c r="A29" s="1" t="s">
        <v>152</v>
      </c>
      <c r="B29" s="107" t="s">
        <v>88</v>
      </c>
      <c r="C29" s="107" t="s">
        <v>91</v>
      </c>
      <c r="D29">
        <v>6</v>
      </c>
      <c r="AA29" s="176" t="s">
        <v>355</v>
      </c>
      <c r="AB29" s="360"/>
      <c r="AC29" s="177">
        <v>3.33</v>
      </c>
      <c r="AD29" s="177">
        <v>2.4542100000000002</v>
      </c>
      <c r="AE29" s="178">
        <v>3240</v>
      </c>
      <c r="AF29" s="179">
        <v>12</v>
      </c>
      <c r="AG29" s="180">
        <v>2.35</v>
      </c>
      <c r="AH29" s="174">
        <v>2</v>
      </c>
      <c r="AI29" s="349" t="s">
        <v>331</v>
      </c>
      <c r="AJ29" s="351"/>
      <c r="AK29" s="181">
        <v>2.35</v>
      </c>
      <c r="AL29" s="181">
        <v>7.9</v>
      </c>
      <c r="AM29" s="180" t="s">
        <v>86</v>
      </c>
      <c r="AN29" s="180" t="s">
        <v>90</v>
      </c>
      <c r="AO29" s="181">
        <v>1.3380000000000001</v>
      </c>
      <c r="AP29" s="179">
        <v>26</v>
      </c>
      <c r="AQ29" s="355"/>
    </row>
    <row r="30" spans="1:63" x14ac:dyDescent="0.3">
      <c r="A30" s="1" t="s">
        <v>127</v>
      </c>
      <c r="B30" s="107" t="s">
        <v>88</v>
      </c>
      <c r="C30" s="107" t="s">
        <v>91</v>
      </c>
      <c r="D30">
        <v>6</v>
      </c>
      <c r="AA30" s="176" t="s">
        <v>356</v>
      </c>
      <c r="AB30" s="360"/>
      <c r="AC30" s="177">
        <v>4.63</v>
      </c>
      <c r="AD30" s="177">
        <v>3.4123099999999997</v>
      </c>
      <c r="AE30" s="178">
        <v>3168</v>
      </c>
      <c r="AF30" s="179">
        <v>11</v>
      </c>
      <c r="AG30" s="180">
        <v>2.31</v>
      </c>
      <c r="AH30" s="174">
        <v>2</v>
      </c>
      <c r="AI30" s="349"/>
      <c r="AJ30" s="351"/>
      <c r="AK30" s="181">
        <v>3.52</v>
      </c>
      <c r="AL30" s="181">
        <v>11.86</v>
      </c>
      <c r="AM30" s="180" t="s">
        <v>86</v>
      </c>
      <c r="AN30" s="180" t="s">
        <v>90</v>
      </c>
      <c r="AO30" s="181">
        <v>1.3380000000000001</v>
      </c>
      <c r="AP30" s="179">
        <v>27.7</v>
      </c>
      <c r="AQ30" s="355"/>
    </row>
    <row r="31" spans="1:63" ht="15" customHeight="1" x14ac:dyDescent="0.3">
      <c r="A31" s="1" t="s">
        <v>153</v>
      </c>
      <c r="B31" s="107" t="s">
        <v>88</v>
      </c>
      <c r="C31" s="107" t="s">
        <v>92</v>
      </c>
      <c r="D31">
        <v>6</v>
      </c>
      <c r="AA31" s="176" t="s">
        <v>357</v>
      </c>
      <c r="AB31" s="360"/>
      <c r="AC31" s="177">
        <v>5.66</v>
      </c>
      <c r="AD31" s="177">
        <v>4.1714200000000003</v>
      </c>
      <c r="AE31" s="178">
        <v>3132</v>
      </c>
      <c r="AF31" s="179">
        <v>10</v>
      </c>
      <c r="AG31" s="180">
        <v>2.2799999999999998</v>
      </c>
      <c r="AH31" s="174">
        <v>2</v>
      </c>
      <c r="AI31" s="349"/>
      <c r="AJ31" s="351"/>
      <c r="AK31" s="181">
        <v>4.7</v>
      </c>
      <c r="AL31" s="181">
        <v>15.81</v>
      </c>
      <c r="AM31" s="180" t="s">
        <v>86</v>
      </c>
      <c r="AN31" s="180" t="s">
        <v>90</v>
      </c>
      <c r="AO31" s="181">
        <v>1.3380000000000001</v>
      </c>
      <c r="AP31" s="179">
        <v>29.9</v>
      </c>
      <c r="AQ31" s="355"/>
    </row>
    <row r="32" spans="1:63" x14ac:dyDescent="0.3">
      <c r="A32" s="1" t="s">
        <v>154</v>
      </c>
      <c r="B32" s="107" t="s">
        <v>88</v>
      </c>
      <c r="C32" s="107" t="s">
        <v>91</v>
      </c>
      <c r="D32">
        <v>6</v>
      </c>
      <c r="AA32" s="176" t="s">
        <v>358</v>
      </c>
      <c r="AB32" s="360"/>
      <c r="AC32" s="177">
        <v>6.48</v>
      </c>
      <c r="AD32" s="177">
        <v>4.77576</v>
      </c>
      <c r="AE32" s="178">
        <v>3060</v>
      </c>
      <c r="AF32" s="179">
        <v>9</v>
      </c>
      <c r="AG32" s="180">
        <v>2.23</v>
      </c>
      <c r="AH32" s="174">
        <v>2</v>
      </c>
      <c r="AI32" s="349"/>
      <c r="AJ32" s="351"/>
      <c r="AK32" s="181">
        <v>5.87</v>
      </c>
      <c r="AL32" s="181">
        <v>19.760000000000002</v>
      </c>
      <c r="AM32" s="180" t="s">
        <v>86</v>
      </c>
      <c r="AN32" s="180" t="s">
        <v>91</v>
      </c>
      <c r="AO32" s="181">
        <v>2.6760000000000002</v>
      </c>
      <c r="AP32" s="179">
        <v>32.1</v>
      </c>
      <c r="AQ32" s="355"/>
    </row>
    <row r="33" spans="1:43" x14ac:dyDescent="0.3">
      <c r="A33" s="1" t="s">
        <v>155</v>
      </c>
      <c r="B33" s="107" t="s">
        <v>88</v>
      </c>
      <c r="C33" s="107" t="s">
        <v>91</v>
      </c>
      <c r="D33">
        <v>6</v>
      </c>
      <c r="AA33" s="188" t="s">
        <v>359</v>
      </c>
      <c r="AB33" s="360"/>
      <c r="AC33" s="189">
        <v>5.07</v>
      </c>
      <c r="AD33" s="189">
        <v>3.7365900000000001</v>
      </c>
      <c r="AE33" s="190">
        <v>4860</v>
      </c>
      <c r="AF33" s="191">
        <v>12</v>
      </c>
      <c r="AG33" s="192">
        <v>2.35</v>
      </c>
      <c r="AH33" s="174">
        <v>3</v>
      </c>
      <c r="AI33" s="357" t="s">
        <v>336</v>
      </c>
      <c r="AJ33" s="351"/>
      <c r="AK33" s="193">
        <v>3.46</v>
      </c>
      <c r="AL33" s="193">
        <v>11.86</v>
      </c>
      <c r="AM33" s="192" t="s">
        <v>86</v>
      </c>
      <c r="AN33" s="192" t="s">
        <v>90</v>
      </c>
      <c r="AO33" s="193">
        <v>1.9379999999999999</v>
      </c>
      <c r="AP33" s="191">
        <v>33</v>
      </c>
      <c r="AQ33" s="355"/>
    </row>
    <row r="34" spans="1:43" ht="15" customHeight="1" x14ac:dyDescent="0.3">
      <c r="A34" s="1" t="s">
        <v>156</v>
      </c>
      <c r="B34" s="107" t="s">
        <v>88</v>
      </c>
      <c r="C34" s="107" t="s">
        <v>92</v>
      </c>
      <c r="D34">
        <v>6</v>
      </c>
      <c r="AA34" s="182" t="s">
        <v>360</v>
      </c>
      <c r="AB34" s="360"/>
      <c r="AC34" s="183">
        <v>6.95</v>
      </c>
      <c r="AD34" s="183">
        <v>5.1958500000000001</v>
      </c>
      <c r="AE34" s="184">
        <v>4752</v>
      </c>
      <c r="AF34" s="185">
        <v>11</v>
      </c>
      <c r="AG34" s="186">
        <v>2.31</v>
      </c>
      <c r="AH34" s="174">
        <v>3</v>
      </c>
      <c r="AI34" s="357"/>
      <c r="AJ34" s="351"/>
      <c r="AK34" s="187">
        <v>5.19</v>
      </c>
      <c r="AL34" s="187">
        <v>17.78</v>
      </c>
      <c r="AM34" s="186" t="s">
        <v>86</v>
      </c>
      <c r="AN34" s="186" t="s">
        <v>91</v>
      </c>
      <c r="AO34" s="187">
        <v>1.9379999999999999</v>
      </c>
      <c r="AP34" s="185">
        <v>37.200000000000003</v>
      </c>
      <c r="AQ34" s="355"/>
    </row>
    <row r="35" spans="1:43" x14ac:dyDescent="0.3">
      <c r="A35" s="1"/>
      <c r="B35" s="1"/>
      <c r="C35" s="1"/>
      <c r="AA35" s="182" t="s">
        <v>361</v>
      </c>
      <c r="AB35" s="360"/>
      <c r="AC35" s="183">
        <v>8.49</v>
      </c>
      <c r="AD35" s="183">
        <v>6.2571300000000001</v>
      </c>
      <c r="AE35" s="184">
        <v>4680</v>
      </c>
      <c r="AF35" s="185">
        <v>10</v>
      </c>
      <c r="AG35" s="186">
        <v>2.2799999999999998</v>
      </c>
      <c r="AH35" s="174">
        <v>3</v>
      </c>
      <c r="AI35" s="357"/>
      <c r="AJ35" s="351"/>
      <c r="AK35" s="187">
        <v>6.92</v>
      </c>
      <c r="AL35" s="187">
        <v>23.71</v>
      </c>
      <c r="AM35" s="186" t="s">
        <v>86</v>
      </c>
      <c r="AN35" s="186" t="s">
        <v>91</v>
      </c>
      <c r="AO35" s="187">
        <v>1.9379999999999999</v>
      </c>
      <c r="AP35" s="185">
        <v>40.5</v>
      </c>
      <c r="AQ35" s="355"/>
    </row>
    <row r="36" spans="1:43" x14ac:dyDescent="0.3">
      <c r="A36" s="1"/>
      <c r="B36" s="1"/>
      <c r="C36" s="1"/>
      <c r="AA36" s="182" t="s">
        <v>362</v>
      </c>
      <c r="AB36" s="360"/>
      <c r="AC36" s="183">
        <v>9.73</v>
      </c>
      <c r="AD36" s="183">
        <v>7.1710099999999999</v>
      </c>
      <c r="AE36" s="184">
        <v>4572</v>
      </c>
      <c r="AF36" s="185">
        <v>9</v>
      </c>
      <c r="AG36" s="186">
        <v>2.23</v>
      </c>
      <c r="AH36" s="174">
        <v>3</v>
      </c>
      <c r="AI36" s="357"/>
      <c r="AJ36" s="351"/>
      <c r="AK36" s="187">
        <v>8.65</v>
      </c>
      <c r="AL36" s="187">
        <v>29.64</v>
      </c>
      <c r="AM36" s="186" t="s">
        <v>86</v>
      </c>
      <c r="AN36" s="186" t="s">
        <v>91</v>
      </c>
      <c r="AO36" s="187">
        <v>3.8759999999999999</v>
      </c>
      <c r="AP36" s="185">
        <v>43.8</v>
      </c>
      <c r="AQ36" s="355"/>
    </row>
    <row r="37" spans="1:43" x14ac:dyDescent="0.3">
      <c r="A37" s="1" t="s">
        <v>157</v>
      </c>
      <c r="B37" s="107" t="s">
        <v>86</v>
      </c>
      <c r="C37" s="107" t="s">
        <v>90</v>
      </c>
      <c r="D37">
        <v>2</v>
      </c>
      <c r="AA37" s="176" t="s">
        <v>363</v>
      </c>
      <c r="AB37" s="360"/>
      <c r="AC37" s="177">
        <v>6.76</v>
      </c>
      <c r="AD37" s="177">
        <v>4.9821200000000001</v>
      </c>
      <c r="AE37" s="178">
        <v>6444</v>
      </c>
      <c r="AF37" s="179">
        <v>12</v>
      </c>
      <c r="AG37" s="180">
        <v>2.35</v>
      </c>
      <c r="AH37" s="174">
        <v>4</v>
      </c>
      <c r="AI37" s="349" t="s">
        <v>341</v>
      </c>
      <c r="AJ37" s="351"/>
      <c r="AK37" s="181">
        <v>4.57</v>
      </c>
      <c r="AL37" s="181">
        <v>15.81</v>
      </c>
      <c r="AM37" s="180" t="s">
        <v>86</v>
      </c>
      <c r="AN37" s="180" t="s">
        <v>91</v>
      </c>
      <c r="AO37" s="181">
        <v>2.6760000000000002</v>
      </c>
      <c r="AP37" s="179">
        <v>42</v>
      </c>
      <c r="AQ37" s="355"/>
    </row>
    <row r="38" spans="1:43" x14ac:dyDescent="0.3">
      <c r="A38" s="1" t="s">
        <v>158</v>
      </c>
      <c r="B38" s="107" t="s">
        <v>86</v>
      </c>
      <c r="C38" s="107" t="s">
        <v>90</v>
      </c>
      <c r="D38">
        <v>2</v>
      </c>
      <c r="AA38" s="176" t="s">
        <v>364</v>
      </c>
      <c r="AB38" s="360"/>
      <c r="AC38" s="177">
        <v>9.27</v>
      </c>
      <c r="AD38" s="177">
        <v>6.8319899999999993</v>
      </c>
      <c r="AE38" s="178">
        <v>6336</v>
      </c>
      <c r="AF38" s="179">
        <v>11</v>
      </c>
      <c r="AG38" s="180">
        <v>2.31</v>
      </c>
      <c r="AH38" s="174">
        <v>4</v>
      </c>
      <c r="AI38" s="349"/>
      <c r="AJ38" s="351"/>
      <c r="AK38" s="181">
        <v>6.85</v>
      </c>
      <c r="AL38" s="181">
        <v>23.71</v>
      </c>
      <c r="AM38" s="180" t="s">
        <v>86</v>
      </c>
      <c r="AN38" s="180" t="s">
        <v>91</v>
      </c>
      <c r="AO38" s="181">
        <v>2.6760000000000002</v>
      </c>
      <c r="AP38" s="179">
        <v>46.9</v>
      </c>
      <c r="AQ38" s="355"/>
    </row>
    <row r="39" spans="1:43" x14ac:dyDescent="0.3">
      <c r="A39" s="1" t="s">
        <v>159</v>
      </c>
      <c r="B39" s="107" t="s">
        <v>86</v>
      </c>
      <c r="C39" s="107" t="s">
        <v>90</v>
      </c>
      <c r="D39">
        <v>2</v>
      </c>
      <c r="AA39" s="176" t="s">
        <v>365</v>
      </c>
      <c r="AB39" s="360"/>
      <c r="AC39" s="177">
        <v>11.41</v>
      </c>
      <c r="AD39" s="177">
        <v>8.4091699999999996</v>
      </c>
      <c r="AE39" s="178">
        <v>6228</v>
      </c>
      <c r="AF39" s="179">
        <v>10</v>
      </c>
      <c r="AG39" s="180">
        <v>2.2799999999999998</v>
      </c>
      <c r="AH39" s="174">
        <v>4</v>
      </c>
      <c r="AI39" s="349"/>
      <c r="AJ39" s="351"/>
      <c r="AK39" s="181">
        <v>9.1300000000000008</v>
      </c>
      <c r="AL39" s="181">
        <v>31.62</v>
      </c>
      <c r="AM39" s="180" t="s">
        <v>86</v>
      </c>
      <c r="AN39" s="180" t="s">
        <v>91</v>
      </c>
      <c r="AO39" s="181">
        <v>2.6760000000000002</v>
      </c>
      <c r="AP39" s="179">
        <v>51.3</v>
      </c>
      <c r="AQ39" s="355"/>
    </row>
    <row r="40" spans="1:43" x14ac:dyDescent="0.3">
      <c r="A40" s="1" t="s">
        <v>160</v>
      </c>
      <c r="B40" s="107" t="s">
        <v>86</v>
      </c>
      <c r="C40" s="107" t="s">
        <v>90</v>
      </c>
      <c r="D40">
        <v>2</v>
      </c>
      <c r="AA40" s="176" t="s">
        <v>366</v>
      </c>
      <c r="AB40" s="360"/>
      <c r="AC40" s="177">
        <v>12.97</v>
      </c>
      <c r="AD40" s="177">
        <v>9.5588899999999999</v>
      </c>
      <c r="AE40" s="178">
        <v>6120</v>
      </c>
      <c r="AF40" s="179">
        <v>9</v>
      </c>
      <c r="AG40" s="180">
        <v>2.23</v>
      </c>
      <c r="AH40" s="174">
        <v>4</v>
      </c>
      <c r="AI40" s="349"/>
      <c r="AJ40" s="351"/>
      <c r="AK40" s="181">
        <v>11.42</v>
      </c>
      <c r="AL40" s="181">
        <v>39.520000000000003</v>
      </c>
      <c r="AM40" s="180" t="s">
        <v>88</v>
      </c>
      <c r="AN40" s="180" t="s">
        <v>91</v>
      </c>
      <c r="AO40" s="181">
        <v>5.3520000000000003</v>
      </c>
      <c r="AP40" s="179">
        <v>55.7</v>
      </c>
      <c r="AQ40" s="355"/>
    </row>
    <row r="41" spans="1:43" x14ac:dyDescent="0.3">
      <c r="A41" s="1"/>
      <c r="B41" s="1"/>
      <c r="C41" s="1"/>
      <c r="AA41" s="188" t="s">
        <v>367</v>
      </c>
      <c r="AB41" s="360"/>
      <c r="AC41" s="189">
        <v>8.4499999999999993</v>
      </c>
      <c r="AD41" s="189">
        <v>6.2276499999999997</v>
      </c>
      <c r="AE41" s="190">
        <v>8064.0000000000009</v>
      </c>
      <c r="AF41" s="191">
        <v>12</v>
      </c>
      <c r="AG41" s="192">
        <v>2.35</v>
      </c>
      <c r="AH41" s="174">
        <v>5</v>
      </c>
      <c r="AI41" s="357" t="s">
        <v>346</v>
      </c>
      <c r="AJ41" s="351"/>
      <c r="AK41" s="193">
        <v>5.68</v>
      </c>
      <c r="AL41" s="193">
        <v>19.760000000000002</v>
      </c>
      <c r="AM41" s="192" t="s">
        <v>86</v>
      </c>
      <c r="AN41" s="192" t="s">
        <v>91</v>
      </c>
      <c r="AO41" s="193">
        <v>3.2759999999999998</v>
      </c>
      <c r="AP41" s="191">
        <v>51</v>
      </c>
      <c r="AQ41" s="355"/>
    </row>
    <row r="42" spans="1:43" x14ac:dyDescent="0.3">
      <c r="A42" s="1" t="s">
        <v>161</v>
      </c>
      <c r="B42" s="107" t="s">
        <v>86</v>
      </c>
      <c r="C42" s="107" t="s">
        <v>91</v>
      </c>
      <c r="D42">
        <v>3</v>
      </c>
      <c r="AA42" s="182" t="s">
        <v>368</v>
      </c>
      <c r="AB42" s="360"/>
      <c r="AC42" s="183">
        <v>11.58</v>
      </c>
      <c r="AD42" s="183">
        <v>8.5344599999999993</v>
      </c>
      <c r="AE42" s="184">
        <v>7920.0000000000009</v>
      </c>
      <c r="AF42" s="185">
        <v>11</v>
      </c>
      <c r="AG42" s="186">
        <v>2.31</v>
      </c>
      <c r="AH42" s="174">
        <v>5</v>
      </c>
      <c r="AI42" s="357"/>
      <c r="AJ42" s="351"/>
      <c r="AK42" s="187">
        <v>8.51</v>
      </c>
      <c r="AL42" s="187">
        <v>29.64</v>
      </c>
      <c r="AM42" s="186" t="s">
        <v>442</v>
      </c>
      <c r="AN42" s="186" t="s">
        <v>91</v>
      </c>
      <c r="AO42" s="187">
        <v>3.2759999999999998</v>
      </c>
      <c r="AP42" s="185">
        <v>56.6</v>
      </c>
      <c r="AQ42" s="355"/>
    </row>
    <row r="43" spans="1:43" x14ac:dyDescent="0.3">
      <c r="A43" s="1" t="s">
        <v>162</v>
      </c>
      <c r="B43" s="107" t="s">
        <v>86</v>
      </c>
      <c r="C43" s="107" t="s">
        <v>91</v>
      </c>
      <c r="D43">
        <v>3</v>
      </c>
      <c r="AA43" s="182" t="s">
        <v>369</v>
      </c>
      <c r="AB43" s="360"/>
      <c r="AC43" s="183">
        <v>14.26</v>
      </c>
      <c r="AD43" s="183">
        <v>10.50962</v>
      </c>
      <c r="AE43" s="184">
        <v>7812</v>
      </c>
      <c r="AF43" s="185">
        <v>10</v>
      </c>
      <c r="AG43" s="186">
        <v>2.2799999999999998</v>
      </c>
      <c r="AH43" s="174">
        <v>5</v>
      </c>
      <c r="AI43" s="357"/>
      <c r="AJ43" s="351"/>
      <c r="AK43" s="187">
        <v>11.35</v>
      </c>
      <c r="AL43" s="187">
        <v>39.520000000000003</v>
      </c>
      <c r="AM43" s="186" t="s">
        <v>88</v>
      </c>
      <c r="AN43" s="186" t="s">
        <v>92</v>
      </c>
      <c r="AO43" s="187">
        <v>3.2759999999999998</v>
      </c>
      <c r="AP43" s="185">
        <v>62.1</v>
      </c>
      <c r="AQ43" s="355"/>
    </row>
    <row r="44" spans="1:43" ht="15" thickBot="1" x14ac:dyDescent="0.35">
      <c r="A44" s="1" t="s">
        <v>163</v>
      </c>
      <c r="B44" s="107" t="s">
        <v>86</v>
      </c>
      <c r="C44" s="107" t="s">
        <v>91</v>
      </c>
      <c r="D44">
        <v>3</v>
      </c>
      <c r="AA44" s="211" t="s">
        <v>370</v>
      </c>
      <c r="AB44" s="361"/>
      <c r="AC44" s="212">
        <v>16.32</v>
      </c>
      <c r="AD44" s="212">
        <v>12.027839999999999</v>
      </c>
      <c r="AE44" s="213">
        <v>7632</v>
      </c>
      <c r="AF44" s="214">
        <v>9</v>
      </c>
      <c r="AG44" s="215">
        <v>2.23</v>
      </c>
      <c r="AH44" s="174">
        <v>5</v>
      </c>
      <c r="AI44" s="363"/>
      <c r="AJ44" s="352"/>
      <c r="AK44" s="216">
        <v>14.19</v>
      </c>
      <c r="AL44" s="216">
        <v>49.4</v>
      </c>
      <c r="AM44" s="215" t="s">
        <v>88</v>
      </c>
      <c r="AN44" s="215" t="s">
        <v>92</v>
      </c>
      <c r="AO44" s="216">
        <v>6.5519999999999996</v>
      </c>
      <c r="AP44" s="214">
        <v>67.599999999999994</v>
      </c>
      <c r="AQ44" s="356"/>
    </row>
    <row r="45" spans="1:43" x14ac:dyDescent="0.3">
      <c r="A45" s="1" t="s">
        <v>164</v>
      </c>
      <c r="B45" s="107" t="s">
        <v>86</v>
      </c>
      <c r="C45" s="107" t="s">
        <v>91</v>
      </c>
      <c r="D45">
        <v>3</v>
      </c>
      <c r="AA45" s="203" t="s">
        <v>389</v>
      </c>
      <c r="AB45" s="364" t="s">
        <v>323</v>
      </c>
      <c r="AC45" s="204">
        <v>5.12</v>
      </c>
      <c r="AD45" s="204">
        <v>3.7734399999999999</v>
      </c>
      <c r="AE45" s="205">
        <v>2772</v>
      </c>
      <c r="AF45" s="206">
        <v>14</v>
      </c>
      <c r="AG45" s="234">
        <v>2.86</v>
      </c>
      <c r="AH45" s="174">
        <v>1</v>
      </c>
      <c r="AI45" s="340" t="s">
        <v>390</v>
      </c>
      <c r="AJ45" s="350" t="s">
        <v>391</v>
      </c>
      <c r="AK45" s="210">
        <v>3.46</v>
      </c>
      <c r="AL45" s="210">
        <v>16.100000000000001</v>
      </c>
      <c r="AM45" s="234" t="s">
        <v>86</v>
      </c>
      <c r="AN45" s="234" t="s">
        <v>90</v>
      </c>
      <c r="AO45" s="210">
        <v>1.92</v>
      </c>
      <c r="AP45" s="235">
        <v>23</v>
      </c>
      <c r="AQ45" s="353" t="s">
        <v>326</v>
      </c>
    </row>
    <row r="46" spans="1:43" x14ac:dyDescent="0.3">
      <c r="A46" s="1"/>
      <c r="B46" s="1"/>
      <c r="C46" s="1"/>
      <c r="AA46" s="182" t="s">
        <v>392</v>
      </c>
      <c r="AB46" s="365"/>
      <c r="AC46" s="183">
        <v>6.36</v>
      </c>
      <c r="AD46" s="183">
        <v>4.6873200000000006</v>
      </c>
      <c r="AE46" s="184">
        <v>2592</v>
      </c>
      <c r="AF46" s="185">
        <v>14</v>
      </c>
      <c r="AG46" s="236">
        <v>2.7</v>
      </c>
      <c r="AH46" s="174">
        <v>1</v>
      </c>
      <c r="AI46" s="341"/>
      <c r="AJ46" s="351"/>
      <c r="AK46" s="187">
        <v>5.19</v>
      </c>
      <c r="AL46" s="187">
        <v>24.15</v>
      </c>
      <c r="AM46" s="236" t="s">
        <v>86</v>
      </c>
      <c r="AN46" s="236" t="s">
        <v>91</v>
      </c>
      <c r="AO46" s="187">
        <v>1.92</v>
      </c>
      <c r="AP46" s="237">
        <v>27</v>
      </c>
      <c r="AQ46" s="355"/>
    </row>
    <row r="47" spans="1:43" x14ac:dyDescent="0.3">
      <c r="A47" s="1" t="s">
        <v>165</v>
      </c>
      <c r="B47" s="107" t="s">
        <v>88</v>
      </c>
      <c r="C47" s="107" t="s">
        <v>91</v>
      </c>
      <c r="D47">
        <v>4</v>
      </c>
      <c r="AA47" s="176" t="s">
        <v>393</v>
      </c>
      <c r="AB47" s="365"/>
      <c r="AC47" s="177">
        <v>10.32</v>
      </c>
      <c r="AD47" s="177">
        <v>7.6058399999999997</v>
      </c>
      <c r="AE47" s="178">
        <v>5508</v>
      </c>
      <c r="AF47" s="179">
        <v>15</v>
      </c>
      <c r="AG47" s="238">
        <v>2.86</v>
      </c>
      <c r="AH47" s="174">
        <v>2</v>
      </c>
      <c r="AI47" s="367" t="s">
        <v>394</v>
      </c>
      <c r="AJ47" s="351"/>
      <c r="AK47" s="181">
        <v>6.57</v>
      </c>
      <c r="AL47" s="181">
        <v>32.200000000000003</v>
      </c>
      <c r="AM47" s="238" t="s">
        <v>86</v>
      </c>
      <c r="AN47" s="238" t="s">
        <v>91</v>
      </c>
      <c r="AO47" s="181">
        <v>3.84</v>
      </c>
      <c r="AP47" s="239">
        <v>38</v>
      </c>
      <c r="AQ47" s="355"/>
    </row>
    <row r="48" spans="1:43" x14ac:dyDescent="0.3">
      <c r="A48" s="1" t="s">
        <v>166</v>
      </c>
      <c r="B48" s="107" t="s">
        <v>88</v>
      </c>
      <c r="C48" s="107" t="s">
        <v>91</v>
      </c>
      <c r="D48">
        <v>4</v>
      </c>
      <c r="AA48" s="176" t="s">
        <v>395</v>
      </c>
      <c r="AB48" s="365"/>
      <c r="AC48" s="177">
        <v>12.8</v>
      </c>
      <c r="AD48" s="177">
        <v>9.4336000000000002</v>
      </c>
      <c r="AE48" s="178">
        <v>5184</v>
      </c>
      <c r="AF48" s="179">
        <v>15</v>
      </c>
      <c r="AG48" s="238">
        <v>2.7</v>
      </c>
      <c r="AH48" s="174">
        <v>2</v>
      </c>
      <c r="AI48" s="368"/>
      <c r="AJ48" s="351"/>
      <c r="AK48" s="181">
        <v>9.86</v>
      </c>
      <c r="AL48" s="181">
        <v>48.3</v>
      </c>
      <c r="AM48" s="238" t="s">
        <v>88</v>
      </c>
      <c r="AN48" s="238" t="s">
        <v>91</v>
      </c>
      <c r="AO48" s="181">
        <v>3.84</v>
      </c>
      <c r="AP48" s="239">
        <v>44</v>
      </c>
      <c r="AQ48" s="355"/>
    </row>
    <row r="49" spans="1:43" x14ac:dyDescent="0.3">
      <c r="A49" s="1" t="s">
        <v>167</v>
      </c>
      <c r="B49" s="107" t="s">
        <v>88</v>
      </c>
      <c r="C49" s="107" t="s">
        <v>91</v>
      </c>
      <c r="D49">
        <v>4</v>
      </c>
      <c r="AA49" s="182" t="s">
        <v>396</v>
      </c>
      <c r="AB49" s="365"/>
      <c r="AC49" s="183">
        <v>15.49</v>
      </c>
      <c r="AD49" s="183">
        <v>11.416130000000001</v>
      </c>
      <c r="AE49" s="184">
        <v>8280</v>
      </c>
      <c r="AF49" s="185">
        <v>16</v>
      </c>
      <c r="AG49" s="236">
        <v>2.86</v>
      </c>
      <c r="AH49" s="174">
        <v>3</v>
      </c>
      <c r="AI49" s="369" t="s">
        <v>397</v>
      </c>
      <c r="AJ49" s="351"/>
      <c r="AK49" s="187">
        <v>9.68</v>
      </c>
      <c r="AL49" s="187">
        <v>48.3</v>
      </c>
      <c r="AM49" s="236" t="s">
        <v>88</v>
      </c>
      <c r="AN49" s="236" t="s">
        <v>92</v>
      </c>
      <c r="AO49" s="187">
        <v>5.7600000000000007</v>
      </c>
      <c r="AP49" s="237">
        <v>51</v>
      </c>
      <c r="AQ49" s="355"/>
    </row>
    <row r="50" spans="1:43" x14ac:dyDescent="0.3">
      <c r="A50" s="1" t="s">
        <v>168</v>
      </c>
      <c r="B50" s="107" t="s">
        <v>88</v>
      </c>
      <c r="C50" s="107" t="s">
        <v>91</v>
      </c>
      <c r="D50">
        <v>4</v>
      </c>
      <c r="AA50" s="182" t="s">
        <v>398</v>
      </c>
      <c r="AB50" s="365"/>
      <c r="AC50" s="183">
        <v>19.260000000000002</v>
      </c>
      <c r="AD50" s="183">
        <v>14.19462</v>
      </c>
      <c r="AE50" s="184">
        <v>7812</v>
      </c>
      <c r="AF50" s="185">
        <v>16</v>
      </c>
      <c r="AG50" s="236">
        <v>2.7</v>
      </c>
      <c r="AH50" s="174">
        <v>3</v>
      </c>
      <c r="AI50" s="341"/>
      <c r="AJ50" s="351"/>
      <c r="AK50" s="187">
        <v>14.53</v>
      </c>
      <c r="AL50" s="187">
        <v>72.45</v>
      </c>
      <c r="AM50" s="236" t="s">
        <v>88</v>
      </c>
      <c r="AN50" s="236" t="s">
        <v>92</v>
      </c>
      <c r="AO50" s="187">
        <v>5.7600000000000007</v>
      </c>
      <c r="AP50" s="237">
        <v>61</v>
      </c>
      <c r="AQ50" s="355"/>
    </row>
    <row r="51" spans="1:43" x14ac:dyDescent="0.3">
      <c r="A51" s="1"/>
      <c r="B51" s="1"/>
      <c r="C51" s="1"/>
      <c r="AA51" s="176" t="s">
        <v>399</v>
      </c>
      <c r="AB51" s="365"/>
      <c r="AC51" s="177">
        <v>20.73</v>
      </c>
      <c r="AD51" s="177">
        <v>15.27801</v>
      </c>
      <c r="AE51" s="178">
        <v>11016</v>
      </c>
      <c r="AF51" s="179">
        <v>17</v>
      </c>
      <c r="AG51" s="238">
        <v>2.86</v>
      </c>
      <c r="AH51" s="174">
        <v>4</v>
      </c>
      <c r="AI51" s="367" t="s">
        <v>400</v>
      </c>
      <c r="AJ51" s="351"/>
      <c r="AK51" s="181">
        <v>12.8</v>
      </c>
      <c r="AL51" s="181">
        <v>64.400000000000006</v>
      </c>
      <c r="AM51" s="238" t="s">
        <v>88</v>
      </c>
      <c r="AN51" s="238" t="s">
        <v>92</v>
      </c>
      <c r="AO51" s="181">
        <v>7.68</v>
      </c>
      <c r="AP51" s="239">
        <v>65</v>
      </c>
      <c r="AQ51" s="355"/>
    </row>
    <row r="52" spans="1:43" ht="15" customHeight="1" thickBot="1" x14ac:dyDescent="0.35">
      <c r="A52" s="1" t="s">
        <v>120</v>
      </c>
      <c r="B52" s="107" t="s">
        <v>88</v>
      </c>
      <c r="C52" s="107" t="s">
        <v>92</v>
      </c>
      <c r="D52">
        <v>5</v>
      </c>
      <c r="AA52" s="194" t="s">
        <v>401</v>
      </c>
      <c r="AB52" s="366"/>
      <c r="AC52" s="195">
        <v>25.68</v>
      </c>
      <c r="AD52" s="195">
        <v>18.926159999999999</v>
      </c>
      <c r="AE52" s="196">
        <v>10404</v>
      </c>
      <c r="AF52" s="197">
        <v>17</v>
      </c>
      <c r="AG52" s="240">
        <v>2.7</v>
      </c>
      <c r="AH52" s="174">
        <v>4</v>
      </c>
      <c r="AI52" s="370"/>
      <c r="AJ52" s="352"/>
      <c r="AK52" s="199">
        <v>19.190000000000001</v>
      </c>
      <c r="AL52" s="199">
        <v>96.6</v>
      </c>
      <c r="AM52" s="240" t="s">
        <v>88</v>
      </c>
      <c r="AN52" s="240" t="s">
        <v>92</v>
      </c>
      <c r="AO52" s="199">
        <v>7.68</v>
      </c>
      <c r="AP52" s="241">
        <v>78</v>
      </c>
      <c r="AQ52" s="356"/>
    </row>
    <row r="53" spans="1:43" ht="15" thickBot="1" x14ac:dyDescent="0.35">
      <c r="A53" s="1" t="s">
        <v>169</v>
      </c>
      <c r="B53" s="107" t="s">
        <v>88</v>
      </c>
      <c r="C53" s="107" t="s">
        <v>92</v>
      </c>
      <c r="D53">
        <v>5</v>
      </c>
      <c r="AA53" s="200"/>
      <c r="AB53" s="174"/>
      <c r="AC53" s="174"/>
      <c r="AD53" s="174"/>
      <c r="AE53" s="174"/>
      <c r="AF53" s="201"/>
      <c r="AG53" s="202"/>
      <c r="AH53" s="174"/>
      <c r="AI53" s="174"/>
      <c r="AJ53" s="174"/>
      <c r="AK53" s="202"/>
      <c r="AL53" s="202"/>
      <c r="AM53" s="202"/>
      <c r="AN53" s="202"/>
      <c r="AO53" s="202"/>
      <c r="AP53" s="201"/>
      <c r="AQ53" s="174"/>
    </row>
    <row r="54" spans="1:43" x14ac:dyDescent="0.3">
      <c r="A54" s="1" t="s">
        <v>170</v>
      </c>
      <c r="B54" s="107" t="s">
        <v>88</v>
      </c>
      <c r="C54" s="107" t="s">
        <v>92</v>
      </c>
      <c r="D54">
        <v>5</v>
      </c>
      <c r="AA54" s="203" t="s">
        <v>402</v>
      </c>
      <c r="AB54" s="337" t="s">
        <v>351</v>
      </c>
      <c r="AC54" s="204">
        <v>4.5199999999999996</v>
      </c>
      <c r="AD54" s="204">
        <v>3.3312399999999998</v>
      </c>
      <c r="AE54" s="205">
        <v>2844</v>
      </c>
      <c r="AF54" s="206">
        <v>15</v>
      </c>
      <c r="AG54" s="210">
        <v>2.96</v>
      </c>
      <c r="AH54" s="174">
        <v>1</v>
      </c>
      <c r="AI54" s="340" t="s">
        <v>390</v>
      </c>
      <c r="AJ54" s="350" t="s">
        <v>391</v>
      </c>
      <c r="AK54" s="210">
        <v>3.46</v>
      </c>
      <c r="AL54" s="210">
        <v>11.1</v>
      </c>
      <c r="AM54" s="210" t="s">
        <v>86</v>
      </c>
      <c r="AN54" s="210" t="s">
        <v>90</v>
      </c>
      <c r="AO54" s="210">
        <v>1.92</v>
      </c>
      <c r="AP54" s="206">
        <v>26</v>
      </c>
      <c r="AQ54" s="353" t="s">
        <v>326</v>
      </c>
    </row>
    <row r="55" spans="1:43" ht="15" customHeight="1" x14ac:dyDescent="0.3">
      <c r="A55" s="1" t="s">
        <v>171</v>
      </c>
      <c r="B55" s="107" t="s">
        <v>88</v>
      </c>
      <c r="C55" s="107" t="s">
        <v>92</v>
      </c>
      <c r="D55">
        <v>5</v>
      </c>
      <c r="AA55" s="182" t="s">
        <v>403</v>
      </c>
      <c r="AB55" s="338"/>
      <c r="AC55" s="183">
        <v>5.8</v>
      </c>
      <c r="AD55" s="183">
        <v>4.2745999999999995</v>
      </c>
      <c r="AE55" s="184">
        <v>2700</v>
      </c>
      <c r="AF55" s="185">
        <v>15</v>
      </c>
      <c r="AG55" s="236">
        <v>2.82</v>
      </c>
      <c r="AH55" s="174">
        <v>1</v>
      </c>
      <c r="AI55" s="341"/>
      <c r="AJ55" s="351"/>
      <c r="AK55" s="187">
        <v>5.19</v>
      </c>
      <c r="AL55" s="187">
        <v>16.649999999999999</v>
      </c>
      <c r="AM55" s="236" t="s">
        <v>86</v>
      </c>
      <c r="AN55" s="236" t="s">
        <v>90</v>
      </c>
      <c r="AO55" s="187">
        <v>1.92</v>
      </c>
      <c r="AP55" s="185">
        <v>26</v>
      </c>
      <c r="AQ55" s="355"/>
    </row>
    <row r="56" spans="1:43" x14ac:dyDescent="0.3">
      <c r="A56" s="1"/>
      <c r="B56" s="1"/>
      <c r="C56" s="1"/>
      <c r="AA56" s="176" t="s">
        <v>404</v>
      </c>
      <c r="AB56" s="338"/>
      <c r="AC56" s="177">
        <v>9.1199999999999992</v>
      </c>
      <c r="AD56" s="177">
        <v>6.7214399999999994</v>
      </c>
      <c r="AE56" s="178">
        <v>5688</v>
      </c>
      <c r="AF56" s="179">
        <v>16</v>
      </c>
      <c r="AG56" s="238">
        <v>2.95</v>
      </c>
      <c r="AH56" s="174">
        <v>2</v>
      </c>
      <c r="AI56" s="367" t="s">
        <v>394</v>
      </c>
      <c r="AJ56" s="351"/>
      <c r="AK56" s="181">
        <v>6.57</v>
      </c>
      <c r="AL56" s="181">
        <v>22.19</v>
      </c>
      <c r="AM56" s="238" t="s">
        <v>86</v>
      </c>
      <c r="AN56" s="238" t="s">
        <v>91</v>
      </c>
      <c r="AO56" s="181">
        <v>3.84</v>
      </c>
      <c r="AP56" s="179">
        <v>37</v>
      </c>
      <c r="AQ56" s="355"/>
    </row>
    <row r="57" spans="1:43" x14ac:dyDescent="0.3">
      <c r="A57" s="1"/>
      <c r="B57" s="1"/>
      <c r="C57" s="1"/>
      <c r="AA57" s="176" t="s">
        <v>405</v>
      </c>
      <c r="AB57" s="338"/>
      <c r="AC57" s="177">
        <v>11.68</v>
      </c>
      <c r="AD57" s="177">
        <v>8.6081599999999998</v>
      </c>
      <c r="AE57" s="178">
        <v>5436</v>
      </c>
      <c r="AF57" s="179">
        <v>16</v>
      </c>
      <c r="AG57" s="238">
        <v>2.82</v>
      </c>
      <c r="AH57" s="174">
        <v>2</v>
      </c>
      <c r="AI57" s="368"/>
      <c r="AJ57" s="351"/>
      <c r="AK57" s="181">
        <v>9.86</v>
      </c>
      <c r="AL57" s="181">
        <v>33.29</v>
      </c>
      <c r="AM57" s="238" t="s">
        <v>88</v>
      </c>
      <c r="AN57" s="238" t="s">
        <v>91</v>
      </c>
      <c r="AO57" s="181">
        <v>3.84</v>
      </c>
      <c r="AP57" s="179">
        <v>43</v>
      </c>
      <c r="AQ57" s="355"/>
    </row>
    <row r="58" spans="1:43" x14ac:dyDescent="0.3">
      <c r="A58" s="1" t="s">
        <v>172</v>
      </c>
      <c r="B58" s="107" t="s">
        <v>88</v>
      </c>
      <c r="C58" s="107" t="s">
        <v>91</v>
      </c>
      <c r="D58">
        <v>2</v>
      </c>
      <c r="AA58" s="182" t="s">
        <v>406</v>
      </c>
      <c r="AB58" s="338"/>
      <c r="AC58" s="183">
        <v>13.67</v>
      </c>
      <c r="AD58" s="183">
        <v>10.07479</v>
      </c>
      <c r="AE58" s="184">
        <v>8496</v>
      </c>
      <c r="AF58" s="185">
        <v>17</v>
      </c>
      <c r="AG58" s="236">
        <v>2.95</v>
      </c>
      <c r="AH58" s="174">
        <v>3</v>
      </c>
      <c r="AI58" s="369" t="s">
        <v>397</v>
      </c>
      <c r="AJ58" s="351"/>
      <c r="AK58" s="187">
        <v>9.68</v>
      </c>
      <c r="AL58" s="187">
        <v>33.29</v>
      </c>
      <c r="AM58" s="236" t="s">
        <v>88</v>
      </c>
      <c r="AN58" s="236" t="s">
        <v>92</v>
      </c>
      <c r="AO58" s="187">
        <v>5.7600000000000007</v>
      </c>
      <c r="AP58" s="185">
        <v>49</v>
      </c>
      <c r="AQ58" s="355"/>
    </row>
    <row r="59" spans="1:43" x14ac:dyDescent="0.3">
      <c r="A59" s="1" t="s">
        <v>173</v>
      </c>
      <c r="B59" s="107" t="s">
        <v>88</v>
      </c>
      <c r="C59" s="107" t="s">
        <v>91</v>
      </c>
      <c r="D59">
        <v>2</v>
      </c>
      <c r="AA59" s="182" t="s">
        <v>407</v>
      </c>
      <c r="AB59" s="338"/>
      <c r="AC59" s="183">
        <v>17.63</v>
      </c>
      <c r="AD59" s="183">
        <v>12.993309999999999</v>
      </c>
      <c r="AE59" s="184">
        <v>8135.9999999999991</v>
      </c>
      <c r="AF59" s="185">
        <v>17</v>
      </c>
      <c r="AG59" s="236">
        <v>2.82</v>
      </c>
      <c r="AH59" s="174">
        <v>3</v>
      </c>
      <c r="AI59" s="341"/>
      <c r="AJ59" s="351"/>
      <c r="AK59" s="187">
        <v>14.53</v>
      </c>
      <c r="AL59" s="187">
        <v>49.94</v>
      </c>
      <c r="AM59" s="236" t="s">
        <v>88</v>
      </c>
      <c r="AN59" s="236" t="s">
        <v>92</v>
      </c>
      <c r="AO59" s="187">
        <v>5.7600000000000007</v>
      </c>
      <c r="AP59" s="185">
        <v>58</v>
      </c>
      <c r="AQ59" s="355"/>
    </row>
    <row r="60" spans="1:43" x14ac:dyDescent="0.3">
      <c r="A60" s="1" t="s">
        <v>174</v>
      </c>
      <c r="B60" s="107" t="s">
        <v>88</v>
      </c>
      <c r="C60" s="107" t="s">
        <v>91</v>
      </c>
      <c r="D60">
        <v>2</v>
      </c>
      <c r="AA60" s="176" t="s">
        <v>408</v>
      </c>
      <c r="AB60" s="338"/>
      <c r="AC60" s="177">
        <v>18.23</v>
      </c>
      <c r="AD60" s="177">
        <v>13.435510000000001</v>
      </c>
      <c r="AE60" s="178">
        <v>11340</v>
      </c>
      <c r="AF60" s="179">
        <v>18</v>
      </c>
      <c r="AG60" s="238">
        <v>2.95</v>
      </c>
      <c r="AH60" s="174">
        <v>4</v>
      </c>
      <c r="AI60" s="367" t="s">
        <v>400</v>
      </c>
      <c r="AJ60" s="351"/>
      <c r="AK60" s="181">
        <v>12.8</v>
      </c>
      <c r="AL60" s="181">
        <v>44.39</v>
      </c>
      <c r="AM60" s="238" t="s">
        <v>88</v>
      </c>
      <c r="AN60" s="238" t="s">
        <v>92</v>
      </c>
      <c r="AO60" s="181">
        <v>7.68</v>
      </c>
      <c r="AP60" s="179">
        <v>63</v>
      </c>
      <c r="AQ60" s="355"/>
    </row>
    <row r="61" spans="1:43" ht="15" thickBot="1" x14ac:dyDescent="0.35">
      <c r="A61" s="1" t="s">
        <v>175</v>
      </c>
      <c r="B61" s="107" t="s">
        <v>88</v>
      </c>
      <c r="C61" s="107" t="s">
        <v>91</v>
      </c>
      <c r="D61">
        <v>2</v>
      </c>
      <c r="AA61" s="194" t="s">
        <v>409</v>
      </c>
      <c r="AB61" s="339"/>
      <c r="AC61" s="195">
        <v>23.51</v>
      </c>
      <c r="AD61" s="195">
        <v>17.32687</v>
      </c>
      <c r="AE61" s="196">
        <v>10872</v>
      </c>
      <c r="AF61" s="197">
        <v>18</v>
      </c>
      <c r="AG61" s="240">
        <v>2.82</v>
      </c>
      <c r="AH61" s="174">
        <v>4</v>
      </c>
      <c r="AI61" s="370"/>
      <c r="AJ61" s="352"/>
      <c r="AK61" s="199">
        <v>19.190000000000001</v>
      </c>
      <c r="AL61" s="199">
        <v>66.58</v>
      </c>
      <c r="AM61" s="240" t="s">
        <v>88</v>
      </c>
      <c r="AN61" s="240" t="s">
        <v>92</v>
      </c>
      <c r="AO61" s="199">
        <v>7.68</v>
      </c>
      <c r="AP61" s="197">
        <v>75</v>
      </c>
      <c r="AQ61" s="356"/>
    </row>
    <row r="62" spans="1:43" ht="15" customHeight="1" x14ac:dyDescent="0.3">
      <c r="A62" s="1"/>
      <c r="B62" s="1"/>
      <c r="C62" s="1"/>
      <c r="AA62" s="169" t="s">
        <v>410</v>
      </c>
      <c r="AB62" s="345" t="s">
        <v>323</v>
      </c>
      <c r="AC62" s="170">
        <v>13.15</v>
      </c>
      <c r="AD62" s="170">
        <v>9.6915499999999994</v>
      </c>
      <c r="AE62" s="171">
        <v>8748</v>
      </c>
      <c r="AF62" s="172">
        <v>20</v>
      </c>
      <c r="AG62" s="242">
        <v>4.24</v>
      </c>
      <c r="AH62" s="174">
        <v>1</v>
      </c>
      <c r="AI62" s="378" t="s">
        <v>411</v>
      </c>
      <c r="AJ62" s="371" t="s">
        <v>412</v>
      </c>
      <c r="AK62" s="175">
        <v>7.09</v>
      </c>
      <c r="AL62" s="175">
        <v>34.9</v>
      </c>
      <c r="AM62" s="242" t="s">
        <v>88</v>
      </c>
      <c r="AN62" s="242" t="s">
        <v>91</v>
      </c>
      <c r="AO62" s="175">
        <v>4.2</v>
      </c>
      <c r="AP62" s="243">
        <v>79</v>
      </c>
      <c r="AQ62" s="374" t="s">
        <v>413</v>
      </c>
    </row>
    <row r="63" spans="1:43" x14ac:dyDescent="0.3">
      <c r="A63" s="1" t="s">
        <v>176</v>
      </c>
      <c r="B63" s="107" t="s">
        <v>88</v>
      </c>
      <c r="C63" s="107" t="s">
        <v>92</v>
      </c>
      <c r="D63">
        <v>3</v>
      </c>
      <c r="AA63" s="176" t="s">
        <v>414</v>
      </c>
      <c r="AB63" s="346"/>
      <c r="AC63" s="177">
        <v>17.02</v>
      </c>
      <c r="AD63" s="177">
        <v>12.54374</v>
      </c>
      <c r="AE63" s="178">
        <v>8208</v>
      </c>
      <c r="AF63" s="179">
        <v>20</v>
      </c>
      <c r="AG63" s="238">
        <v>3.98</v>
      </c>
      <c r="AH63" s="174">
        <v>1</v>
      </c>
      <c r="AI63" s="368"/>
      <c r="AJ63" s="372"/>
      <c r="AK63" s="181">
        <v>10.64</v>
      </c>
      <c r="AL63" s="181">
        <v>51.74</v>
      </c>
      <c r="AM63" s="238" t="s">
        <v>88</v>
      </c>
      <c r="AN63" s="238" t="s">
        <v>92</v>
      </c>
      <c r="AO63" s="181">
        <v>4.2</v>
      </c>
      <c r="AP63" s="239">
        <v>86</v>
      </c>
      <c r="AQ63" s="375"/>
    </row>
    <row r="64" spans="1:43" x14ac:dyDescent="0.3">
      <c r="A64" s="1" t="s">
        <v>177</v>
      </c>
      <c r="B64" s="107" t="s">
        <v>90</v>
      </c>
      <c r="C64" s="107" t="s">
        <v>92</v>
      </c>
      <c r="D64">
        <v>3</v>
      </c>
      <c r="AA64" s="182" t="s">
        <v>415</v>
      </c>
      <c r="AB64" s="346"/>
      <c r="AC64" s="183">
        <v>26.56</v>
      </c>
      <c r="AD64" s="183">
        <v>19.574719999999999</v>
      </c>
      <c r="AE64" s="184">
        <v>17496</v>
      </c>
      <c r="AF64" s="185">
        <v>24</v>
      </c>
      <c r="AG64" s="236">
        <v>4.24</v>
      </c>
      <c r="AH64" s="174">
        <v>2</v>
      </c>
      <c r="AI64" s="369" t="s">
        <v>416</v>
      </c>
      <c r="AJ64" s="372"/>
      <c r="AK64" s="187">
        <v>13.76</v>
      </c>
      <c r="AL64" s="187">
        <v>68.989999999999995</v>
      </c>
      <c r="AM64" s="236" t="s">
        <v>88</v>
      </c>
      <c r="AN64" s="236" t="s">
        <v>92</v>
      </c>
      <c r="AO64" s="187">
        <v>8.4</v>
      </c>
      <c r="AP64" s="237">
        <v>132</v>
      </c>
      <c r="AQ64" s="375"/>
    </row>
    <row r="65" spans="1:43" x14ac:dyDescent="0.3">
      <c r="A65" s="1" t="s">
        <v>178</v>
      </c>
      <c r="B65" s="107" t="s">
        <v>88</v>
      </c>
      <c r="C65" s="107" t="s">
        <v>92</v>
      </c>
      <c r="D65">
        <v>3</v>
      </c>
      <c r="AA65" s="182" t="s">
        <v>417</v>
      </c>
      <c r="AB65" s="346"/>
      <c r="AC65" s="183">
        <v>34.159999999999997</v>
      </c>
      <c r="AD65" s="183">
        <v>25.175919999999998</v>
      </c>
      <c r="AE65" s="184">
        <v>16452</v>
      </c>
      <c r="AF65" s="185">
        <v>24</v>
      </c>
      <c r="AG65" s="236">
        <v>3.98</v>
      </c>
      <c r="AH65" s="174">
        <v>2</v>
      </c>
      <c r="AI65" s="341"/>
      <c r="AJ65" s="372"/>
      <c r="AK65" s="187">
        <v>20.64</v>
      </c>
      <c r="AL65" s="187">
        <v>103.48</v>
      </c>
      <c r="AM65" s="236" t="s">
        <v>90</v>
      </c>
      <c r="AN65" s="236" t="s">
        <v>93</v>
      </c>
      <c r="AO65" s="187">
        <v>8.4</v>
      </c>
      <c r="AP65" s="237">
        <v>146</v>
      </c>
      <c r="AQ65" s="375"/>
    </row>
    <row r="66" spans="1:43" x14ac:dyDescent="0.3">
      <c r="A66" s="1" t="s">
        <v>179</v>
      </c>
      <c r="B66" s="107" t="s">
        <v>90</v>
      </c>
      <c r="C66" s="107" t="s">
        <v>92</v>
      </c>
      <c r="D66">
        <v>3</v>
      </c>
      <c r="AA66" s="176" t="s">
        <v>418</v>
      </c>
      <c r="AB66" s="346"/>
      <c r="AC66" s="177">
        <v>38.119999999999997</v>
      </c>
      <c r="AD66" s="177">
        <v>28.094439999999999</v>
      </c>
      <c r="AE66" s="178">
        <v>25848</v>
      </c>
      <c r="AF66" s="179">
        <v>27</v>
      </c>
      <c r="AG66" s="238">
        <v>4.45</v>
      </c>
      <c r="AH66" s="174">
        <v>3</v>
      </c>
      <c r="AI66" s="367" t="s">
        <v>419</v>
      </c>
      <c r="AJ66" s="372"/>
      <c r="AK66" s="181">
        <v>19.23</v>
      </c>
      <c r="AL66" s="181">
        <v>97.24</v>
      </c>
      <c r="AM66" s="238" t="s">
        <v>90</v>
      </c>
      <c r="AN66" s="238" t="s">
        <v>93</v>
      </c>
      <c r="AO66" s="181">
        <v>12.6</v>
      </c>
      <c r="AP66" s="239">
        <v>181</v>
      </c>
      <c r="AQ66" s="375"/>
    </row>
    <row r="67" spans="1:43" ht="15" thickBot="1" x14ac:dyDescent="0.35">
      <c r="A67" s="1"/>
      <c r="B67" s="1"/>
      <c r="C67" s="1"/>
      <c r="AA67" s="194" t="s">
        <v>420</v>
      </c>
      <c r="AB67" s="347"/>
      <c r="AC67" s="195">
        <v>49.32</v>
      </c>
      <c r="AD67" s="195">
        <v>36.348840000000003</v>
      </c>
      <c r="AE67" s="196">
        <v>24156</v>
      </c>
      <c r="AF67" s="197">
        <v>27</v>
      </c>
      <c r="AG67" s="240">
        <v>4.16</v>
      </c>
      <c r="AH67" s="174">
        <v>3</v>
      </c>
      <c r="AI67" s="370"/>
      <c r="AJ67" s="373"/>
      <c r="AK67" s="199">
        <v>28.84</v>
      </c>
      <c r="AL67" s="199">
        <v>145.86000000000001</v>
      </c>
      <c r="AM67" s="240" t="s">
        <v>91</v>
      </c>
      <c r="AN67" s="240" t="s">
        <v>94</v>
      </c>
      <c r="AO67" s="199">
        <v>12.6</v>
      </c>
      <c r="AP67" s="241">
        <v>200</v>
      </c>
      <c r="AQ67" s="376"/>
    </row>
    <row r="68" spans="1:43" ht="15" thickBot="1" x14ac:dyDescent="0.35">
      <c r="A68" s="1" t="s">
        <v>180</v>
      </c>
      <c r="B68" s="107" t="s">
        <v>90</v>
      </c>
      <c r="C68" s="107" t="s">
        <v>92</v>
      </c>
      <c r="D68">
        <v>4</v>
      </c>
      <c r="AA68" s="200"/>
      <c r="AB68" s="174"/>
      <c r="AC68" s="174"/>
      <c r="AD68" s="174"/>
      <c r="AE68" s="174"/>
      <c r="AF68" s="201"/>
      <c r="AG68" s="202"/>
      <c r="AH68" s="174"/>
      <c r="AI68" s="174"/>
      <c r="AJ68" s="174"/>
      <c r="AK68" s="202"/>
      <c r="AL68" s="202"/>
      <c r="AM68" s="202"/>
      <c r="AN68" s="202"/>
      <c r="AO68" s="202"/>
      <c r="AP68" s="201"/>
      <c r="AQ68" s="174"/>
    </row>
    <row r="69" spans="1:43" ht="15" customHeight="1" x14ac:dyDescent="0.3">
      <c r="A69" s="1" t="s">
        <v>181</v>
      </c>
      <c r="B69" s="107" t="s">
        <v>90</v>
      </c>
      <c r="C69" s="107" t="s">
        <v>94</v>
      </c>
      <c r="D69">
        <v>4</v>
      </c>
      <c r="AA69" s="203" t="s">
        <v>421</v>
      </c>
      <c r="AB69" s="359" t="s">
        <v>351</v>
      </c>
      <c r="AC69" s="204">
        <v>11.55</v>
      </c>
      <c r="AD69" s="204">
        <v>8.5123499999999996</v>
      </c>
      <c r="AE69" s="205">
        <v>9000</v>
      </c>
      <c r="AF69" s="206">
        <v>21</v>
      </c>
      <c r="AG69" s="210">
        <v>4.37</v>
      </c>
      <c r="AH69" s="208">
        <v>1</v>
      </c>
      <c r="AI69" s="340" t="s">
        <v>411</v>
      </c>
      <c r="AJ69" s="371" t="s">
        <v>412</v>
      </c>
      <c r="AK69" s="210">
        <v>7.09</v>
      </c>
      <c r="AL69" s="210">
        <v>23.77</v>
      </c>
      <c r="AM69" s="210" t="s">
        <v>88</v>
      </c>
      <c r="AN69" s="210" t="s">
        <v>91</v>
      </c>
      <c r="AO69" s="210">
        <v>4.2</v>
      </c>
      <c r="AP69" s="206">
        <v>78</v>
      </c>
      <c r="AQ69" s="374" t="s">
        <v>413</v>
      </c>
    </row>
    <row r="70" spans="1:43" x14ac:dyDescent="0.3">
      <c r="A70" s="1" t="s">
        <v>182</v>
      </c>
      <c r="B70" s="107" t="s">
        <v>90</v>
      </c>
      <c r="C70" s="107" t="s">
        <v>92</v>
      </c>
      <c r="D70">
        <v>4</v>
      </c>
      <c r="AA70" s="182" t="s">
        <v>422</v>
      </c>
      <c r="AB70" s="360"/>
      <c r="AC70" s="183">
        <v>15.31</v>
      </c>
      <c r="AD70" s="183">
        <v>11.283469999999999</v>
      </c>
      <c r="AE70" s="184">
        <v>8568</v>
      </c>
      <c r="AF70" s="185">
        <v>21</v>
      </c>
      <c r="AG70" s="236">
        <v>4.16</v>
      </c>
      <c r="AH70" s="174">
        <v>1</v>
      </c>
      <c r="AI70" s="341"/>
      <c r="AJ70" s="372"/>
      <c r="AK70" s="187">
        <v>10.64</v>
      </c>
      <c r="AL70" s="187">
        <v>35.659999999999997</v>
      </c>
      <c r="AM70" s="236" t="s">
        <v>88</v>
      </c>
      <c r="AN70" s="236" t="s">
        <v>92</v>
      </c>
      <c r="AO70" s="187">
        <v>4.2</v>
      </c>
      <c r="AP70" s="185">
        <v>84</v>
      </c>
      <c r="AQ70" s="375"/>
    </row>
    <row r="71" spans="1:43" x14ac:dyDescent="0.3">
      <c r="A71" s="1" t="s">
        <v>183</v>
      </c>
      <c r="B71" s="107" t="s">
        <v>90</v>
      </c>
      <c r="C71" s="107" t="s">
        <v>94</v>
      </c>
      <c r="D71">
        <v>4</v>
      </c>
      <c r="AA71" s="176" t="s">
        <v>423</v>
      </c>
      <c r="AB71" s="360"/>
      <c r="AC71" s="177">
        <v>23.09</v>
      </c>
      <c r="AD71" s="177">
        <v>17.017330000000001</v>
      </c>
      <c r="AE71" s="178">
        <v>18000</v>
      </c>
      <c r="AF71" s="179">
        <v>25</v>
      </c>
      <c r="AG71" s="238">
        <v>4.37</v>
      </c>
      <c r="AH71" s="174">
        <v>2</v>
      </c>
      <c r="AI71" s="367" t="s">
        <v>416</v>
      </c>
      <c r="AJ71" s="372"/>
      <c r="AK71" s="181">
        <v>13.76</v>
      </c>
      <c r="AL71" s="181">
        <v>47.55</v>
      </c>
      <c r="AM71" s="238" t="s">
        <v>88</v>
      </c>
      <c r="AN71" s="238" t="s">
        <v>92</v>
      </c>
      <c r="AO71" s="181">
        <v>8.4</v>
      </c>
      <c r="AP71" s="179">
        <v>130</v>
      </c>
      <c r="AQ71" s="375"/>
    </row>
    <row r="72" spans="1:43" x14ac:dyDescent="0.3">
      <c r="A72" s="1"/>
      <c r="B72" s="1"/>
      <c r="C72" s="1"/>
      <c r="AA72" s="176" t="s">
        <v>424</v>
      </c>
      <c r="AB72" s="360"/>
      <c r="AC72" s="177">
        <v>30.75</v>
      </c>
      <c r="AD72" s="177">
        <v>22.662749999999999</v>
      </c>
      <c r="AE72" s="178">
        <v>17172</v>
      </c>
      <c r="AF72" s="179">
        <v>25</v>
      </c>
      <c r="AG72" s="238">
        <v>4.16</v>
      </c>
      <c r="AH72" s="174">
        <v>2</v>
      </c>
      <c r="AI72" s="368"/>
      <c r="AJ72" s="372"/>
      <c r="AK72" s="181">
        <v>20.64</v>
      </c>
      <c r="AL72" s="181">
        <v>71.319999999999993</v>
      </c>
      <c r="AM72" s="238" t="s">
        <v>90</v>
      </c>
      <c r="AN72" s="238" t="s">
        <v>93</v>
      </c>
      <c r="AO72" s="181">
        <v>8.4</v>
      </c>
      <c r="AP72" s="179">
        <v>143</v>
      </c>
      <c r="AQ72" s="375"/>
    </row>
    <row r="73" spans="1:43" x14ac:dyDescent="0.3">
      <c r="A73" s="1" t="s">
        <v>184</v>
      </c>
      <c r="B73" s="107" t="s">
        <v>86</v>
      </c>
      <c r="C73" s="107" t="s">
        <v>88</v>
      </c>
      <c r="D73">
        <v>2</v>
      </c>
      <c r="AA73" s="182" t="s">
        <v>425</v>
      </c>
      <c r="AB73" s="360"/>
      <c r="AC73" s="183">
        <v>33.299999999999997</v>
      </c>
      <c r="AD73" s="183">
        <v>24.542099999999998</v>
      </c>
      <c r="AE73" s="184">
        <v>26748</v>
      </c>
      <c r="AF73" s="185">
        <v>27</v>
      </c>
      <c r="AG73" s="236">
        <v>4.5999999999999996</v>
      </c>
      <c r="AH73" s="174">
        <v>3</v>
      </c>
      <c r="AI73" s="369" t="s">
        <v>419</v>
      </c>
      <c r="AJ73" s="372"/>
      <c r="AK73" s="187">
        <v>19.23</v>
      </c>
      <c r="AL73" s="187">
        <v>67.02</v>
      </c>
      <c r="AM73" s="236" t="s">
        <v>90</v>
      </c>
      <c r="AN73" s="236" t="s">
        <v>93</v>
      </c>
      <c r="AO73" s="187">
        <v>12.6</v>
      </c>
      <c r="AP73" s="185">
        <v>178</v>
      </c>
      <c r="AQ73" s="375"/>
    </row>
    <row r="74" spans="1:43" ht="15" thickBot="1" x14ac:dyDescent="0.35">
      <c r="A74" s="1" t="s">
        <v>185</v>
      </c>
      <c r="B74" s="107" t="s">
        <v>86</v>
      </c>
      <c r="C74" s="107" t="s">
        <v>90</v>
      </c>
      <c r="D74">
        <v>2</v>
      </c>
      <c r="AA74" s="211" t="s">
        <v>426</v>
      </c>
      <c r="AB74" s="361"/>
      <c r="AC74" s="212">
        <v>44.31</v>
      </c>
      <c r="AD74" s="212">
        <v>32.656469999999999</v>
      </c>
      <c r="AE74" s="213">
        <v>25380</v>
      </c>
      <c r="AF74" s="214">
        <v>27</v>
      </c>
      <c r="AG74" s="244">
        <v>4.3600000000000003</v>
      </c>
      <c r="AH74" s="174">
        <v>3</v>
      </c>
      <c r="AI74" s="377"/>
      <c r="AJ74" s="373"/>
      <c r="AK74" s="216">
        <v>28.84</v>
      </c>
      <c r="AL74" s="216">
        <v>100.54</v>
      </c>
      <c r="AM74" s="244" t="s">
        <v>91</v>
      </c>
      <c r="AN74" s="244" t="s">
        <v>94</v>
      </c>
      <c r="AO74" s="216">
        <v>12.6</v>
      </c>
      <c r="AP74" s="214">
        <v>196</v>
      </c>
      <c r="AQ74" s="376"/>
    </row>
    <row r="75" spans="1:43" x14ac:dyDescent="0.3">
      <c r="A75" s="1" t="s">
        <v>186</v>
      </c>
      <c r="B75" s="107" t="s">
        <v>86</v>
      </c>
      <c r="C75" s="107" t="s">
        <v>88</v>
      </c>
      <c r="D75">
        <v>2</v>
      </c>
      <c r="AA75" s="200"/>
      <c r="AB75" s="174"/>
      <c r="AC75" s="174"/>
      <c r="AD75" s="174"/>
      <c r="AE75" s="174"/>
      <c r="AF75" s="201"/>
      <c r="AG75" s="202"/>
      <c r="AH75" s="174"/>
      <c r="AI75" s="174"/>
      <c r="AJ75" s="174"/>
      <c r="AK75" s="202"/>
      <c r="AL75" s="202"/>
      <c r="AM75" s="202"/>
      <c r="AN75" s="202"/>
      <c r="AO75" s="202"/>
      <c r="AP75" s="201"/>
      <c r="AQ75" s="174"/>
    </row>
    <row r="76" spans="1:43" ht="15" thickBot="1" x14ac:dyDescent="0.35">
      <c r="A76" s="1" t="s">
        <v>187</v>
      </c>
      <c r="B76" s="107" t="s">
        <v>86</v>
      </c>
      <c r="C76" s="107" t="s">
        <v>90</v>
      </c>
      <c r="D76">
        <v>2</v>
      </c>
      <c r="AA76" s="200"/>
      <c r="AB76" s="174"/>
      <c r="AC76" s="174"/>
      <c r="AD76" s="174"/>
      <c r="AE76" s="174"/>
      <c r="AF76" s="201"/>
      <c r="AG76" s="202"/>
      <c r="AH76" s="174"/>
      <c r="AI76" s="174"/>
      <c r="AJ76" s="174"/>
      <c r="AK76" s="202"/>
      <c r="AL76" s="202"/>
      <c r="AM76" s="202"/>
      <c r="AN76" s="202"/>
      <c r="AO76" s="202"/>
      <c r="AP76" s="201"/>
      <c r="AQ76" s="245"/>
    </row>
    <row r="77" spans="1:43" ht="15" customHeight="1" x14ac:dyDescent="0.3">
      <c r="A77" s="1"/>
      <c r="B77" s="1"/>
      <c r="C77" s="1"/>
      <c r="AA77" s="169" t="s">
        <v>427</v>
      </c>
      <c r="AB77" s="345" t="s">
        <v>323</v>
      </c>
      <c r="AC77" s="170">
        <v>12.16</v>
      </c>
      <c r="AD77" s="170">
        <v>8.9619199999999992</v>
      </c>
      <c r="AE77" s="171">
        <v>7164</v>
      </c>
      <c r="AF77" s="172">
        <v>15</v>
      </c>
      <c r="AG77" s="242">
        <v>3.48</v>
      </c>
      <c r="AH77" s="174">
        <v>1</v>
      </c>
      <c r="AI77" s="378" t="s">
        <v>411</v>
      </c>
      <c r="AJ77" s="379" t="s">
        <v>428</v>
      </c>
      <c r="AK77" s="175">
        <v>7.09</v>
      </c>
      <c r="AL77" s="175">
        <v>34.9</v>
      </c>
      <c r="AM77" s="242" t="s">
        <v>88</v>
      </c>
      <c r="AN77" s="242" t="s">
        <v>91</v>
      </c>
      <c r="AO77" s="175">
        <v>4.2</v>
      </c>
      <c r="AP77" s="243">
        <v>79</v>
      </c>
      <c r="AQ77" s="374" t="s">
        <v>413</v>
      </c>
    </row>
    <row r="78" spans="1:43" x14ac:dyDescent="0.3">
      <c r="A78" s="1" t="s">
        <v>188</v>
      </c>
      <c r="B78" s="107" t="s">
        <v>86</v>
      </c>
      <c r="C78" s="107" t="s">
        <v>90</v>
      </c>
      <c r="D78">
        <v>3</v>
      </c>
      <c r="AA78" s="176" t="s">
        <v>429</v>
      </c>
      <c r="AB78" s="346"/>
      <c r="AC78" s="177">
        <v>15.25</v>
      </c>
      <c r="AD78" s="177">
        <v>11.23925</v>
      </c>
      <c r="AE78" s="178">
        <v>6660</v>
      </c>
      <c r="AF78" s="179">
        <v>15</v>
      </c>
      <c r="AG78" s="238">
        <v>3.23</v>
      </c>
      <c r="AH78" s="174">
        <v>1</v>
      </c>
      <c r="AI78" s="368"/>
      <c r="AJ78" s="380"/>
      <c r="AK78" s="181">
        <v>10.64</v>
      </c>
      <c r="AL78" s="181">
        <v>51.74</v>
      </c>
      <c r="AM78" s="238" t="s">
        <v>88</v>
      </c>
      <c r="AN78" s="238" t="s">
        <v>92</v>
      </c>
      <c r="AO78" s="181">
        <v>4.2</v>
      </c>
      <c r="AP78" s="239">
        <v>86</v>
      </c>
      <c r="AQ78" s="375"/>
    </row>
    <row r="79" spans="1:43" x14ac:dyDescent="0.3">
      <c r="A79" s="1" t="s">
        <v>189</v>
      </c>
      <c r="B79" s="107" t="s">
        <v>86</v>
      </c>
      <c r="C79" s="107" t="s">
        <v>90</v>
      </c>
      <c r="D79">
        <v>3</v>
      </c>
      <c r="AA79" s="182" t="s">
        <v>430</v>
      </c>
      <c r="AB79" s="346"/>
      <c r="AC79" s="183">
        <v>24.32</v>
      </c>
      <c r="AD79" s="183">
        <v>17.923839999999998</v>
      </c>
      <c r="AE79" s="184">
        <v>14364</v>
      </c>
      <c r="AF79" s="185">
        <v>19</v>
      </c>
      <c r="AG79" s="236">
        <v>3.48</v>
      </c>
      <c r="AH79" s="174">
        <v>2</v>
      </c>
      <c r="AI79" s="369" t="s">
        <v>416</v>
      </c>
      <c r="AJ79" s="380"/>
      <c r="AK79" s="187">
        <v>13.76</v>
      </c>
      <c r="AL79" s="187">
        <v>68.989999999999995</v>
      </c>
      <c r="AM79" s="236" t="s">
        <v>88</v>
      </c>
      <c r="AN79" s="236" t="s">
        <v>92</v>
      </c>
      <c r="AO79" s="187">
        <v>8.4</v>
      </c>
      <c r="AP79" s="237">
        <v>132</v>
      </c>
      <c r="AQ79" s="375"/>
    </row>
    <row r="80" spans="1:43" x14ac:dyDescent="0.3">
      <c r="A80" s="1" t="s">
        <v>190</v>
      </c>
      <c r="B80" s="107" t="s">
        <v>86</v>
      </c>
      <c r="C80" s="107" t="s">
        <v>90</v>
      </c>
      <c r="D80">
        <v>3</v>
      </c>
      <c r="AA80" s="182" t="s">
        <v>431</v>
      </c>
      <c r="AB80" s="346"/>
      <c r="AC80" s="183">
        <v>30.58</v>
      </c>
      <c r="AD80" s="183">
        <v>22.537459999999999</v>
      </c>
      <c r="AE80" s="184">
        <v>13356</v>
      </c>
      <c r="AF80" s="185">
        <v>19</v>
      </c>
      <c r="AG80" s="236">
        <v>3.23</v>
      </c>
      <c r="AH80" s="174">
        <v>2</v>
      </c>
      <c r="AI80" s="341"/>
      <c r="AJ80" s="380"/>
      <c r="AK80" s="187">
        <v>20.64</v>
      </c>
      <c r="AL80" s="187">
        <v>103.48</v>
      </c>
      <c r="AM80" s="236" t="s">
        <v>90</v>
      </c>
      <c r="AN80" s="236" t="s">
        <v>93</v>
      </c>
      <c r="AO80" s="187">
        <v>8.4</v>
      </c>
      <c r="AP80" s="237">
        <v>146</v>
      </c>
      <c r="AQ80" s="375"/>
    </row>
    <row r="81" spans="1:43" x14ac:dyDescent="0.3">
      <c r="A81" s="1" t="s">
        <v>191</v>
      </c>
      <c r="B81" s="107" t="s">
        <v>86</v>
      </c>
      <c r="C81" s="107" t="s">
        <v>90</v>
      </c>
      <c r="D81">
        <v>3</v>
      </c>
      <c r="AA81" s="176" t="s">
        <v>432</v>
      </c>
      <c r="AB81" s="346"/>
      <c r="AC81" s="177">
        <v>35.159999999999997</v>
      </c>
      <c r="AD81" s="177">
        <v>25.912919999999996</v>
      </c>
      <c r="AE81" s="178">
        <v>21204</v>
      </c>
      <c r="AF81" s="179">
        <v>22</v>
      </c>
      <c r="AG81" s="238">
        <v>3.65</v>
      </c>
      <c r="AH81" s="174">
        <v>3</v>
      </c>
      <c r="AI81" s="367" t="s">
        <v>419</v>
      </c>
      <c r="AJ81" s="380"/>
      <c r="AK81" s="181">
        <v>19.23</v>
      </c>
      <c r="AL81" s="181">
        <v>97.24</v>
      </c>
      <c r="AM81" s="238" t="s">
        <v>90</v>
      </c>
      <c r="AN81" s="238" t="s">
        <v>93</v>
      </c>
      <c r="AO81" s="181">
        <v>12.6</v>
      </c>
      <c r="AP81" s="239">
        <v>181</v>
      </c>
      <c r="AQ81" s="375"/>
    </row>
    <row r="82" spans="1:43" ht="15" thickBot="1" x14ac:dyDescent="0.35">
      <c r="A82" s="1"/>
      <c r="B82" s="1"/>
      <c r="C82" s="1"/>
      <c r="AA82" s="194" t="s">
        <v>433</v>
      </c>
      <c r="AB82" s="347"/>
      <c r="AC82" s="195">
        <v>44.2</v>
      </c>
      <c r="AD82" s="195">
        <v>32.575400000000002</v>
      </c>
      <c r="AE82" s="196">
        <v>19620</v>
      </c>
      <c r="AF82" s="197">
        <v>22</v>
      </c>
      <c r="AG82" s="240">
        <v>3.37</v>
      </c>
      <c r="AH82" s="174">
        <v>3</v>
      </c>
      <c r="AI82" s="370"/>
      <c r="AJ82" s="381"/>
      <c r="AK82" s="199">
        <v>28.84</v>
      </c>
      <c r="AL82" s="199">
        <v>145.86000000000001</v>
      </c>
      <c r="AM82" s="240" t="s">
        <v>91</v>
      </c>
      <c r="AN82" s="240" t="s">
        <v>94</v>
      </c>
      <c r="AO82" s="199">
        <v>12.6</v>
      </c>
      <c r="AP82" s="241">
        <v>200</v>
      </c>
      <c r="AQ82" s="376"/>
    </row>
    <row r="83" spans="1:43" x14ac:dyDescent="0.3">
      <c r="A83" s="1" t="s">
        <v>192</v>
      </c>
      <c r="B83" s="107" t="s">
        <v>86</v>
      </c>
      <c r="C83" s="107" t="s">
        <v>91</v>
      </c>
      <c r="D83">
        <v>4</v>
      </c>
      <c r="AA83" s="200"/>
      <c r="AB83" s="174"/>
      <c r="AC83" s="174"/>
      <c r="AD83" s="174"/>
      <c r="AE83" s="174"/>
      <c r="AF83" s="201"/>
      <c r="AG83" s="202"/>
      <c r="AH83" s="174"/>
      <c r="AI83" s="174"/>
      <c r="AJ83" s="174"/>
      <c r="AK83" s="202"/>
      <c r="AL83" s="202"/>
      <c r="AM83" s="202"/>
      <c r="AN83" s="202"/>
      <c r="AO83" s="202"/>
      <c r="AP83" s="201"/>
      <c r="AQ83" s="174"/>
    </row>
    <row r="84" spans="1:43" ht="15" thickBot="1" x14ac:dyDescent="0.35">
      <c r="A84" s="1" t="s">
        <v>122</v>
      </c>
      <c r="B84" s="107" t="s">
        <v>86</v>
      </c>
      <c r="C84" s="107" t="s">
        <v>91</v>
      </c>
      <c r="D84">
        <v>4</v>
      </c>
      <c r="AA84" s="200"/>
      <c r="AB84" s="174"/>
      <c r="AC84" s="174"/>
      <c r="AD84" s="174"/>
      <c r="AE84" s="174"/>
      <c r="AF84" s="201"/>
      <c r="AG84" s="202"/>
      <c r="AH84" s="174"/>
      <c r="AI84" s="174"/>
      <c r="AJ84" s="174"/>
      <c r="AK84" s="202"/>
      <c r="AL84" s="202"/>
      <c r="AM84" s="202"/>
      <c r="AN84" s="202"/>
      <c r="AO84" s="202"/>
      <c r="AP84" s="201"/>
      <c r="AQ84" s="174"/>
    </row>
    <row r="85" spans="1:43" ht="15" customHeight="1" x14ac:dyDescent="0.3">
      <c r="A85" s="1" t="s">
        <v>193</v>
      </c>
      <c r="B85" s="107" t="s">
        <v>86</v>
      </c>
      <c r="C85" s="107" t="s">
        <v>91</v>
      </c>
      <c r="D85">
        <v>4</v>
      </c>
      <c r="AA85" s="203" t="s">
        <v>434</v>
      </c>
      <c r="AB85" s="359" t="s">
        <v>351</v>
      </c>
      <c r="AC85" s="204">
        <v>10.63</v>
      </c>
      <c r="AD85" s="204">
        <v>7.8343100000000003</v>
      </c>
      <c r="AE85" s="205">
        <v>7416</v>
      </c>
      <c r="AF85" s="206">
        <v>16</v>
      </c>
      <c r="AG85" s="234">
        <v>3.6</v>
      </c>
      <c r="AH85" s="208">
        <v>1</v>
      </c>
      <c r="AI85" s="340" t="s">
        <v>411</v>
      </c>
      <c r="AJ85" s="379" t="s">
        <v>428</v>
      </c>
      <c r="AK85" s="210">
        <v>7.09</v>
      </c>
      <c r="AL85" s="210">
        <v>23.77</v>
      </c>
      <c r="AM85" s="234" t="s">
        <v>88</v>
      </c>
      <c r="AN85" s="234" t="s">
        <v>91</v>
      </c>
      <c r="AO85" s="210">
        <v>4.2</v>
      </c>
      <c r="AP85" s="206">
        <v>78</v>
      </c>
      <c r="AQ85" s="374" t="s">
        <v>413</v>
      </c>
    </row>
    <row r="86" spans="1:43" x14ac:dyDescent="0.3">
      <c r="A86" s="1" t="s">
        <v>194</v>
      </c>
      <c r="B86" s="107" t="s">
        <v>86</v>
      </c>
      <c r="C86" s="107" t="s">
        <v>91</v>
      </c>
      <c r="D86">
        <v>4</v>
      </c>
      <c r="AA86" s="182" t="s">
        <v>435</v>
      </c>
      <c r="AB86" s="360"/>
      <c r="AC86" s="183">
        <v>13.9</v>
      </c>
      <c r="AD86" s="183">
        <v>10.244300000000001</v>
      </c>
      <c r="AE86" s="184">
        <v>7020</v>
      </c>
      <c r="AF86" s="185">
        <v>16</v>
      </c>
      <c r="AG86" s="236">
        <v>3.41</v>
      </c>
      <c r="AH86" s="174">
        <v>1</v>
      </c>
      <c r="AI86" s="341"/>
      <c r="AJ86" s="380"/>
      <c r="AK86" s="187">
        <v>10.64</v>
      </c>
      <c r="AL86" s="187">
        <v>35.659999999999997</v>
      </c>
      <c r="AM86" s="236" t="s">
        <v>88</v>
      </c>
      <c r="AN86" s="236" t="s">
        <v>92</v>
      </c>
      <c r="AO86" s="187">
        <v>4.2</v>
      </c>
      <c r="AP86" s="185">
        <v>84</v>
      </c>
      <c r="AQ86" s="375"/>
    </row>
    <row r="87" spans="1:43" x14ac:dyDescent="0.3">
      <c r="A87" s="1"/>
      <c r="B87" s="1"/>
      <c r="C87" s="1"/>
      <c r="AA87" s="176" t="s">
        <v>436</v>
      </c>
      <c r="AB87" s="360"/>
      <c r="AC87" s="177">
        <v>21.47</v>
      </c>
      <c r="AD87" s="177">
        <v>15.823389999999998</v>
      </c>
      <c r="AE87" s="178">
        <v>14868</v>
      </c>
      <c r="AF87" s="179">
        <v>20</v>
      </c>
      <c r="AG87" s="238">
        <v>3.6</v>
      </c>
      <c r="AH87" s="174">
        <v>2</v>
      </c>
      <c r="AI87" s="367" t="s">
        <v>416</v>
      </c>
      <c r="AJ87" s="380"/>
      <c r="AK87" s="181">
        <v>13.76</v>
      </c>
      <c r="AL87" s="181">
        <v>47.55</v>
      </c>
      <c r="AM87" s="238" t="s">
        <v>88</v>
      </c>
      <c r="AN87" s="238" t="s">
        <v>92</v>
      </c>
      <c r="AO87" s="181">
        <v>8.4</v>
      </c>
      <c r="AP87" s="179">
        <v>130</v>
      </c>
      <c r="AQ87" s="375"/>
    </row>
    <row r="88" spans="1:43" x14ac:dyDescent="0.3">
      <c r="A88" s="1" t="s">
        <v>195</v>
      </c>
      <c r="B88" s="107" t="s">
        <v>86</v>
      </c>
      <c r="C88" s="107" t="s">
        <v>91</v>
      </c>
      <c r="D88">
        <v>5</v>
      </c>
      <c r="AA88" s="176" t="s">
        <v>437</v>
      </c>
      <c r="AB88" s="360"/>
      <c r="AC88" s="177">
        <v>27.89</v>
      </c>
      <c r="AD88" s="177">
        <v>20.554929999999999</v>
      </c>
      <c r="AE88" s="178">
        <v>14076</v>
      </c>
      <c r="AF88" s="179">
        <v>20</v>
      </c>
      <c r="AG88" s="238">
        <v>3.41</v>
      </c>
      <c r="AH88" s="174">
        <v>2</v>
      </c>
      <c r="AI88" s="368"/>
      <c r="AJ88" s="380"/>
      <c r="AK88" s="181">
        <v>20.64</v>
      </c>
      <c r="AL88" s="181">
        <v>71.319999999999993</v>
      </c>
      <c r="AM88" s="238" t="s">
        <v>90</v>
      </c>
      <c r="AN88" s="238" t="s">
        <v>93</v>
      </c>
      <c r="AO88" s="181">
        <v>8.4</v>
      </c>
      <c r="AP88" s="179">
        <v>143</v>
      </c>
      <c r="AQ88" s="375"/>
    </row>
    <row r="89" spans="1:43" x14ac:dyDescent="0.3">
      <c r="A89" s="1" t="s">
        <v>196</v>
      </c>
      <c r="B89" s="107" t="s">
        <v>88</v>
      </c>
      <c r="C89" s="107" t="s">
        <v>91</v>
      </c>
      <c r="D89">
        <v>5</v>
      </c>
      <c r="AA89" s="182" t="s">
        <v>438</v>
      </c>
      <c r="AB89" s="360"/>
      <c r="AC89" s="183">
        <v>30.86</v>
      </c>
      <c r="AD89" s="183">
        <v>22.743819999999999</v>
      </c>
      <c r="AE89" s="184">
        <v>22032</v>
      </c>
      <c r="AF89" s="185">
        <v>22</v>
      </c>
      <c r="AG89" s="236">
        <v>3.79</v>
      </c>
      <c r="AH89" s="174">
        <v>3</v>
      </c>
      <c r="AI89" s="369" t="s">
        <v>419</v>
      </c>
      <c r="AJ89" s="380"/>
      <c r="AK89" s="187">
        <v>19.23</v>
      </c>
      <c r="AL89" s="187">
        <v>67.02</v>
      </c>
      <c r="AM89" s="236" t="s">
        <v>90</v>
      </c>
      <c r="AN89" s="236" t="s">
        <v>93</v>
      </c>
      <c r="AO89" s="187">
        <v>12.6</v>
      </c>
      <c r="AP89" s="185">
        <v>178</v>
      </c>
      <c r="AQ89" s="375"/>
    </row>
    <row r="90" spans="1:43" ht="15" thickBot="1" x14ac:dyDescent="0.35">
      <c r="A90" s="1" t="s">
        <v>197</v>
      </c>
      <c r="B90" s="107" t="s">
        <v>86</v>
      </c>
      <c r="C90" s="107" t="s">
        <v>91</v>
      </c>
      <c r="D90">
        <v>5</v>
      </c>
      <c r="AA90" s="211" t="s">
        <v>439</v>
      </c>
      <c r="AB90" s="361"/>
      <c r="AC90" s="212">
        <v>40.35</v>
      </c>
      <c r="AD90" s="212">
        <v>29.737950000000001</v>
      </c>
      <c r="AE90" s="213">
        <v>20736</v>
      </c>
      <c r="AF90" s="214">
        <v>22</v>
      </c>
      <c r="AG90" s="244">
        <v>3.57</v>
      </c>
      <c r="AH90" s="174">
        <v>3</v>
      </c>
      <c r="AI90" s="377"/>
      <c r="AJ90" s="381"/>
      <c r="AK90" s="216">
        <v>28.84</v>
      </c>
      <c r="AL90" s="216">
        <v>100.54</v>
      </c>
      <c r="AM90" s="244" t="s">
        <v>91</v>
      </c>
      <c r="AN90" s="244" t="s">
        <v>94</v>
      </c>
      <c r="AO90" s="216">
        <v>12.6</v>
      </c>
      <c r="AP90" s="214">
        <v>196</v>
      </c>
      <c r="AQ90" s="376"/>
    </row>
    <row r="91" spans="1:43" ht="15" customHeight="1" x14ac:dyDescent="0.3">
      <c r="A91" s="1" t="s">
        <v>198</v>
      </c>
      <c r="B91" s="107" t="s">
        <v>88</v>
      </c>
      <c r="C91" s="107" t="s">
        <v>91</v>
      </c>
      <c r="D91">
        <v>5</v>
      </c>
    </row>
    <row r="92" spans="1:43" x14ac:dyDescent="0.3">
      <c r="A92" s="1"/>
      <c r="B92" s="1"/>
      <c r="C92" s="1"/>
    </row>
    <row r="93" spans="1:43" x14ac:dyDescent="0.3">
      <c r="A93" s="1"/>
      <c r="B93" s="1"/>
      <c r="C93" s="1"/>
    </row>
    <row r="94" spans="1:43" x14ac:dyDescent="0.3">
      <c r="A94" s="1"/>
      <c r="B94" s="1"/>
      <c r="C94" s="1"/>
    </row>
    <row r="95" spans="1:43" x14ac:dyDescent="0.3">
      <c r="A95" s="1"/>
      <c r="B95" s="1"/>
      <c r="C95" s="1"/>
    </row>
    <row r="96" spans="1:43" x14ac:dyDescent="0.3">
      <c r="A96" s="1"/>
      <c r="B96" s="1"/>
      <c r="C96" s="1"/>
    </row>
    <row r="97" spans="1:4" x14ac:dyDescent="0.3">
      <c r="A97" s="1"/>
      <c r="B97" s="1"/>
      <c r="C97" s="1"/>
    </row>
    <row r="98" spans="1:4" ht="15" customHeight="1" x14ac:dyDescent="0.3">
      <c r="A98" s="1"/>
      <c r="B98" s="1"/>
      <c r="C98" s="1"/>
    </row>
    <row r="99" spans="1:4" x14ac:dyDescent="0.3">
      <c r="A99" s="1"/>
      <c r="B99" s="1"/>
      <c r="C99" s="1"/>
    </row>
    <row r="100" spans="1:4" x14ac:dyDescent="0.3">
      <c r="A100" s="1" t="s">
        <v>203</v>
      </c>
      <c r="B100" s="107" t="s">
        <v>86</v>
      </c>
      <c r="C100" s="107" t="s">
        <v>88</v>
      </c>
      <c r="D100">
        <v>2</v>
      </c>
    </row>
    <row r="101" spans="1:4" x14ac:dyDescent="0.3">
      <c r="A101" s="1" t="s">
        <v>204</v>
      </c>
      <c r="B101" s="107" t="s">
        <v>86</v>
      </c>
      <c r="C101" s="107" t="s">
        <v>90</v>
      </c>
      <c r="D101">
        <v>2</v>
      </c>
    </row>
    <row r="102" spans="1:4" x14ac:dyDescent="0.3">
      <c r="A102" s="1" t="s">
        <v>205</v>
      </c>
      <c r="B102" s="107" t="s">
        <v>86</v>
      </c>
      <c r="C102" s="107" t="s">
        <v>90</v>
      </c>
      <c r="D102">
        <v>2</v>
      </c>
    </row>
    <row r="103" spans="1:4" x14ac:dyDescent="0.3">
      <c r="A103" s="1" t="s">
        <v>206</v>
      </c>
      <c r="B103" s="107" t="s">
        <v>86</v>
      </c>
      <c r="C103" s="107" t="s">
        <v>88</v>
      </c>
      <c r="D103">
        <v>2</v>
      </c>
    </row>
    <row r="104" spans="1:4" x14ac:dyDescent="0.3">
      <c r="A104" s="1" t="s">
        <v>207</v>
      </c>
      <c r="B104" s="107" t="s">
        <v>86</v>
      </c>
      <c r="C104" s="107" t="s">
        <v>90</v>
      </c>
      <c r="D104">
        <v>2</v>
      </c>
    </row>
    <row r="105" spans="1:4" ht="15" customHeight="1" x14ac:dyDescent="0.3">
      <c r="A105" s="1" t="s">
        <v>208</v>
      </c>
      <c r="B105" s="107" t="s">
        <v>86</v>
      </c>
      <c r="C105" s="107" t="s">
        <v>90</v>
      </c>
      <c r="D105">
        <v>2</v>
      </c>
    </row>
    <row r="106" spans="1:4" x14ac:dyDescent="0.3">
      <c r="A106" s="1"/>
      <c r="B106" s="1"/>
      <c r="C106" s="1"/>
    </row>
    <row r="107" spans="1:4" x14ac:dyDescent="0.3">
      <c r="A107" s="1" t="s">
        <v>118</v>
      </c>
      <c r="B107" s="107" t="s">
        <v>86</v>
      </c>
      <c r="C107" s="107" t="s">
        <v>90</v>
      </c>
      <c r="D107">
        <v>3</v>
      </c>
    </row>
    <row r="108" spans="1:4" x14ac:dyDescent="0.3">
      <c r="A108" s="1" t="s">
        <v>209</v>
      </c>
      <c r="B108" s="107" t="s">
        <v>86</v>
      </c>
      <c r="C108" s="107" t="s">
        <v>90</v>
      </c>
      <c r="D108">
        <v>3</v>
      </c>
    </row>
    <row r="109" spans="1:4" x14ac:dyDescent="0.3">
      <c r="A109" s="1" t="s">
        <v>121</v>
      </c>
      <c r="B109" s="107" t="s">
        <v>86</v>
      </c>
      <c r="C109" s="107" t="s">
        <v>90</v>
      </c>
      <c r="D109">
        <v>3</v>
      </c>
    </row>
    <row r="110" spans="1:4" x14ac:dyDescent="0.3">
      <c r="A110" s="1" t="s">
        <v>199</v>
      </c>
      <c r="B110" s="107" t="s">
        <v>86</v>
      </c>
      <c r="C110" s="107" t="s">
        <v>90</v>
      </c>
      <c r="D110">
        <v>3</v>
      </c>
    </row>
    <row r="111" spans="1:4" x14ac:dyDescent="0.3">
      <c r="A111" s="1" t="s">
        <v>10</v>
      </c>
      <c r="B111" s="107" t="s">
        <v>86</v>
      </c>
      <c r="C111" s="107" t="s">
        <v>90</v>
      </c>
      <c r="D111">
        <v>3</v>
      </c>
    </row>
    <row r="112" spans="1:4" ht="15" customHeight="1" x14ac:dyDescent="0.3">
      <c r="A112" s="1" t="s">
        <v>210</v>
      </c>
      <c r="B112" s="107" t="s">
        <v>86</v>
      </c>
      <c r="C112" s="107" t="s">
        <v>90</v>
      </c>
      <c r="D112">
        <v>3</v>
      </c>
    </row>
    <row r="113" spans="1:4" x14ac:dyDescent="0.3">
      <c r="A113" s="1"/>
      <c r="B113" s="1"/>
      <c r="C113" s="1"/>
    </row>
    <row r="114" spans="1:4" x14ac:dyDescent="0.3">
      <c r="A114" s="1" t="s">
        <v>126</v>
      </c>
      <c r="B114" s="107" t="s">
        <v>86</v>
      </c>
      <c r="C114" s="107" t="s">
        <v>91</v>
      </c>
      <c r="D114">
        <v>4</v>
      </c>
    </row>
    <row r="115" spans="1:4" x14ac:dyDescent="0.3">
      <c r="A115" s="1" t="s">
        <v>211</v>
      </c>
      <c r="B115" s="107" t="s">
        <v>86</v>
      </c>
      <c r="C115" s="107" t="s">
        <v>91</v>
      </c>
      <c r="D115">
        <v>4</v>
      </c>
    </row>
    <row r="116" spans="1:4" x14ac:dyDescent="0.3">
      <c r="A116" s="1" t="s">
        <v>212</v>
      </c>
      <c r="B116" s="107" t="s">
        <v>86</v>
      </c>
      <c r="C116" s="107" t="s">
        <v>91</v>
      </c>
      <c r="D116">
        <v>4</v>
      </c>
    </row>
    <row r="117" spans="1:4" x14ac:dyDescent="0.3">
      <c r="A117" s="1" t="s">
        <v>200</v>
      </c>
      <c r="B117" s="107" t="s">
        <v>86</v>
      </c>
      <c r="C117" s="107" t="s">
        <v>91</v>
      </c>
      <c r="D117">
        <v>4</v>
      </c>
    </row>
    <row r="118" spans="1:4" x14ac:dyDescent="0.3">
      <c r="A118" s="1" t="s">
        <v>79</v>
      </c>
      <c r="B118" s="107" t="s">
        <v>86</v>
      </c>
      <c r="C118" s="107" t="s">
        <v>91</v>
      </c>
      <c r="D118">
        <v>4</v>
      </c>
    </row>
    <row r="119" spans="1:4" x14ac:dyDescent="0.3">
      <c r="A119" s="1" t="s">
        <v>213</v>
      </c>
      <c r="B119" s="107" t="s">
        <v>86</v>
      </c>
      <c r="C119" s="107" t="s">
        <v>91</v>
      </c>
      <c r="D119">
        <v>4</v>
      </c>
    </row>
    <row r="120" spans="1:4" x14ac:dyDescent="0.3">
      <c r="A120" s="1"/>
      <c r="B120" s="1"/>
      <c r="C120" s="1"/>
    </row>
    <row r="121" spans="1:4" x14ac:dyDescent="0.3">
      <c r="A121" s="1" t="s">
        <v>214</v>
      </c>
      <c r="B121" s="107" t="s">
        <v>86</v>
      </c>
      <c r="C121" s="107" t="s">
        <v>91</v>
      </c>
      <c r="D121">
        <v>5</v>
      </c>
    </row>
    <row r="122" spans="1:4" x14ac:dyDescent="0.3">
      <c r="A122" s="1" t="s">
        <v>215</v>
      </c>
      <c r="B122" s="107" t="s">
        <v>88</v>
      </c>
      <c r="C122" s="107" t="s">
        <v>91</v>
      </c>
      <c r="D122">
        <v>5</v>
      </c>
    </row>
    <row r="123" spans="1:4" x14ac:dyDescent="0.3">
      <c r="A123" s="1" t="s">
        <v>216</v>
      </c>
      <c r="B123" s="107" t="s">
        <v>88</v>
      </c>
      <c r="C123" s="107" t="s">
        <v>91</v>
      </c>
      <c r="D123">
        <v>5</v>
      </c>
    </row>
    <row r="124" spans="1:4" x14ac:dyDescent="0.3">
      <c r="A124" s="1" t="s">
        <v>217</v>
      </c>
      <c r="B124" s="107" t="s">
        <v>86</v>
      </c>
      <c r="C124" s="107" t="s">
        <v>91</v>
      </c>
      <c r="D124">
        <v>5</v>
      </c>
    </row>
    <row r="125" spans="1:4" x14ac:dyDescent="0.3">
      <c r="A125" s="1" t="s">
        <v>218</v>
      </c>
      <c r="B125" s="107" t="s">
        <v>88</v>
      </c>
      <c r="C125" s="107" t="s">
        <v>91</v>
      </c>
      <c r="D125">
        <v>5</v>
      </c>
    </row>
    <row r="126" spans="1:4" x14ac:dyDescent="0.3">
      <c r="A126" s="1" t="s">
        <v>219</v>
      </c>
      <c r="B126" s="107" t="s">
        <v>88</v>
      </c>
      <c r="C126" s="107" t="s">
        <v>91</v>
      </c>
      <c r="D126">
        <v>5</v>
      </c>
    </row>
    <row r="127" spans="1:4" x14ac:dyDescent="0.3">
      <c r="A127" s="1"/>
      <c r="B127" s="1"/>
      <c r="C127" s="1"/>
    </row>
    <row r="128" spans="1:4" x14ac:dyDescent="0.3">
      <c r="A128" s="1" t="s">
        <v>220</v>
      </c>
      <c r="B128" s="107" t="s">
        <v>88</v>
      </c>
      <c r="C128" s="107" t="s">
        <v>91</v>
      </c>
      <c r="D128">
        <v>6</v>
      </c>
    </row>
    <row r="129" spans="1:4" x14ac:dyDescent="0.3">
      <c r="A129" s="1" t="s">
        <v>221</v>
      </c>
      <c r="B129" s="107" t="s">
        <v>88</v>
      </c>
      <c r="C129" s="107" t="s">
        <v>91</v>
      </c>
      <c r="D129">
        <v>6</v>
      </c>
    </row>
    <row r="130" spans="1:4" x14ac:dyDescent="0.3">
      <c r="A130" s="1" t="s">
        <v>222</v>
      </c>
      <c r="B130" s="107" t="s">
        <v>88</v>
      </c>
      <c r="C130" s="107" t="s">
        <v>92</v>
      </c>
      <c r="D130">
        <v>6</v>
      </c>
    </row>
    <row r="131" spans="1:4" x14ac:dyDescent="0.3">
      <c r="A131" s="1" t="s">
        <v>223</v>
      </c>
      <c r="B131" s="107" t="s">
        <v>88</v>
      </c>
      <c r="C131" s="107" t="s">
        <v>91</v>
      </c>
      <c r="D131">
        <v>6</v>
      </c>
    </row>
    <row r="132" spans="1:4" x14ac:dyDescent="0.3">
      <c r="A132" s="1" t="s">
        <v>224</v>
      </c>
      <c r="B132" s="107" t="s">
        <v>88</v>
      </c>
      <c r="C132" s="107" t="s">
        <v>91</v>
      </c>
      <c r="D132">
        <v>6</v>
      </c>
    </row>
    <row r="133" spans="1:4" x14ac:dyDescent="0.3">
      <c r="A133" s="1" t="s">
        <v>225</v>
      </c>
      <c r="B133" s="107" t="s">
        <v>88</v>
      </c>
      <c r="C133" s="107" t="s">
        <v>92</v>
      </c>
      <c r="D133">
        <v>6</v>
      </c>
    </row>
    <row r="134" spans="1:4" x14ac:dyDescent="0.3">
      <c r="A134" s="1"/>
      <c r="B134" s="1"/>
      <c r="C134" s="1"/>
    </row>
    <row r="135" spans="1:4" x14ac:dyDescent="0.3">
      <c r="A135" s="1"/>
      <c r="B135" s="1"/>
      <c r="C135" s="1"/>
    </row>
    <row r="136" spans="1:4" x14ac:dyDescent="0.3">
      <c r="A136" s="1" t="s">
        <v>117</v>
      </c>
      <c r="B136" s="107" t="s">
        <v>86</v>
      </c>
      <c r="C136" s="107" t="s">
        <v>90</v>
      </c>
      <c r="D136">
        <v>2</v>
      </c>
    </row>
    <row r="137" spans="1:4" x14ac:dyDescent="0.3">
      <c r="A137" s="1" t="s">
        <v>226</v>
      </c>
      <c r="B137" s="107" t="s">
        <v>86</v>
      </c>
      <c r="C137" s="107" t="s">
        <v>90</v>
      </c>
      <c r="D137">
        <v>2</v>
      </c>
    </row>
    <row r="138" spans="1:4" x14ac:dyDescent="0.3">
      <c r="A138" s="1" t="s">
        <v>227</v>
      </c>
      <c r="B138" s="107" t="s">
        <v>86</v>
      </c>
      <c r="C138" s="107" t="s">
        <v>90</v>
      </c>
      <c r="D138">
        <v>2</v>
      </c>
    </row>
    <row r="139" spans="1:4" x14ac:dyDescent="0.3">
      <c r="A139" s="1" t="s">
        <v>160</v>
      </c>
      <c r="B139" s="107" t="s">
        <v>86</v>
      </c>
      <c r="C139" s="107" t="s">
        <v>90</v>
      </c>
      <c r="D139">
        <v>2</v>
      </c>
    </row>
    <row r="140" spans="1:4" x14ac:dyDescent="0.3">
      <c r="A140" s="1"/>
      <c r="B140" s="1"/>
      <c r="C140" s="1"/>
    </row>
    <row r="141" spans="1:4" x14ac:dyDescent="0.3">
      <c r="A141" s="1" t="s">
        <v>228</v>
      </c>
      <c r="B141" s="107" t="s">
        <v>86</v>
      </c>
      <c r="C141" s="107" t="s">
        <v>91</v>
      </c>
      <c r="D141">
        <v>3</v>
      </c>
    </row>
    <row r="142" spans="1:4" x14ac:dyDescent="0.3">
      <c r="A142" s="1" t="s">
        <v>77</v>
      </c>
      <c r="B142" s="107" t="s">
        <v>86</v>
      </c>
      <c r="C142" s="107" t="s">
        <v>91</v>
      </c>
      <c r="D142">
        <v>3</v>
      </c>
    </row>
    <row r="143" spans="1:4" x14ac:dyDescent="0.3">
      <c r="A143" s="1" t="s">
        <v>201</v>
      </c>
      <c r="B143" s="107" t="s">
        <v>86</v>
      </c>
      <c r="C143" s="107" t="s">
        <v>91</v>
      </c>
      <c r="D143">
        <v>3</v>
      </c>
    </row>
    <row r="144" spans="1:4" x14ac:dyDescent="0.3">
      <c r="A144" s="1" t="s">
        <v>123</v>
      </c>
      <c r="B144" s="107" t="s">
        <v>86</v>
      </c>
      <c r="C144" s="107" t="s">
        <v>91</v>
      </c>
      <c r="D144">
        <v>3</v>
      </c>
    </row>
    <row r="145" spans="1:4" x14ac:dyDescent="0.3">
      <c r="A145" s="1"/>
      <c r="B145" s="1"/>
      <c r="C145" s="1"/>
    </row>
    <row r="146" spans="1:4" x14ac:dyDescent="0.3">
      <c r="A146" s="1" t="s">
        <v>129</v>
      </c>
      <c r="B146" s="107" t="s">
        <v>88</v>
      </c>
      <c r="C146" s="107" t="s">
        <v>91</v>
      </c>
      <c r="D146">
        <v>4</v>
      </c>
    </row>
    <row r="147" spans="1:4" x14ac:dyDescent="0.3">
      <c r="A147" s="1" t="s">
        <v>229</v>
      </c>
      <c r="B147" s="107" t="s">
        <v>88</v>
      </c>
      <c r="C147" s="107" t="s">
        <v>91</v>
      </c>
      <c r="D147">
        <v>4</v>
      </c>
    </row>
    <row r="148" spans="1:4" x14ac:dyDescent="0.3">
      <c r="A148" s="1" t="s">
        <v>202</v>
      </c>
      <c r="B148" s="107" t="s">
        <v>88</v>
      </c>
      <c r="C148" s="107" t="s">
        <v>91</v>
      </c>
      <c r="D148">
        <v>4</v>
      </c>
    </row>
    <row r="149" spans="1:4" x14ac:dyDescent="0.3">
      <c r="A149" s="1" t="s">
        <v>230</v>
      </c>
      <c r="B149" s="107" t="s">
        <v>88</v>
      </c>
      <c r="C149" s="107" t="s">
        <v>91</v>
      </c>
      <c r="D149">
        <v>4</v>
      </c>
    </row>
    <row r="150" spans="1:4" x14ac:dyDescent="0.3">
      <c r="A150" s="1"/>
      <c r="B150" s="1"/>
      <c r="C150" s="1"/>
    </row>
    <row r="151" spans="1:4" x14ac:dyDescent="0.3">
      <c r="A151" s="1" t="s">
        <v>231</v>
      </c>
      <c r="B151" s="107" t="s">
        <v>88</v>
      </c>
      <c r="C151" s="107" t="s">
        <v>92</v>
      </c>
      <c r="D151">
        <v>5</v>
      </c>
    </row>
    <row r="152" spans="1:4" x14ac:dyDescent="0.3">
      <c r="A152" s="1" t="s">
        <v>130</v>
      </c>
      <c r="B152" s="107" t="s">
        <v>88</v>
      </c>
      <c r="C152" s="107" t="s">
        <v>92</v>
      </c>
      <c r="D152">
        <v>5</v>
      </c>
    </row>
    <row r="153" spans="1:4" x14ac:dyDescent="0.3">
      <c r="A153" s="1" t="s">
        <v>232</v>
      </c>
      <c r="B153" s="107" t="s">
        <v>88</v>
      </c>
      <c r="C153" s="107" t="s">
        <v>92</v>
      </c>
      <c r="D153">
        <v>5</v>
      </c>
    </row>
    <row r="154" spans="1:4" x14ac:dyDescent="0.3">
      <c r="A154" s="1" t="s">
        <v>233</v>
      </c>
      <c r="B154" s="107" t="s">
        <v>88</v>
      </c>
      <c r="C154" s="107" t="s">
        <v>92</v>
      </c>
      <c r="D154">
        <v>5</v>
      </c>
    </row>
    <row r="155" spans="1:4" x14ac:dyDescent="0.3">
      <c r="A155" s="1"/>
      <c r="B155" s="1"/>
      <c r="C155" s="1"/>
    </row>
    <row r="156" spans="1:4" x14ac:dyDescent="0.3">
      <c r="A156" s="1"/>
      <c r="B156" s="1"/>
      <c r="C156" s="1"/>
    </row>
    <row r="157" spans="1:4" x14ac:dyDescent="0.3">
      <c r="A157" s="1" t="s">
        <v>234</v>
      </c>
      <c r="B157" s="107" t="s">
        <v>88</v>
      </c>
      <c r="C157" s="107" t="s">
        <v>91</v>
      </c>
      <c r="D157">
        <v>2</v>
      </c>
    </row>
    <row r="158" spans="1:4" x14ac:dyDescent="0.3">
      <c r="A158" s="1" t="s">
        <v>235</v>
      </c>
      <c r="B158" s="107" t="s">
        <v>88</v>
      </c>
      <c r="C158" s="107" t="s">
        <v>91</v>
      </c>
      <c r="D158">
        <v>2</v>
      </c>
    </row>
    <row r="159" spans="1:4" x14ac:dyDescent="0.3">
      <c r="A159" s="1" t="s">
        <v>236</v>
      </c>
      <c r="B159" s="107" t="s">
        <v>88</v>
      </c>
      <c r="C159" s="107" t="s">
        <v>91</v>
      </c>
      <c r="D159">
        <v>2</v>
      </c>
    </row>
    <row r="160" spans="1:4" x14ac:dyDescent="0.3">
      <c r="A160" s="1" t="s">
        <v>237</v>
      </c>
      <c r="B160" s="107" t="s">
        <v>88</v>
      </c>
      <c r="C160" s="107" t="s">
        <v>91</v>
      </c>
      <c r="D160">
        <v>2</v>
      </c>
    </row>
    <row r="161" spans="1:4" x14ac:dyDescent="0.3">
      <c r="A161" s="1"/>
      <c r="B161" s="1"/>
      <c r="C161" s="1"/>
    </row>
    <row r="162" spans="1:4" x14ac:dyDescent="0.3">
      <c r="A162" s="1" t="s">
        <v>238</v>
      </c>
      <c r="B162" s="107" t="s">
        <v>88</v>
      </c>
      <c r="C162" s="107" t="s">
        <v>92</v>
      </c>
      <c r="D162">
        <v>3</v>
      </c>
    </row>
    <row r="163" spans="1:4" x14ac:dyDescent="0.3">
      <c r="A163" s="1" t="s">
        <v>239</v>
      </c>
      <c r="B163" s="107" t="s">
        <v>90</v>
      </c>
      <c r="C163" s="107" t="s">
        <v>92</v>
      </c>
      <c r="D163">
        <v>3</v>
      </c>
    </row>
    <row r="164" spans="1:4" x14ac:dyDescent="0.3">
      <c r="A164" s="1" t="s">
        <v>240</v>
      </c>
      <c r="B164" s="107" t="s">
        <v>88</v>
      </c>
      <c r="C164" s="107" t="s">
        <v>92</v>
      </c>
      <c r="D164">
        <v>3</v>
      </c>
    </row>
    <row r="165" spans="1:4" x14ac:dyDescent="0.3">
      <c r="A165" s="1" t="s">
        <v>241</v>
      </c>
      <c r="B165" s="107" t="s">
        <v>90</v>
      </c>
      <c r="C165" s="107" t="s">
        <v>92</v>
      </c>
      <c r="D165">
        <v>3</v>
      </c>
    </row>
    <row r="166" spans="1:4" x14ac:dyDescent="0.3">
      <c r="A166" s="1"/>
      <c r="B166" s="1"/>
      <c r="C166" s="1"/>
    </row>
    <row r="167" spans="1:4" x14ac:dyDescent="0.3">
      <c r="A167" s="1" t="s">
        <v>242</v>
      </c>
      <c r="B167" s="107" t="s">
        <v>90</v>
      </c>
      <c r="C167" s="107" t="s">
        <v>92</v>
      </c>
      <c r="D167">
        <v>4</v>
      </c>
    </row>
    <row r="168" spans="1:4" x14ac:dyDescent="0.3">
      <c r="A168" s="1" t="s">
        <v>243</v>
      </c>
      <c r="B168" s="107" t="s">
        <v>90</v>
      </c>
      <c r="C168" s="107" t="s">
        <v>94</v>
      </c>
      <c r="D168">
        <v>4</v>
      </c>
    </row>
    <row r="169" spans="1:4" x14ac:dyDescent="0.3">
      <c r="A169" s="1" t="s">
        <v>244</v>
      </c>
      <c r="B169" s="107" t="s">
        <v>90</v>
      </c>
      <c r="C169" s="107" t="s">
        <v>92</v>
      </c>
      <c r="D169">
        <v>4</v>
      </c>
    </row>
    <row r="170" spans="1:4" x14ac:dyDescent="0.3">
      <c r="A170" s="1" t="s">
        <v>245</v>
      </c>
      <c r="B170" s="107" t="s">
        <v>90</v>
      </c>
      <c r="C170" s="107" t="s">
        <v>94</v>
      </c>
      <c r="D170">
        <v>4</v>
      </c>
    </row>
    <row r="171" spans="1:4" x14ac:dyDescent="0.3">
      <c r="A171" s="1"/>
      <c r="B171" s="1"/>
      <c r="C171" s="1"/>
    </row>
    <row r="172" spans="1:4" x14ac:dyDescent="0.3">
      <c r="A172" s="1" t="s">
        <v>246</v>
      </c>
      <c r="B172" s="107" t="s">
        <v>86</v>
      </c>
      <c r="C172" s="107" t="s">
        <v>88</v>
      </c>
      <c r="D172">
        <v>2</v>
      </c>
    </row>
    <row r="173" spans="1:4" x14ac:dyDescent="0.3">
      <c r="A173" s="1" t="s">
        <v>247</v>
      </c>
      <c r="B173" s="107" t="s">
        <v>86</v>
      </c>
      <c r="C173" s="107" t="s">
        <v>90</v>
      </c>
      <c r="D173">
        <v>2</v>
      </c>
    </row>
    <row r="174" spans="1:4" x14ac:dyDescent="0.3">
      <c r="A174" s="1" t="s">
        <v>248</v>
      </c>
      <c r="B174" s="107" t="s">
        <v>86</v>
      </c>
      <c r="C174" s="107" t="s">
        <v>88</v>
      </c>
      <c r="D174">
        <v>2</v>
      </c>
    </row>
    <row r="175" spans="1:4" x14ac:dyDescent="0.3">
      <c r="A175" s="1" t="s">
        <v>249</v>
      </c>
      <c r="B175" s="107" t="s">
        <v>86</v>
      </c>
      <c r="C175" s="107" t="s">
        <v>90</v>
      </c>
      <c r="D175">
        <v>2</v>
      </c>
    </row>
    <row r="176" spans="1:4" x14ac:dyDescent="0.3">
      <c r="A176" s="1"/>
      <c r="B176" s="1"/>
      <c r="C176" s="1"/>
    </row>
    <row r="177" spans="1:4" x14ac:dyDescent="0.3">
      <c r="A177" s="1" t="s">
        <v>250</v>
      </c>
      <c r="B177" s="107" t="s">
        <v>86</v>
      </c>
      <c r="C177" s="107" t="s">
        <v>90</v>
      </c>
      <c r="D177">
        <v>3</v>
      </c>
    </row>
    <row r="178" spans="1:4" x14ac:dyDescent="0.3">
      <c r="A178" s="1" t="s">
        <v>251</v>
      </c>
      <c r="B178" s="107" t="s">
        <v>86</v>
      </c>
      <c r="C178" s="107" t="s">
        <v>90</v>
      </c>
      <c r="D178">
        <v>3</v>
      </c>
    </row>
    <row r="179" spans="1:4" x14ac:dyDescent="0.3">
      <c r="A179" s="1" t="s">
        <v>252</v>
      </c>
      <c r="B179" s="107" t="s">
        <v>86</v>
      </c>
      <c r="C179" s="107" t="s">
        <v>90</v>
      </c>
      <c r="D179">
        <v>3</v>
      </c>
    </row>
    <row r="180" spans="1:4" x14ac:dyDescent="0.3">
      <c r="A180" s="1" t="s">
        <v>253</v>
      </c>
      <c r="B180" s="107" t="s">
        <v>86</v>
      </c>
      <c r="C180" s="107" t="s">
        <v>90</v>
      </c>
      <c r="D180">
        <v>3</v>
      </c>
    </row>
    <row r="181" spans="1:4" x14ac:dyDescent="0.3">
      <c r="A181" s="1"/>
      <c r="B181" s="1"/>
      <c r="C181" s="1"/>
    </row>
    <row r="182" spans="1:4" x14ac:dyDescent="0.3">
      <c r="A182" s="1" t="s">
        <v>254</v>
      </c>
      <c r="B182" s="107" t="s">
        <v>86</v>
      </c>
      <c r="C182" s="107" t="s">
        <v>91</v>
      </c>
      <c r="D182">
        <v>4</v>
      </c>
    </row>
    <row r="183" spans="1:4" x14ac:dyDescent="0.3">
      <c r="A183" s="1" t="s">
        <v>255</v>
      </c>
      <c r="B183" s="107" t="s">
        <v>86</v>
      </c>
      <c r="C183" s="107" t="s">
        <v>91</v>
      </c>
      <c r="D183">
        <v>4</v>
      </c>
    </row>
    <row r="184" spans="1:4" x14ac:dyDescent="0.3">
      <c r="A184" s="1" t="s">
        <v>256</v>
      </c>
      <c r="B184" s="107" t="s">
        <v>86</v>
      </c>
      <c r="C184" s="107" t="s">
        <v>91</v>
      </c>
      <c r="D184">
        <v>4</v>
      </c>
    </row>
    <row r="185" spans="1:4" x14ac:dyDescent="0.3">
      <c r="A185" s="1" t="s">
        <v>257</v>
      </c>
      <c r="B185" s="107" t="s">
        <v>86</v>
      </c>
      <c r="C185" s="107" t="s">
        <v>91</v>
      </c>
      <c r="D185">
        <v>4</v>
      </c>
    </row>
    <row r="186" spans="1:4" x14ac:dyDescent="0.3">
      <c r="A186" s="1"/>
      <c r="B186" s="1"/>
      <c r="C186" s="1"/>
    </row>
    <row r="187" spans="1:4" x14ac:dyDescent="0.3">
      <c r="A187" s="1" t="s">
        <v>258</v>
      </c>
      <c r="B187" s="107" t="s">
        <v>86</v>
      </c>
      <c r="C187" s="107" t="s">
        <v>91</v>
      </c>
      <c r="D187">
        <v>5</v>
      </c>
    </row>
    <row r="188" spans="1:4" x14ac:dyDescent="0.3">
      <c r="A188" s="1" t="s">
        <v>259</v>
      </c>
      <c r="B188" s="107" t="s">
        <v>88</v>
      </c>
      <c r="C188" s="107" t="s">
        <v>91</v>
      </c>
      <c r="D188">
        <v>5</v>
      </c>
    </row>
    <row r="189" spans="1:4" x14ac:dyDescent="0.3">
      <c r="A189" s="1" t="s">
        <v>260</v>
      </c>
      <c r="B189" s="107" t="s">
        <v>86</v>
      </c>
      <c r="C189" s="107" t="s">
        <v>91</v>
      </c>
      <c r="D189">
        <v>5</v>
      </c>
    </row>
    <row r="190" spans="1:4" x14ac:dyDescent="0.3">
      <c r="A190" s="1" t="s">
        <v>261</v>
      </c>
      <c r="B190" s="107" t="s">
        <v>88</v>
      </c>
      <c r="C190" s="107" t="s">
        <v>91</v>
      </c>
      <c r="D190">
        <v>5</v>
      </c>
    </row>
  </sheetData>
  <sheetProtection algorithmName="SHA-512" hashValue="JYqFHmgRURStXVE/AIR2/7loDBsiUpz7+aIM06E54oPiLIYAygJ2Rk+ULlBQ9ZDV9xjieHUhEwB2XXhy/cU7yw==" saltValue="M6NlbMtFWOmF5PP1uFv2qQ==" spinCount="100000" sheet="1" objects="1" scenarios="1"/>
  <mergeCells count="71">
    <mergeCell ref="AV12:AV19"/>
    <mergeCell ref="BC12:BC13"/>
    <mergeCell ref="BD12:BD19"/>
    <mergeCell ref="BK12:BK19"/>
    <mergeCell ref="BC14:BC15"/>
    <mergeCell ref="BC16:BC17"/>
    <mergeCell ref="BC18:BC19"/>
    <mergeCell ref="AU2:AX2"/>
    <mergeCell ref="AV3:AV10"/>
    <mergeCell ref="BC3:BC4"/>
    <mergeCell ref="BD3:BD10"/>
    <mergeCell ref="BK3:BK10"/>
    <mergeCell ref="BC5:BC6"/>
    <mergeCell ref="BC7:BC8"/>
    <mergeCell ref="BC9:BC10"/>
    <mergeCell ref="AB85:AB90"/>
    <mergeCell ref="AI85:AI86"/>
    <mergeCell ref="AJ85:AJ90"/>
    <mergeCell ref="AQ85:AQ90"/>
    <mergeCell ref="AI87:AI88"/>
    <mergeCell ref="AI89:AI90"/>
    <mergeCell ref="AB77:AB82"/>
    <mergeCell ref="AI77:AI78"/>
    <mergeCell ref="AJ77:AJ82"/>
    <mergeCell ref="AQ77:AQ82"/>
    <mergeCell ref="AI79:AI80"/>
    <mergeCell ref="AI81:AI82"/>
    <mergeCell ref="AI66:AI67"/>
    <mergeCell ref="AB69:AB74"/>
    <mergeCell ref="AI69:AI70"/>
    <mergeCell ref="AJ69:AJ74"/>
    <mergeCell ref="AQ69:AQ74"/>
    <mergeCell ref="AI71:AI72"/>
    <mergeCell ref="AI73:AI74"/>
    <mergeCell ref="AB62:AB67"/>
    <mergeCell ref="AI62:AI63"/>
    <mergeCell ref="AJ62:AJ67"/>
    <mergeCell ref="AQ62:AQ67"/>
    <mergeCell ref="AI64:AI65"/>
    <mergeCell ref="AJ54:AJ61"/>
    <mergeCell ref="AQ54:AQ61"/>
    <mergeCell ref="AI56:AI57"/>
    <mergeCell ref="AI58:AI59"/>
    <mergeCell ref="AI60:AI61"/>
    <mergeCell ref="AJ45:AJ52"/>
    <mergeCell ref="AQ45:AQ52"/>
    <mergeCell ref="AI47:AI48"/>
    <mergeCell ref="AI49:AI50"/>
    <mergeCell ref="AI51:AI52"/>
    <mergeCell ref="AI29:AI32"/>
    <mergeCell ref="AI33:AI36"/>
    <mergeCell ref="AI37:AI40"/>
    <mergeCell ref="AI41:AI44"/>
    <mergeCell ref="AB45:AB52"/>
    <mergeCell ref="AI45:AI46"/>
    <mergeCell ref="AB54:AB61"/>
    <mergeCell ref="AI54:AI55"/>
    <mergeCell ref="AA1:AG1"/>
    <mergeCell ref="AI1:AQ1"/>
    <mergeCell ref="AB4:AB23"/>
    <mergeCell ref="AI4:AI7"/>
    <mergeCell ref="AJ4:AJ23"/>
    <mergeCell ref="AQ4:AQ23"/>
    <mergeCell ref="AI8:AI11"/>
    <mergeCell ref="AI12:AI15"/>
    <mergeCell ref="AI16:AI19"/>
    <mergeCell ref="AI20:AI23"/>
    <mergeCell ref="AB25:AB44"/>
    <mergeCell ref="AI25:AI28"/>
    <mergeCell ref="AJ25:AJ44"/>
    <mergeCell ref="AQ25:AQ44"/>
  </mergeCells>
  <pageMargins left="0.7" right="0.7" top="0.75" bottom="0.75" header="0.3" footer="0.3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400A-F300-43E8-8FB6-619B9EA9CD27}">
  <dimension ref="A1:AC44"/>
  <sheetViews>
    <sheetView zoomScale="70" zoomScaleNormal="70" workbookViewId="0">
      <selection sqref="A1:L2"/>
    </sheetView>
  </sheetViews>
  <sheetFormatPr defaultRowHeight="14.4" x14ac:dyDescent="0.3"/>
  <cols>
    <col min="1" max="1" width="14.5546875" bestFit="1" customWidth="1"/>
    <col min="2" max="2" width="33" bestFit="1" customWidth="1"/>
    <col min="3" max="3" width="8.33203125" customWidth="1"/>
    <col min="8" max="8" width="11.33203125" customWidth="1"/>
    <col min="13" max="13" width="2.44140625" customWidth="1"/>
    <col min="14" max="14" width="14.5546875" bestFit="1" customWidth="1"/>
  </cols>
  <sheetData>
    <row r="1" spans="1:29" ht="18.75" customHeight="1" x14ac:dyDescent="0.55000000000000004">
      <c r="A1" s="389"/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268"/>
    </row>
    <row r="2" spans="1:29" ht="28.8" x14ac:dyDescent="0.55000000000000004">
      <c r="A2" s="390"/>
      <c r="B2" s="390"/>
      <c r="C2" s="390"/>
      <c r="D2" s="390"/>
      <c r="E2" s="390"/>
      <c r="F2" s="390"/>
      <c r="G2" s="390"/>
      <c r="H2" s="390"/>
      <c r="I2" s="390"/>
      <c r="J2" s="390"/>
      <c r="K2" s="390"/>
      <c r="L2" s="390"/>
      <c r="M2" s="268"/>
    </row>
    <row r="3" spans="1:29" ht="43.2" x14ac:dyDescent="0.3">
      <c r="A3" s="147" t="s">
        <v>659</v>
      </c>
      <c r="B3" s="94" t="s">
        <v>456</v>
      </c>
      <c r="C3" s="94" t="s">
        <v>457</v>
      </c>
      <c r="D3" s="94" t="s">
        <v>458</v>
      </c>
      <c r="E3" s="94" t="s">
        <v>459</v>
      </c>
      <c r="F3" s="94" t="s">
        <v>460</v>
      </c>
      <c r="G3" s="94" t="s">
        <v>461</v>
      </c>
      <c r="H3" s="94" t="s">
        <v>462</v>
      </c>
      <c r="I3" s="94" t="s">
        <v>463</v>
      </c>
      <c r="J3" s="94" t="s">
        <v>654</v>
      </c>
      <c r="K3" s="94" t="s">
        <v>655</v>
      </c>
      <c r="L3" s="94" t="s">
        <v>509</v>
      </c>
      <c r="M3" s="262"/>
      <c r="Z3" s="112"/>
      <c r="AA3" s="112"/>
      <c r="AB3" s="112"/>
      <c r="AC3" s="112" t="s">
        <v>508</v>
      </c>
    </row>
    <row r="4" spans="1:29" x14ac:dyDescent="0.3">
      <c r="A4" s="91">
        <v>3012</v>
      </c>
      <c r="B4" s="91"/>
      <c r="C4" s="91">
        <v>2</v>
      </c>
      <c r="D4" s="91">
        <v>1</v>
      </c>
      <c r="E4" s="91"/>
      <c r="F4" s="91"/>
      <c r="G4" s="91"/>
      <c r="H4" s="91"/>
      <c r="I4" s="91"/>
      <c r="J4" s="284" t="s">
        <v>86</v>
      </c>
      <c r="K4" s="261" t="s">
        <v>86</v>
      </c>
      <c r="L4" s="91"/>
      <c r="M4" s="263"/>
      <c r="Z4" s="112" t="s">
        <v>455</v>
      </c>
      <c r="AA4" s="112"/>
      <c r="AB4" s="112"/>
      <c r="AC4" s="112"/>
    </row>
    <row r="5" spans="1:29" x14ac:dyDescent="0.3">
      <c r="A5" s="91">
        <v>3013</v>
      </c>
      <c r="B5" s="91"/>
      <c r="C5" s="91">
        <v>3</v>
      </c>
      <c r="D5" s="91">
        <v>1</v>
      </c>
      <c r="E5" s="91"/>
      <c r="F5" s="91"/>
      <c r="G5" s="91"/>
      <c r="H5" s="91"/>
      <c r="I5" s="91"/>
      <c r="J5" s="261" t="s">
        <v>86</v>
      </c>
      <c r="K5" s="261" t="s">
        <v>86</v>
      </c>
      <c r="L5" s="91"/>
      <c r="M5" s="263"/>
    </row>
    <row r="6" spans="1:29" x14ac:dyDescent="0.3">
      <c r="A6" s="91">
        <v>3014</v>
      </c>
      <c r="B6" s="91"/>
      <c r="C6" s="91">
        <v>4</v>
      </c>
      <c r="D6" s="91">
        <v>1</v>
      </c>
      <c r="E6" s="91"/>
      <c r="F6" s="91"/>
      <c r="G6" s="91"/>
      <c r="H6" s="91"/>
      <c r="I6" s="91"/>
      <c r="J6" s="261" t="s">
        <v>86</v>
      </c>
      <c r="K6" s="261" t="s">
        <v>86</v>
      </c>
      <c r="L6" s="91"/>
      <c r="M6" s="263"/>
    </row>
    <row r="7" spans="1:29" x14ac:dyDescent="0.3">
      <c r="A7" s="91">
        <v>3022</v>
      </c>
      <c r="B7" s="91"/>
      <c r="C7" s="91">
        <v>2</v>
      </c>
      <c r="D7" s="91">
        <v>2</v>
      </c>
      <c r="E7" s="91"/>
      <c r="F7" s="91"/>
      <c r="G7" s="91"/>
      <c r="H7" s="91"/>
      <c r="I7" s="91"/>
      <c r="J7" s="261" t="s">
        <v>86</v>
      </c>
      <c r="K7" s="261" t="s">
        <v>86</v>
      </c>
      <c r="L7" s="91"/>
      <c r="M7" s="263"/>
    </row>
    <row r="8" spans="1:29" x14ac:dyDescent="0.3">
      <c r="A8" s="91">
        <v>3023</v>
      </c>
      <c r="B8" s="91"/>
      <c r="C8" s="91">
        <v>3</v>
      </c>
      <c r="D8" s="91">
        <v>2</v>
      </c>
      <c r="E8" s="91"/>
      <c r="F8" s="91"/>
      <c r="G8" s="91"/>
      <c r="H8" s="91"/>
      <c r="I8" s="91"/>
      <c r="J8" s="261" t="s">
        <v>90</v>
      </c>
      <c r="K8" s="261" t="s">
        <v>86</v>
      </c>
      <c r="L8" s="91"/>
      <c r="M8" s="263"/>
    </row>
    <row r="9" spans="1:29" x14ac:dyDescent="0.3">
      <c r="A9" s="91">
        <v>3024</v>
      </c>
      <c r="B9" s="91"/>
      <c r="C9" s="91">
        <v>4</v>
      </c>
      <c r="D9" s="91">
        <v>2</v>
      </c>
      <c r="E9" s="91"/>
      <c r="F9" s="91"/>
      <c r="G9" s="91"/>
      <c r="H9" s="91"/>
      <c r="I9" s="91"/>
      <c r="J9" s="261" t="s">
        <v>90</v>
      </c>
      <c r="K9" s="261" t="s">
        <v>86</v>
      </c>
      <c r="L9" s="91"/>
      <c r="M9" s="263"/>
    </row>
    <row r="10" spans="1:29" x14ac:dyDescent="0.3">
      <c r="A10" s="91">
        <v>3033</v>
      </c>
      <c r="B10" s="91"/>
      <c r="C10" s="91">
        <v>3</v>
      </c>
      <c r="D10" s="91">
        <v>3</v>
      </c>
      <c r="E10" s="91"/>
      <c r="F10" s="91"/>
      <c r="G10" s="91"/>
      <c r="H10" s="91"/>
      <c r="I10" s="91"/>
      <c r="J10" s="261" t="s">
        <v>90</v>
      </c>
      <c r="K10" s="261" t="s">
        <v>88</v>
      </c>
      <c r="L10" s="261"/>
      <c r="M10" s="263"/>
    </row>
    <row r="11" spans="1:29" x14ac:dyDescent="0.3">
      <c r="A11" s="91">
        <v>3034</v>
      </c>
      <c r="B11" s="91"/>
      <c r="C11" s="91">
        <v>4</v>
      </c>
      <c r="D11" s="91">
        <v>3</v>
      </c>
      <c r="E11" s="91"/>
      <c r="F11" s="91"/>
      <c r="G11" s="91"/>
      <c r="H11" s="91"/>
      <c r="I11" s="91"/>
      <c r="J11" s="261" t="s">
        <v>90</v>
      </c>
      <c r="K11" s="261" t="s">
        <v>88</v>
      </c>
      <c r="L11" s="91"/>
      <c r="M11" s="263"/>
    </row>
    <row r="12" spans="1:29" x14ac:dyDescent="0.3">
      <c r="A12" s="91">
        <v>3043</v>
      </c>
      <c r="B12" s="91"/>
      <c r="C12" s="91">
        <v>3</v>
      </c>
      <c r="D12" s="91">
        <v>4</v>
      </c>
      <c r="E12" s="91"/>
      <c r="F12" s="91"/>
      <c r="G12" s="91"/>
      <c r="H12" s="91"/>
      <c r="I12" s="91"/>
      <c r="J12" s="261" t="s">
        <v>91</v>
      </c>
      <c r="K12" s="261" t="s">
        <v>88</v>
      </c>
      <c r="L12" s="91"/>
      <c r="M12" s="263"/>
    </row>
    <row r="13" spans="1:29" x14ac:dyDescent="0.3">
      <c r="A13" s="91">
        <v>3044</v>
      </c>
      <c r="B13" s="91"/>
      <c r="C13" s="91">
        <v>4</v>
      </c>
      <c r="D13" s="91">
        <v>4</v>
      </c>
      <c r="E13" s="91"/>
      <c r="F13" s="91"/>
      <c r="G13" s="91"/>
      <c r="H13" s="91"/>
      <c r="I13" s="91"/>
      <c r="J13" s="261" t="s">
        <v>91</v>
      </c>
      <c r="K13" s="261" t="s">
        <v>88</v>
      </c>
      <c r="L13" s="91"/>
      <c r="M13" s="263"/>
    </row>
    <row r="14" spans="1:29" x14ac:dyDescent="0.3">
      <c r="A14" s="91">
        <v>3053</v>
      </c>
      <c r="B14" s="91"/>
      <c r="C14" s="91">
        <v>3</v>
      </c>
      <c r="D14" s="91">
        <v>5</v>
      </c>
      <c r="E14" s="91"/>
      <c r="F14" s="91"/>
      <c r="G14" s="91"/>
      <c r="H14" s="91"/>
      <c r="I14" s="91"/>
      <c r="J14" s="261" t="s">
        <v>91</v>
      </c>
      <c r="K14" s="261" t="s">
        <v>88</v>
      </c>
      <c r="L14" s="91"/>
      <c r="M14" s="263"/>
    </row>
    <row r="15" spans="1:29" x14ac:dyDescent="0.3">
      <c r="A15" s="91">
        <v>3054</v>
      </c>
      <c r="B15" s="91"/>
      <c r="C15" s="91">
        <v>4</v>
      </c>
      <c r="D15" s="91">
        <v>5</v>
      </c>
      <c r="E15" s="91"/>
      <c r="F15" s="91"/>
      <c r="G15" s="91"/>
      <c r="H15" s="91"/>
      <c r="I15" s="91"/>
      <c r="J15" s="261" t="s">
        <v>91</v>
      </c>
      <c r="K15" s="261" t="s">
        <v>88</v>
      </c>
      <c r="L15" s="91"/>
      <c r="M15" s="263"/>
    </row>
    <row r="16" spans="1:29" ht="15" customHeight="1" x14ac:dyDescent="0.3">
      <c r="A16" s="91" t="s">
        <v>594</v>
      </c>
      <c r="B16" s="105"/>
      <c r="C16" s="91">
        <v>2</v>
      </c>
      <c r="D16" s="91">
        <v>1</v>
      </c>
      <c r="E16" s="105"/>
      <c r="F16" s="105"/>
      <c r="G16" s="105"/>
      <c r="H16" s="105"/>
      <c r="I16" s="105"/>
      <c r="J16" s="284" t="s">
        <v>86</v>
      </c>
      <c r="K16" s="261" t="s">
        <v>86</v>
      </c>
      <c r="L16" s="91"/>
      <c r="M16" s="266"/>
    </row>
    <row r="17" spans="1:25" x14ac:dyDescent="0.3">
      <c r="A17" s="91" t="s">
        <v>595</v>
      </c>
      <c r="B17" s="105"/>
      <c r="C17" s="91">
        <v>3</v>
      </c>
      <c r="D17" s="91">
        <v>1</v>
      </c>
      <c r="E17" s="105"/>
      <c r="F17" s="105"/>
      <c r="G17" s="105"/>
      <c r="H17" s="105"/>
      <c r="I17" s="105"/>
      <c r="J17" s="261" t="s">
        <v>86</v>
      </c>
      <c r="K17" s="261" t="s">
        <v>86</v>
      </c>
      <c r="L17" s="91"/>
      <c r="M17" s="266"/>
    </row>
    <row r="18" spans="1:25" x14ac:dyDescent="0.3">
      <c r="A18" s="91" t="s">
        <v>596</v>
      </c>
      <c r="B18" s="105"/>
      <c r="C18" s="91">
        <v>4</v>
      </c>
      <c r="D18" s="91">
        <v>1</v>
      </c>
      <c r="E18" s="105"/>
      <c r="F18" s="105"/>
      <c r="G18" s="105"/>
      <c r="H18" s="105"/>
      <c r="I18" s="105"/>
      <c r="J18" s="261" t="s">
        <v>86</v>
      </c>
      <c r="K18" s="261" t="s">
        <v>86</v>
      </c>
      <c r="L18" s="105"/>
      <c r="M18" s="267"/>
    </row>
    <row r="19" spans="1:25" x14ac:dyDescent="0.3">
      <c r="A19" s="91" t="s">
        <v>597</v>
      </c>
      <c r="B19" s="105"/>
      <c r="C19" s="91">
        <v>2</v>
      </c>
      <c r="D19" s="91">
        <v>2</v>
      </c>
      <c r="E19" s="105"/>
      <c r="F19" s="105"/>
      <c r="G19" s="105"/>
      <c r="H19" s="105"/>
      <c r="I19" s="105"/>
      <c r="J19" s="261" t="s">
        <v>86</v>
      </c>
      <c r="K19" s="261" t="s">
        <v>86</v>
      </c>
      <c r="L19" s="105"/>
      <c r="M19" s="267"/>
    </row>
    <row r="20" spans="1:25" x14ac:dyDescent="0.3">
      <c r="A20" s="91" t="s">
        <v>598</v>
      </c>
      <c r="B20" s="105"/>
      <c r="C20" s="91">
        <v>3</v>
      </c>
      <c r="D20" s="91">
        <v>2</v>
      </c>
      <c r="E20" s="105"/>
      <c r="F20" s="105"/>
      <c r="G20" s="105"/>
      <c r="H20" s="105"/>
      <c r="I20" s="105"/>
      <c r="J20" s="261" t="s">
        <v>90</v>
      </c>
      <c r="K20" s="261" t="s">
        <v>86</v>
      </c>
      <c r="L20" s="105"/>
      <c r="M20" s="267"/>
    </row>
    <row r="21" spans="1:25" x14ac:dyDescent="0.3">
      <c r="A21" s="91" t="s">
        <v>637</v>
      </c>
      <c r="B21" s="105"/>
      <c r="C21" s="91">
        <v>4</v>
      </c>
      <c r="D21" s="91">
        <v>2</v>
      </c>
      <c r="E21" s="105"/>
      <c r="F21" s="105"/>
      <c r="G21" s="105"/>
      <c r="H21" s="105"/>
      <c r="I21" s="105"/>
      <c r="J21" s="261" t="s">
        <v>90</v>
      </c>
      <c r="K21" s="261" t="s">
        <v>86</v>
      </c>
      <c r="L21" s="105"/>
      <c r="M21" s="267"/>
    </row>
    <row r="22" spans="1:25" x14ac:dyDescent="0.3">
      <c r="A22" s="91" t="s">
        <v>638</v>
      </c>
      <c r="B22" s="105"/>
      <c r="C22" s="91">
        <v>3</v>
      </c>
      <c r="D22" s="91">
        <v>3</v>
      </c>
      <c r="E22" s="105"/>
      <c r="F22" s="105"/>
      <c r="G22" s="105"/>
      <c r="H22" s="105"/>
      <c r="I22" s="105"/>
      <c r="J22" s="261" t="s">
        <v>90</v>
      </c>
      <c r="K22" s="261" t="s">
        <v>88</v>
      </c>
      <c r="L22" s="105"/>
      <c r="M22" s="267"/>
    </row>
    <row r="23" spans="1:25" x14ac:dyDescent="0.3">
      <c r="A23" s="91" t="s">
        <v>639</v>
      </c>
      <c r="B23" s="105"/>
      <c r="C23" s="91">
        <v>4</v>
      </c>
      <c r="D23" s="91">
        <v>3</v>
      </c>
      <c r="E23" s="105"/>
      <c r="F23" s="105"/>
      <c r="G23" s="105"/>
      <c r="H23" s="105"/>
      <c r="I23" s="105"/>
      <c r="J23" s="261" t="s">
        <v>90</v>
      </c>
      <c r="K23" s="261" t="s">
        <v>88</v>
      </c>
      <c r="L23" s="105"/>
      <c r="M23" s="267"/>
    </row>
    <row r="24" spans="1:25" x14ac:dyDescent="0.3">
      <c r="A24" s="91" t="s">
        <v>640</v>
      </c>
      <c r="B24" s="105"/>
      <c r="C24" s="91">
        <v>3</v>
      </c>
      <c r="D24" s="91">
        <v>4</v>
      </c>
      <c r="E24" s="105"/>
      <c r="F24" s="105"/>
      <c r="G24" s="105"/>
      <c r="H24" s="105"/>
      <c r="I24" s="105"/>
      <c r="J24" s="261" t="s">
        <v>91</v>
      </c>
      <c r="K24" s="261" t="s">
        <v>88</v>
      </c>
      <c r="L24" s="105"/>
      <c r="M24" s="267"/>
    </row>
    <row r="25" spans="1:25" x14ac:dyDescent="0.3">
      <c r="A25" s="91" t="s">
        <v>641</v>
      </c>
      <c r="B25" s="105"/>
      <c r="C25" s="91">
        <v>4</v>
      </c>
      <c r="D25" s="91">
        <v>4</v>
      </c>
      <c r="E25" s="105"/>
      <c r="F25" s="105"/>
      <c r="G25" s="105"/>
      <c r="H25" s="105"/>
      <c r="I25" s="105"/>
      <c r="J25" s="261" t="s">
        <v>91</v>
      </c>
      <c r="K25" s="261" t="s">
        <v>88</v>
      </c>
      <c r="L25" s="105"/>
      <c r="M25" s="267"/>
    </row>
    <row r="26" spans="1:25" x14ac:dyDescent="0.3">
      <c r="A26" s="91" t="s">
        <v>642</v>
      </c>
      <c r="B26" s="105"/>
      <c r="C26" s="91">
        <v>3</v>
      </c>
      <c r="D26" s="91">
        <v>5</v>
      </c>
      <c r="E26" s="105"/>
      <c r="F26" s="105"/>
      <c r="G26" s="105"/>
      <c r="H26" s="105"/>
      <c r="I26" s="105"/>
      <c r="J26" s="261" t="s">
        <v>91</v>
      </c>
      <c r="K26" s="261" t="s">
        <v>88</v>
      </c>
      <c r="L26" s="105"/>
      <c r="M26" s="267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</row>
    <row r="27" spans="1:25" x14ac:dyDescent="0.3">
      <c r="A27" s="91" t="s">
        <v>643</v>
      </c>
      <c r="B27" s="105"/>
      <c r="C27" s="91">
        <v>4</v>
      </c>
      <c r="D27" s="91">
        <v>5</v>
      </c>
      <c r="E27" s="105"/>
      <c r="F27" s="105"/>
      <c r="G27" s="105"/>
      <c r="H27" s="105"/>
      <c r="I27" s="105"/>
      <c r="J27" s="261" t="s">
        <v>91</v>
      </c>
      <c r="K27" s="261" t="s">
        <v>88</v>
      </c>
      <c r="L27" s="105"/>
      <c r="M27" s="267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</row>
    <row r="28" spans="1:25" x14ac:dyDescent="0.3">
      <c r="A28" s="91">
        <v>4013</v>
      </c>
      <c r="B28" s="91"/>
      <c r="C28" s="91">
        <v>3</v>
      </c>
      <c r="D28" s="91">
        <v>1</v>
      </c>
      <c r="E28" s="91"/>
      <c r="F28" s="91"/>
      <c r="G28" s="91"/>
      <c r="H28" s="91"/>
      <c r="I28" s="91"/>
      <c r="J28" s="261" t="s">
        <v>90</v>
      </c>
      <c r="K28" s="261" t="s">
        <v>88</v>
      </c>
      <c r="L28" s="105"/>
    </row>
    <row r="29" spans="1:25" x14ac:dyDescent="0.3">
      <c r="A29" s="91">
        <v>4014</v>
      </c>
      <c r="B29" s="91"/>
      <c r="C29" s="91">
        <v>4</v>
      </c>
      <c r="D29" s="91">
        <v>1</v>
      </c>
      <c r="E29" s="91"/>
      <c r="F29" s="91"/>
      <c r="G29" s="91"/>
      <c r="H29" s="91"/>
      <c r="I29" s="91"/>
      <c r="J29" s="261" t="s">
        <v>90</v>
      </c>
      <c r="K29" s="261" t="s">
        <v>88</v>
      </c>
      <c r="L29" s="105"/>
    </row>
    <row r="30" spans="1:25" x14ac:dyDescent="0.3">
      <c r="A30" s="91">
        <v>4023</v>
      </c>
      <c r="B30" s="91"/>
      <c r="C30" s="91">
        <v>3</v>
      </c>
      <c r="D30" s="91">
        <v>2</v>
      </c>
      <c r="E30" s="91"/>
      <c r="F30" s="91"/>
      <c r="G30" s="91"/>
      <c r="H30" s="91"/>
      <c r="I30" s="91"/>
      <c r="J30" s="261" t="s">
        <v>90</v>
      </c>
      <c r="K30" s="261" t="s">
        <v>88</v>
      </c>
      <c r="L30" s="105"/>
    </row>
    <row r="31" spans="1:25" x14ac:dyDescent="0.3">
      <c r="A31" s="91">
        <v>4024</v>
      </c>
      <c r="B31" s="91"/>
      <c r="C31" s="91">
        <v>4</v>
      </c>
      <c r="D31" s="91">
        <v>2</v>
      </c>
      <c r="E31" s="91"/>
      <c r="F31" s="91"/>
      <c r="G31" s="91"/>
      <c r="H31" s="91"/>
      <c r="I31" s="91"/>
      <c r="J31" s="261" t="s">
        <v>91</v>
      </c>
      <c r="K31" s="261" t="s">
        <v>90</v>
      </c>
      <c r="L31" s="105"/>
    </row>
    <row r="32" spans="1:25" x14ac:dyDescent="0.3">
      <c r="A32" s="91">
        <v>4033</v>
      </c>
      <c r="B32" s="91"/>
      <c r="C32" s="91">
        <v>3</v>
      </c>
      <c r="D32" s="91">
        <v>3</v>
      </c>
      <c r="E32" s="91"/>
      <c r="F32" s="91"/>
      <c r="G32" s="91"/>
      <c r="H32" s="91"/>
      <c r="I32" s="91"/>
      <c r="J32" s="261" t="s">
        <v>92</v>
      </c>
      <c r="K32" s="261" t="s">
        <v>90</v>
      </c>
      <c r="L32" s="105"/>
    </row>
    <row r="33" spans="1:12" x14ac:dyDescent="0.3">
      <c r="A33" s="91">
        <v>4034</v>
      </c>
      <c r="B33" s="91"/>
      <c r="C33" s="91">
        <v>4</v>
      </c>
      <c r="D33" s="91">
        <v>3</v>
      </c>
      <c r="E33" s="91"/>
      <c r="F33" s="91"/>
      <c r="G33" s="91"/>
      <c r="H33" s="91"/>
      <c r="I33" s="91"/>
      <c r="J33" s="261" t="s">
        <v>92</v>
      </c>
      <c r="K33" s="261" t="s">
        <v>90</v>
      </c>
      <c r="L33" s="105"/>
    </row>
    <row r="34" spans="1:12" x14ac:dyDescent="0.3">
      <c r="A34" s="91">
        <v>4044</v>
      </c>
      <c r="B34" s="91"/>
      <c r="C34" s="91">
        <v>4</v>
      </c>
      <c r="D34" s="91">
        <v>4</v>
      </c>
      <c r="E34" s="91"/>
      <c r="F34" s="91"/>
      <c r="G34" s="91"/>
      <c r="H34" s="91"/>
      <c r="I34" s="91"/>
      <c r="J34" s="261" t="s">
        <v>92</v>
      </c>
      <c r="K34" s="261" t="s">
        <v>91</v>
      </c>
      <c r="L34" s="105"/>
    </row>
    <row r="35" spans="1:12" x14ac:dyDescent="0.3">
      <c r="A35" s="91" t="s">
        <v>644</v>
      </c>
      <c r="B35" s="91"/>
      <c r="C35" s="91">
        <v>3</v>
      </c>
      <c r="D35" s="91">
        <v>1</v>
      </c>
      <c r="E35" s="91"/>
      <c r="F35" s="91"/>
      <c r="G35" s="91"/>
      <c r="H35" s="91"/>
      <c r="I35" s="91"/>
      <c r="J35" s="261" t="s">
        <v>90</v>
      </c>
      <c r="K35" s="261" t="s">
        <v>88</v>
      </c>
      <c r="L35" s="91"/>
    </row>
    <row r="36" spans="1:12" x14ac:dyDescent="0.3">
      <c r="A36" s="91" t="s">
        <v>645</v>
      </c>
      <c r="B36" s="91"/>
      <c r="C36" s="91">
        <v>4</v>
      </c>
      <c r="D36" s="91">
        <v>1</v>
      </c>
      <c r="E36" s="91"/>
      <c r="F36" s="91"/>
      <c r="G36" s="91"/>
      <c r="H36" s="91"/>
      <c r="I36" s="91"/>
      <c r="J36" s="261" t="s">
        <v>90</v>
      </c>
      <c r="K36" s="261" t="s">
        <v>88</v>
      </c>
      <c r="L36" s="91"/>
    </row>
    <row r="37" spans="1:12" x14ac:dyDescent="0.3">
      <c r="A37" s="91" t="s">
        <v>646</v>
      </c>
      <c r="B37" s="91"/>
      <c r="C37" s="91">
        <v>3</v>
      </c>
      <c r="D37" s="91">
        <v>2</v>
      </c>
      <c r="E37" s="91"/>
      <c r="F37" s="91"/>
      <c r="G37" s="91"/>
      <c r="H37" s="91"/>
      <c r="I37" s="91"/>
      <c r="J37" s="261" t="s">
        <v>90</v>
      </c>
      <c r="K37" s="261" t="s">
        <v>88</v>
      </c>
      <c r="L37" s="91"/>
    </row>
    <row r="38" spans="1:12" x14ac:dyDescent="0.3">
      <c r="A38" s="91" t="s">
        <v>647</v>
      </c>
      <c r="B38" s="91"/>
      <c r="C38" s="91">
        <v>4</v>
      </c>
      <c r="D38" s="91">
        <v>2</v>
      </c>
      <c r="E38" s="91"/>
      <c r="F38" s="91"/>
      <c r="G38" s="91"/>
      <c r="H38" s="91"/>
      <c r="I38" s="91"/>
      <c r="J38" s="261" t="s">
        <v>91</v>
      </c>
      <c r="K38" s="261" t="s">
        <v>90</v>
      </c>
      <c r="L38" s="91"/>
    </row>
    <row r="39" spans="1:12" x14ac:dyDescent="0.3">
      <c r="A39" s="91" t="s">
        <v>648</v>
      </c>
      <c r="B39" s="91"/>
      <c r="C39" s="91">
        <v>3</v>
      </c>
      <c r="D39" s="91">
        <v>3</v>
      </c>
      <c r="E39" s="91"/>
      <c r="F39" s="91"/>
      <c r="G39" s="91"/>
      <c r="H39" s="91"/>
      <c r="I39" s="91"/>
      <c r="J39" s="261" t="s">
        <v>92</v>
      </c>
      <c r="K39" s="261" t="s">
        <v>90</v>
      </c>
      <c r="L39" s="91"/>
    </row>
    <row r="40" spans="1:12" x14ac:dyDescent="0.3">
      <c r="A40" s="91" t="s">
        <v>649</v>
      </c>
      <c r="B40" s="91"/>
      <c r="C40" s="91">
        <v>4</v>
      </c>
      <c r="D40" s="91">
        <v>3</v>
      </c>
      <c r="E40" s="91"/>
      <c r="F40" s="91"/>
      <c r="G40" s="91"/>
      <c r="H40" s="91"/>
      <c r="I40" s="91"/>
      <c r="J40" s="261" t="s">
        <v>92</v>
      </c>
      <c r="K40" s="261" t="s">
        <v>90</v>
      </c>
      <c r="L40" s="91"/>
    </row>
    <row r="41" spans="1:12" x14ac:dyDescent="0.3">
      <c r="A41" s="91" t="s">
        <v>650</v>
      </c>
      <c r="B41" s="91"/>
      <c r="C41" s="91">
        <v>4</v>
      </c>
      <c r="D41" s="91">
        <v>4</v>
      </c>
      <c r="E41" s="91"/>
      <c r="F41" s="91"/>
      <c r="G41" s="91"/>
      <c r="H41" s="91"/>
      <c r="I41" s="91"/>
      <c r="J41" s="261" t="s">
        <v>92</v>
      </c>
      <c r="K41" s="261" t="s">
        <v>91</v>
      </c>
      <c r="L41" s="91"/>
    </row>
    <row r="42" spans="1:12" x14ac:dyDescent="0.3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</row>
    <row r="43" spans="1:12" x14ac:dyDescent="0.3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</row>
    <row r="44" spans="1:12" x14ac:dyDescent="0.3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</row>
  </sheetData>
  <mergeCells count="1">
    <mergeCell ref="A1:L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2519-1ECE-49A7-AAB1-DEDA4E4B7929}">
  <dimension ref="A1:BK190"/>
  <sheetViews>
    <sheetView topLeftCell="X20" zoomScaleNormal="100" workbookViewId="0">
      <selection activeCell="AM85" sqref="AM85:AN90"/>
    </sheetView>
  </sheetViews>
  <sheetFormatPr defaultRowHeight="14.4" x14ac:dyDescent="0.3"/>
  <cols>
    <col min="1" max="1" width="22.6640625" customWidth="1"/>
  </cols>
  <sheetData>
    <row r="1" spans="1:63" ht="26.4" thickBot="1" x14ac:dyDescent="0.55000000000000004">
      <c r="A1" s="1" t="s">
        <v>131</v>
      </c>
      <c r="B1" s="106">
        <v>0.5</v>
      </c>
      <c r="C1" s="107" t="s">
        <v>88</v>
      </c>
      <c r="D1">
        <v>2</v>
      </c>
      <c r="AA1" s="342" t="s">
        <v>371</v>
      </c>
      <c r="AB1" s="343"/>
      <c r="AC1" s="343"/>
      <c r="AD1" s="343"/>
      <c r="AE1" s="343"/>
      <c r="AF1" s="343"/>
      <c r="AG1" s="344"/>
      <c r="AH1" s="217"/>
      <c r="AI1" s="342" t="s">
        <v>372</v>
      </c>
      <c r="AJ1" s="343"/>
      <c r="AK1" s="343"/>
      <c r="AL1" s="343"/>
      <c r="AM1" s="343"/>
      <c r="AN1" s="343"/>
      <c r="AO1" s="343"/>
      <c r="AP1" s="343"/>
      <c r="AQ1" s="344"/>
      <c r="AU1" s="247" t="s">
        <v>443</v>
      </c>
      <c r="AV1" s="247"/>
      <c r="AW1" s="247"/>
      <c r="AX1" s="247"/>
      <c r="AY1" s="248"/>
      <c r="AZ1" s="249"/>
      <c r="BA1" s="250"/>
      <c r="BB1" s="248"/>
      <c r="BC1" s="248"/>
      <c r="BD1" s="248"/>
      <c r="BE1" s="250"/>
      <c r="BF1" s="250"/>
      <c r="BG1" s="248"/>
      <c r="BH1" s="248"/>
      <c r="BI1" s="250"/>
      <c r="BJ1" s="249"/>
      <c r="BK1" s="248"/>
    </row>
    <row r="2" spans="1:63" ht="125.4" thickBot="1" x14ac:dyDescent="0.55000000000000004">
      <c r="A2" s="1" t="s">
        <v>132</v>
      </c>
      <c r="B2" s="107" t="s">
        <v>86</v>
      </c>
      <c r="C2" s="107" t="s">
        <v>90</v>
      </c>
      <c r="D2">
        <v>2</v>
      </c>
      <c r="I2" t="s">
        <v>279</v>
      </c>
      <c r="AA2" s="218" t="s">
        <v>373</v>
      </c>
      <c r="AB2" s="219" t="s">
        <v>374</v>
      </c>
      <c r="AC2" s="219" t="s">
        <v>375</v>
      </c>
      <c r="AD2" s="219" t="s">
        <v>376</v>
      </c>
      <c r="AE2" s="219" t="s">
        <v>377</v>
      </c>
      <c r="AF2" s="220" t="s">
        <v>378</v>
      </c>
      <c r="AG2" s="221" t="s">
        <v>379</v>
      </c>
      <c r="AH2" s="222"/>
      <c r="AI2" s="218" t="s">
        <v>380</v>
      </c>
      <c r="AJ2" s="223" t="s">
        <v>381</v>
      </c>
      <c r="AK2" s="224" t="s">
        <v>382</v>
      </c>
      <c r="AL2" s="224" t="s">
        <v>383</v>
      </c>
      <c r="AM2" s="219" t="s">
        <v>384</v>
      </c>
      <c r="AN2" s="219" t="s">
        <v>385</v>
      </c>
      <c r="AO2" s="224" t="s">
        <v>386</v>
      </c>
      <c r="AP2" s="220" t="s">
        <v>387</v>
      </c>
      <c r="AQ2" s="225" t="s">
        <v>388</v>
      </c>
      <c r="AU2" s="382"/>
      <c r="AV2" s="382"/>
      <c r="AW2" s="382"/>
      <c r="AX2" s="382"/>
      <c r="AY2" s="248"/>
      <c r="AZ2" s="249"/>
      <c r="BA2" s="250"/>
      <c r="BB2" s="248"/>
      <c r="BC2" s="251"/>
      <c r="BD2" s="251"/>
      <c r="BE2" s="252"/>
      <c r="BF2" s="252"/>
      <c r="BG2" s="251"/>
      <c r="BH2" s="251"/>
      <c r="BI2" s="252"/>
      <c r="BJ2" s="253"/>
      <c r="BK2" s="251"/>
    </row>
    <row r="3" spans="1:63" ht="15" thickBot="1" x14ac:dyDescent="0.35">
      <c r="A3" s="1" t="s">
        <v>133</v>
      </c>
      <c r="B3" s="107" t="s">
        <v>86</v>
      </c>
      <c r="C3" s="107" t="s">
        <v>90</v>
      </c>
      <c r="D3">
        <v>2</v>
      </c>
      <c r="I3" t="s">
        <v>280</v>
      </c>
      <c r="AA3" s="226"/>
      <c r="AB3" s="227"/>
      <c r="AC3" s="227"/>
      <c r="AD3" s="227"/>
      <c r="AE3" s="227"/>
      <c r="AF3" s="228"/>
      <c r="AG3" s="229"/>
      <c r="AH3" s="230"/>
      <c r="AI3" s="226"/>
      <c r="AJ3" s="231"/>
      <c r="AK3" s="232"/>
      <c r="AL3" s="232"/>
      <c r="AM3" s="227"/>
      <c r="AN3" s="227"/>
      <c r="AO3" s="232"/>
      <c r="AP3" s="228"/>
      <c r="AQ3" s="233"/>
      <c r="AU3" s="203" t="s">
        <v>327</v>
      </c>
      <c r="AV3" s="383" t="s">
        <v>323</v>
      </c>
      <c r="AW3" s="204">
        <v>2.61</v>
      </c>
      <c r="AX3" s="204">
        <v>1.9235699999999998</v>
      </c>
      <c r="AY3" s="205">
        <v>1548</v>
      </c>
      <c r="AZ3" s="206">
        <v>8</v>
      </c>
      <c r="BA3" s="234">
        <v>2.36</v>
      </c>
      <c r="BB3" s="174"/>
      <c r="BC3" s="340" t="s">
        <v>324</v>
      </c>
      <c r="BD3" s="350" t="s">
        <v>444</v>
      </c>
      <c r="BE3" s="210">
        <v>1.76</v>
      </c>
      <c r="BF3" s="210">
        <v>8.26</v>
      </c>
      <c r="BG3" s="255" t="s">
        <v>86</v>
      </c>
      <c r="BH3" s="255" t="s">
        <v>88</v>
      </c>
      <c r="BI3" s="210">
        <v>1.8</v>
      </c>
      <c r="BJ3" s="235">
        <v>16</v>
      </c>
      <c r="BK3" s="374" t="s">
        <v>445</v>
      </c>
    </row>
    <row r="4" spans="1:63" x14ac:dyDescent="0.3">
      <c r="A4" s="1" t="s">
        <v>134</v>
      </c>
      <c r="B4" s="107" t="s">
        <v>86</v>
      </c>
      <c r="C4" s="107" t="s">
        <v>88</v>
      </c>
      <c r="D4">
        <v>2</v>
      </c>
      <c r="I4" t="s">
        <v>321</v>
      </c>
      <c r="AA4" s="169" t="s">
        <v>322</v>
      </c>
      <c r="AB4" s="345" t="s">
        <v>323</v>
      </c>
      <c r="AC4" s="170">
        <v>1.88</v>
      </c>
      <c r="AD4" s="170">
        <v>1.3855599999999999</v>
      </c>
      <c r="AE4" s="171">
        <v>1584</v>
      </c>
      <c r="AF4" s="172">
        <v>12</v>
      </c>
      <c r="AG4" s="173">
        <v>2.3199999999999998</v>
      </c>
      <c r="AH4" s="174">
        <v>1</v>
      </c>
      <c r="AI4" s="348" t="s">
        <v>324</v>
      </c>
      <c r="AJ4" s="350" t="s">
        <v>325</v>
      </c>
      <c r="AK4" s="175">
        <v>1.24</v>
      </c>
      <c r="AL4" s="175">
        <v>5.73</v>
      </c>
      <c r="AM4" s="173" t="s">
        <v>86</v>
      </c>
      <c r="AN4" s="173" t="s">
        <v>88</v>
      </c>
      <c r="AO4" s="175">
        <v>0.73799999999999999</v>
      </c>
      <c r="AP4" s="172">
        <v>16</v>
      </c>
      <c r="AQ4" s="353" t="s">
        <v>326</v>
      </c>
      <c r="AU4" s="182" t="s">
        <v>329</v>
      </c>
      <c r="AV4" s="384"/>
      <c r="AW4" s="183">
        <v>3.46</v>
      </c>
      <c r="AX4" s="183">
        <v>2.55002</v>
      </c>
      <c r="AY4" s="184">
        <v>1440</v>
      </c>
      <c r="AZ4" s="185">
        <v>7</v>
      </c>
      <c r="BA4" s="236">
        <v>2.19</v>
      </c>
      <c r="BB4" s="174"/>
      <c r="BC4" s="341"/>
      <c r="BD4" s="351"/>
      <c r="BE4" s="187">
        <v>2.93</v>
      </c>
      <c r="BF4" s="187">
        <v>13.76</v>
      </c>
      <c r="BG4" s="187" t="s">
        <v>86</v>
      </c>
      <c r="BH4" s="187" t="s">
        <v>90</v>
      </c>
      <c r="BI4" s="187">
        <v>2.25</v>
      </c>
      <c r="BJ4" s="237">
        <v>18</v>
      </c>
      <c r="BK4" s="375"/>
    </row>
    <row r="5" spans="1:63" x14ac:dyDescent="0.3">
      <c r="A5" s="1" t="s">
        <v>135</v>
      </c>
      <c r="B5" s="107" t="s">
        <v>86</v>
      </c>
      <c r="C5" s="107" t="s">
        <v>90</v>
      </c>
      <c r="D5">
        <v>2</v>
      </c>
      <c r="AA5" s="176" t="s">
        <v>327</v>
      </c>
      <c r="AB5" s="346"/>
      <c r="AC5" s="177">
        <v>2.67</v>
      </c>
      <c r="AD5" s="177">
        <v>1.9677899999999999</v>
      </c>
      <c r="AE5" s="178">
        <v>1548</v>
      </c>
      <c r="AF5" s="179">
        <v>11</v>
      </c>
      <c r="AG5" s="180">
        <v>2.2799999999999998</v>
      </c>
      <c r="AH5" s="174">
        <v>1</v>
      </c>
      <c r="AI5" s="349"/>
      <c r="AJ5" s="351"/>
      <c r="AK5" s="181">
        <v>1.86</v>
      </c>
      <c r="AL5" s="181">
        <v>8.6</v>
      </c>
      <c r="AM5" s="180" t="s">
        <v>86</v>
      </c>
      <c r="AN5" s="180" t="s">
        <v>88</v>
      </c>
      <c r="AO5" s="181">
        <v>0.73799999999999999</v>
      </c>
      <c r="AP5" s="179">
        <v>18.399999999999999</v>
      </c>
      <c r="AQ5" s="354"/>
      <c r="AU5" s="176" t="s">
        <v>332</v>
      </c>
      <c r="AV5" s="384"/>
      <c r="AW5" s="177">
        <v>5.22</v>
      </c>
      <c r="AX5" s="177">
        <v>3.8471399999999996</v>
      </c>
      <c r="AY5" s="178">
        <v>3096</v>
      </c>
      <c r="AZ5" s="179">
        <v>11</v>
      </c>
      <c r="BA5" s="238">
        <v>2.36</v>
      </c>
      <c r="BB5" s="174"/>
      <c r="BC5" s="367" t="s">
        <v>331</v>
      </c>
      <c r="BD5" s="351"/>
      <c r="BE5" s="181">
        <v>3.35</v>
      </c>
      <c r="BF5" s="181">
        <v>16.510000000000002</v>
      </c>
      <c r="BG5" s="181" t="s">
        <v>86</v>
      </c>
      <c r="BH5" s="181" t="s">
        <v>90</v>
      </c>
      <c r="BI5" s="181">
        <v>3</v>
      </c>
      <c r="BJ5" s="239">
        <v>26</v>
      </c>
      <c r="BK5" s="375"/>
    </row>
    <row r="6" spans="1:63" x14ac:dyDescent="0.3">
      <c r="A6" s="1" t="s">
        <v>136</v>
      </c>
      <c r="B6" s="107" t="s">
        <v>86</v>
      </c>
      <c r="C6" s="107" t="s">
        <v>90</v>
      </c>
      <c r="D6">
        <v>2</v>
      </c>
      <c r="AA6" s="176" t="s">
        <v>328</v>
      </c>
      <c r="AB6" s="346"/>
      <c r="AC6" s="177">
        <v>3.17</v>
      </c>
      <c r="AD6" s="177">
        <v>2.33629</v>
      </c>
      <c r="AE6" s="178">
        <v>1512</v>
      </c>
      <c r="AF6" s="179">
        <v>10</v>
      </c>
      <c r="AG6" s="180">
        <v>2.21</v>
      </c>
      <c r="AH6" s="174">
        <v>1</v>
      </c>
      <c r="AI6" s="349"/>
      <c r="AJ6" s="351"/>
      <c r="AK6" s="181">
        <v>2.48</v>
      </c>
      <c r="AL6" s="181">
        <v>11.47</v>
      </c>
      <c r="AM6" s="180" t="s">
        <v>86</v>
      </c>
      <c r="AN6" s="180" t="s">
        <v>90</v>
      </c>
      <c r="AO6" s="181">
        <v>1.476</v>
      </c>
      <c r="AP6" s="179">
        <v>19.7</v>
      </c>
      <c r="AQ6" s="355"/>
      <c r="AU6" s="176" t="s">
        <v>334</v>
      </c>
      <c r="AV6" s="384"/>
      <c r="AW6" s="177">
        <v>6.97</v>
      </c>
      <c r="AX6" s="177">
        <v>5.1368900000000002</v>
      </c>
      <c r="AY6" s="178">
        <v>2880</v>
      </c>
      <c r="AZ6" s="179">
        <v>10</v>
      </c>
      <c r="BA6" s="238">
        <v>2.19</v>
      </c>
      <c r="BB6" s="174"/>
      <c r="BC6" s="368"/>
      <c r="BD6" s="351"/>
      <c r="BE6" s="181">
        <v>5.59</v>
      </c>
      <c r="BF6" s="181">
        <v>27.52</v>
      </c>
      <c r="BG6" s="181" t="s">
        <v>86</v>
      </c>
      <c r="BH6" s="181" t="s">
        <v>90</v>
      </c>
      <c r="BI6" s="181">
        <v>3.75</v>
      </c>
      <c r="BJ6" s="239">
        <v>31</v>
      </c>
      <c r="BK6" s="375"/>
    </row>
    <row r="7" spans="1:63" x14ac:dyDescent="0.3">
      <c r="A7" s="1"/>
      <c r="B7" s="1"/>
      <c r="C7" s="1"/>
      <c r="AA7" s="176" t="s">
        <v>329</v>
      </c>
      <c r="AB7" s="346"/>
      <c r="AC7" s="177">
        <v>3.51</v>
      </c>
      <c r="AD7" s="177">
        <v>2.5868699999999998</v>
      </c>
      <c r="AE7" s="178">
        <v>1440</v>
      </c>
      <c r="AF7" s="179">
        <v>9</v>
      </c>
      <c r="AG7" s="180">
        <v>2.12</v>
      </c>
      <c r="AH7" s="174">
        <v>1</v>
      </c>
      <c r="AI7" s="349"/>
      <c r="AJ7" s="351"/>
      <c r="AK7" s="181">
        <v>3.1</v>
      </c>
      <c r="AL7" s="181">
        <v>14.33</v>
      </c>
      <c r="AM7" s="180" t="s">
        <v>86</v>
      </c>
      <c r="AN7" s="180" t="s">
        <v>90</v>
      </c>
      <c r="AO7" s="181">
        <v>1.476</v>
      </c>
      <c r="AP7" s="179">
        <v>21</v>
      </c>
      <c r="AQ7" s="355"/>
      <c r="AU7" s="182" t="s">
        <v>337</v>
      </c>
      <c r="AV7" s="384"/>
      <c r="AW7" s="183">
        <v>7.87</v>
      </c>
      <c r="AX7" s="183">
        <v>5.8001899999999997</v>
      </c>
      <c r="AY7" s="184">
        <v>4680</v>
      </c>
      <c r="AZ7" s="185">
        <v>8</v>
      </c>
      <c r="BA7" s="236">
        <v>2.36</v>
      </c>
      <c r="BB7" s="174"/>
      <c r="BC7" s="369" t="s">
        <v>336</v>
      </c>
      <c r="BD7" s="351"/>
      <c r="BE7" s="187">
        <v>4.95</v>
      </c>
      <c r="BF7" s="187">
        <v>24.77</v>
      </c>
      <c r="BG7" s="187" t="s">
        <v>86</v>
      </c>
      <c r="BH7" s="187" t="s">
        <v>91</v>
      </c>
      <c r="BI7" s="187">
        <v>4.4000000000000004</v>
      </c>
      <c r="BJ7" s="237">
        <v>37</v>
      </c>
      <c r="BK7" s="375"/>
    </row>
    <row r="8" spans="1:63" x14ac:dyDescent="0.3">
      <c r="A8" s="1" t="s">
        <v>137</v>
      </c>
      <c r="B8" s="107" t="s">
        <v>86</v>
      </c>
      <c r="C8" s="107" t="s">
        <v>90</v>
      </c>
      <c r="D8">
        <v>3</v>
      </c>
      <c r="AA8" s="182" t="s">
        <v>330</v>
      </c>
      <c r="AB8" s="346"/>
      <c r="AC8" s="183">
        <v>3.94</v>
      </c>
      <c r="AD8" s="183">
        <v>2.9037799999999998</v>
      </c>
      <c r="AE8" s="184">
        <v>3204</v>
      </c>
      <c r="AF8" s="185">
        <v>12</v>
      </c>
      <c r="AG8" s="186">
        <v>2.3199999999999998</v>
      </c>
      <c r="AH8" s="174">
        <v>2</v>
      </c>
      <c r="AI8" s="357" t="s">
        <v>331</v>
      </c>
      <c r="AJ8" s="351"/>
      <c r="AK8" s="187">
        <v>2.35</v>
      </c>
      <c r="AL8" s="187">
        <v>11.47</v>
      </c>
      <c r="AM8" s="186" t="s">
        <v>86</v>
      </c>
      <c r="AN8" s="186" t="s">
        <v>90</v>
      </c>
      <c r="AO8" s="187">
        <v>1.3380000000000001</v>
      </c>
      <c r="AP8" s="185">
        <v>26</v>
      </c>
      <c r="AQ8" s="355"/>
      <c r="AU8" s="182" t="s">
        <v>339</v>
      </c>
      <c r="AV8" s="384"/>
      <c r="AW8" s="183">
        <v>10.45</v>
      </c>
      <c r="AX8" s="183">
        <v>7.701649999999999</v>
      </c>
      <c r="AY8" s="184">
        <v>4320</v>
      </c>
      <c r="AZ8" s="185">
        <v>7</v>
      </c>
      <c r="BA8" s="236">
        <v>2.19</v>
      </c>
      <c r="BB8" s="174"/>
      <c r="BC8" s="341"/>
      <c r="BD8" s="351"/>
      <c r="BE8" s="187">
        <v>8.25</v>
      </c>
      <c r="BF8" s="187">
        <v>41.28</v>
      </c>
      <c r="BG8" s="187" t="s">
        <v>86</v>
      </c>
      <c r="BH8" s="187" t="s">
        <v>91</v>
      </c>
      <c r="BI8" s="187">
        <v>5.5</v>
      </c>
      <c r="BJ8" s="237">
        <v>44</v>
      </c>
      <c r="BK8" s="375"/>
    </row>
    <row r="9" spans="1:63" x14ac:dyDescent="0.3">
      <c r="A9" s="1" t="s">
        <v>138</v>
      </c>
      <c r="B9" s="107" t="s">
        <v>86</v>
      </c>
      <c r="C9" s="107" t="s">
        <v>90</v>
      </c>
      <c r="D9">
        <v>3</v>
      </c>
      <c r="AA9" s="182" t="s">
        <v>332</v>
      </c>
      <c r="AB9" s="346"/>
      <c r="AC9" s="183">
        <v>5.34</v>
      </c>
      <c r="AD9" s="183">
        <v>3.9355799999999999</v>
      </c>
      <c r="AE9" s="184">
        <v>3132</v>
      </c>
      <c r="AF9" s="185">
        <v>11</v>
      </c>
      <c r="AG9" s="186">
        <v>2.2799999999999998</v>
      </c>
      <c r="AH9" s="174">
        <v>2</v>
      </c>
      <c r="AI9" s="357"/>
      <c r="AJ9" s="351"/>
      <c r="AK9" s="187">
        <v>3.52</v>
      </c>
      <c r="AL9" s="187">
        <v>17.2</v>
      </c>
      <c r="AM9" s="186" t="s">
        <v>86</v>
      </c>
      <c r="AN9" s="186" t="s">
        <v>90</v>
      </c>
      <c r="AO9" s="187">
        <v>1.3380000000000001</v>
      </c>
      <c r="AP9" s="185">
        <v>28.9</v>
      </c>
      <c r="AQ9" s="355"/>
      <c r="AU9" s="176" t="s">
        <v>342</v>
      </c>
      <c r="AV9" s="384"/>
      <c r="AW9" s="177">
        <v>10.54</v>
      </c>
      <c r="AX9" s="177">
        <v>7.7679799999999997</v>
      </c>
      <c r="AY9" s="178">
        <v>6228</v>
      </c>
      <c r="AZ9" s="179">
        <v>11</v>
      </c>
      <c r="BA9" s="238">
        <v>2.36</v>
      </c>
      <c r="BB9" s="174"/>
      <c r="BC9" s="367" t="s">
        <v>341</v>
      </c>
      <c r="BD9" s="351"/>
      <c r="BE9" s="181">
        <v>6.54</v>
      </c>
      <c r="BF9" s="181">
        <v>33.03</v>
      </c>
      <c r="BG9" s="181" t="s">
        <v>86</v>
      </c>
      <c r="BH9" s="181" t="s">
        <v>91</v>
      </c>
      <c r="BI9" s="181">
        <v>5.6</v>
      </c>
      <c r="BJ9" s="239">
        <v>47</v>
      </c>
      <c r="BK9" s="375"/>
    </row>
    <row r="10" spans="1:63" ht="15" thickBot="1" x14ac:dyDescent="0.35">
      <c r="A10" s="1" t="s">
        <v>139</v>
      </c>
      <c r="B10" s="107" t="s">
        <v>86</v>
      </c>
      <c r="C10" s="107" t="s">
        <v>90</v>
      </c>
      <c r="D10">
        <v>3</v>
      </c>
      <c r="AA10" s="182" t="s">
        <v>333</v>
      </c>
      <c r="AB10" s="346"/>
      <c r="AC10" s="183">
        <v>6.38</v>
      </c>
      <c r="AD10" s="183">
        <v>4.7020599999999995</v>
      </c>
      <c r="AE10" s="184">
        <v>3024</v>
      </c>
      <c r="AF10" s="185">
        <v>10</v>
      </c>
      <c r="AG10" s="186">
        <v>2.21</v>
      </c>
      <c r="AH10" s="174">
        <v>2</v>
      </c>
      <c r="AI10" s="357"/>
      <c r="AJ10" s="351"/>
      <c r="AK10" s="187">
        <v>4.7</v>
      </c>
      <c r="AL10" s="187">
        <v>22.93</v>
      </c>
      <c r="AM10" s="186" t="s">
        <v>86</v>
      </c>
      <c r="AN10" s="186" t="s">
        <v>91</v>
      </c>
      <c r="AO10" s="187">
        <v>2.6760000000000002</v>
      </c>
      <c r="AP10" s="185">
        <v>31.5</v>
      </c>
      <c r="AQ10" s="355"/>
      <c r="AU10" s="194" t="s">
        <v>344</v>
      </c>
      <c r="AV10" s="385"/>
      <c r="AW10" s="195">
        <v>13.93</v>
      </c>
      <c r="AX10" s="195">
        <v>10.26641</v>
      </c>
      <c r="AY10" s="196">
        <v>5760</v>
      </c>
      <c r="AZ10" s="197">
        <v>10</v>
      </c>
      <c r="BA10" s="240">
        <v>2.19</v>
      </c>
      <c r="BB10" s="174"/>
      <c r="BC10" s="370"/>
      <c r="BD10" s="352"/>
      <c r="BE10" s="199">
        <v>10.91</v>
      </c>
      <c r="BF10" s="199">
        <v>55.04</v>
      </c>
      <c r="BG10" s="199" t="s">
        <v>88</v>
      </c>
      <c r="BH10" s="199" t="s">
        <v>91</v>
      </c>
      <c r="BI10" s="199">
        <v>7</v>
      </c>
      <c r="BJ10" s="241">
        <v>56</v>
      </c>
      <c r="BK10" s="376"/>
    </row>
    <row r="11" spans="1:63" ht="26.4" thickBot="1" x14ac:dyDescent="0.55000000000000004">
      <c r="A11" s="1" t="s">
        <v>262</v>
      </c>
      <c r="B11" s="107" t="s">
        <v>86</v>
      </c>
      <c r="C11" s="107" t="s">
        <v>90</v>
      </c>
      <c r="D11">
        <v>3</v>
      </c>
      <c r="AA11" s="182" t="s">
        <v>334</v>
      </c>
      <c r="AB11" s="346"/>
      <c r="AC11" s="183">
        <v>7.12</v>
      </c>
      <c r="AD11" s="183">
        <v>5.2474400000000001</v>
      </c>
      <c r="AE11" s="184">
        <v>2916</v>
      </c>
      <c r="AF11" s="185">
        <v>9</v>
      </c>
      <c r="AG11" s="186">
        <v>2.12</v>
      </c>
      <c r="AH11" s="174">
        <v>2</v>
      </c>
      <c r="AI11" s="357"/>
      <c r="AJ11" s="351"/>
      <c r="AK11" s="187">
        <v>5.87</v>
      </c>
      <c r="AL11" s="187">
        <v>28.67</v>
      </c>
      <c r="AM11" s="186" t="s">
        <v>86</v>
      </c>
      <c r="AN11" s="186" t="s">
        <v>91</v>
      </c>
      <c r="AO11" s="187">
        <v>2.6760000000000002</v>
      </c>
      <c r="AP11" s="185">
        <v>34.1</v>
      </c>
      <c r="AQ11" s="355"/>
      <c r="AU11" s="254"/>
      <c r="AV11" s="254"/>
      <c r="AW11" s="254"/>
      <c r="AX11" s="254"/>
      <c r="AY11" s="248"/>
      <c r="AZ11" s="249"/>
      <c r="BA11" s="250"/>
      <c r="BB11" s="248"/>
      <c r="BC11" s="248"/>
      <c r="BD11" s="248"/>
      <c r="BE11" s="250"/>
      <c r="BF11" s="250"/>
      <c r="BG11" s="250"/>
      <c r="BH11" s="250"/>
      <c r="BI11" s="250"/>
      <c r="BJ11" s="249"/>
      <c r="BK11" s="248"/>
    </row>
    <row r="12" spans="1:63" x14ac:dyDescent="0.3">
      <c r="A12" s="1" t="s">
        <v>140</v>
      </c>
      <c r="B12" s="107" t="s">
        <v>86</v>
      </c>
      <c r="C12" s="107" t="s">
        <v>90</v>
      </c>
      <c r="D12">
        <v>3</v>
      </c>
      <c r="AA12" s="176" t="s">
        <v>335</v>
      </c>
      <c r="AB12" s="346"/>
      <c r="AC12" s="177">
        <v>5.96</v>
      </c>
      <c r="AD12" s="177">
        <v>4.3925200000000002</v>
      </c>
      <c r="AE12" s="178">
        <v>4788</v>
      </c>
      <c r="AF12" s="179">
        <v>12</v>
      </c>
      <c r="AG12" s="180">
        <v>2.3199999999999998</v>
      </c>
      <c r="AH12" s="174">
        <v>3</v>
      </c>
      <c r="AI12" s="349" t="s">
        <v>336</v>
      </c>
      <c r="AJ12" s="351"/>
      <c r="AK12" s="181">
        <v>3.46</v>
      </c>
      <c r="AL12" s="181">
        <v>17.2</v>
      </c>
      <c r="AM12" s="180" t="s">
        <v>86</v>
      </c>
      <c r="AN12" s="180" t="s">
        <v>91</v>
      </c>
      <c r="AO12" s="181">
        <v>1.9379999999999999</v>
      </c>
      <c r="AP12" s="179">
        <v>35</v>
      </c>
      <c r="AQ12" s="355"/>
      <c r="AU12" s="203" t="s">
        <v>352</v>
      </c>
      <c r="AV12" s="386" t="s">
        <v>351</v>
      </c>
      <c r="AW12" s="204">
        <v>2.23</v>
      </c>
      <c r="AX12" s="204">
        <v>1.64351</v>
      </c>
      <c r="AY12" s="205">
        <v>1584</v>
      </c>
      <c r="AZ12" s="206">
        <v>8</v>
      </c>
      <c r="BA12" s="234">
        <v>2.4</v>
      </c>
      <c r="BB12" s="208"/>
      <c r="BC12" s="340" t="s">
        <v>324</v>
      </c>
      <c r="BD12" s="350" t="s">
        <v>444</v>
      </c>
      <c r="BE12" s="210">
        <v>1.76</v>
      </c>
      <c r="BF12" s="210">
        <v>5.69</v>
      </c>
      <c r="BG12" s="210" t="s">
        <v>86</v>
      </c>
      <c r="BH12" s="210" t="s">
        <v>88</v>
      </c>
      <c r="BI12" s="210">
        <v>1.8</v>
      </c>
      <c r="BJ12" s="206">
        <v>15</v>
      </c>
      <c r="BK12" s="353" t="s">
        <v>445</v>
      </c>
    </row>
    <row r="13" spans="1:63" x14ac:dyDescent="0.3">
      <c r="A13" s="1" t="s">
        <v>141</v>
      </c>
      <c r="B13" s="107" t="s">
        <v>86</v>
      </c>
      <c r="C13" s="107" t="s">
        <v>90</v>
      </c>
      <c r="D13">
        <v>3</v>
      </c>
      <c r="AA13" s="176" t="s">
        <v>337</v>
      </c>
      <c r="AB13" s="346"/>
      <c r="AC13" s="177">
        <v>8</v>
      </c>
      <c r="AD13" s="177">
        <v>5.8959999999999999</v>
      </c>
      <c r="AE13" s="178">
        <v>4680</v>
      </c>
      <c r="AF13" s="179">
        <v>11</v>
      </c>
      <c r="AG13" s="180">
        <v>2.2799999999999998</v>
      </c>
      <c r="AH13" s="174">
        <v>3</v>
      </c>
      <c r="AI13" s="349"/>
      <c r="AJ13" s="351"/>
      <c r="AK13" s="181">
        <v>5.19</v>
      </c>
      <c r="AL13" s="181">
        <v>25.8</v>
      </c>
      <c r="AM13" s="180" t="s">
        <v>86</v>
      </c>
      <c r="AN13" s="180" t="s">
        <v>91</v>
      </c>
      <c r="AO13" s="181">
        <v>1.9379999999999999</v>
      </c>
      <c r="AP13" s="179">
        <v>39</v>
      </c>
      <c r="AQ13" s="355"/>
      <c r="AU13" s="182" t="s">
        <v>354</v>
      </c>
      <c r="AV13" s="387"/>
      <c r="AW13" s="183">
        <v>3.17</v>
      </c>
      <c r="AX13" s="183">
        <v>2.33629</v>
      </c>
      <c r="AY13" s="184">
        <v>1512</v>
      </c>
      <c r="AZ13" s="185">
        <v>7</v>
      </c>
      <c r="BA13" s="236">
        <v>2.2999999999999998</v>
      </c>
      <c r="BB13" s="174"/>
      <c r="BC13" s="341"/>
      <c r="BD13" s="351"/>
      <c r="BE13" s="187">
        <v>2.93</v>
      </c>
      <c r="BF13" s="187">
        <v>9.48</v>
      </c>
      <c r="BG13" s="187" t="s">
        <v>86</v>
      </c>
      <c r="BH13" s="187" t="s">
        <v>90</v>
      </c>
      <c r="BI13" s="187">
        <v>2.25</v>
      </c>
      <c r="BJ13" s="185">
        <v>17</v>
      </c>
      <c r="BK13" s="355"/>
    </row>
    <row r="14" spans="1:63" x14ac:dyDescent="0.3">
      <c r="A14" s="1"/>
      <c r="B14" s="1"/>
      <c r="C14" s="1"/>
      <c r="AA14" s="176" t="s">
        <v>338</v>
      </c>
      <c r="AB14" s="346"/>
      <c r="AC14" s="177">
        <v>9.57</v>
      </c>
      <c r="AD14" s="177">
        <v>7.0530900000000001</v>
      </c>
      <c r="AE14" s="178">
        <v>4536</v>
      </c>
      <c r="AF14" s="179">
        <v>10</v>
      </c>
      <c r="AG14" s="180">
        <v>2.21</v>
      </c>
      <c r="AH14" s="174">
        <v>3</v>
      </c>
      <c r="AI14" s="349"/>
      <c r="AJ14" s="351"/>
      <c r="AK14" s="181">
        <v>6.92</v>
      </c>
      <c r="AL14" s="181">
        <v>34.4</v>
      </c>
      <c r="AM14" s="180" t="s">
        <v>86</v>
      </c>
      <c r="AN14" s="180" t="s">
        <v>91</v>
      </c>
      <c r="AO14" s="181">
        <v>3.8759999999999999</v>
      </c>
      <c r="AP14" s="179">
        <v>42.9</v>
      </c>
      <c r="AQ14" s="355"/>
      <c r="AU14" s="176" t="s">
        <v>356</v>
      </c>
      <c r="AV14" s="387"/>
      <c r="AW14" s="177">
        <v>4.5199999999999996</v>
      </c>
      <c r="AX14" s="177">
        <v>3.3312399999999998</v>
      </c>
      <c r="AY14" s="178">
        <v>3168</v>
      </c>
      <c r="AZ14" s="179">
        <v>11</v>
      </c>
      <c r="BA14" s="238">
        <v>2.4</v>
      </c>
      <c r="BB14" s="174"/>
      <c r="BC14" s="367" t="s">
        <v>331</v>
      </c>
      <c r="BD14" s="351"/>
      <c r="BE14" s="181">
        <v>3.35</v>
      </c>
      <c r="BF14" s="181">
        <v>11.38</v>
      </c>
      <c r="BG14" s="181" t="s">
        <v>86</v>
      </c>
      <c r="BH14" s="181" t="s">
        <v>90</v>
      </c>
      <c r="BI14" s="181">
        <v>3</v>
      </c>
      <c r="BJ14" s="179">
        <v>25</v>
      </c>
      <c r="BK14" s="355"/>
    </row>
    <row r="15" spans="1:63" x14ac:dyDescent="0.3">
      <c r="A15" s="1" t="s">
        <v>128</v>
      </c>
      <c r="B15" s="107" t="s">
        <v>86</v>
      </c>
      <c r="C15" s="107" t="s">
        <v>91</v>
      </c>
      <c r="D15">
        <v>4</v>
      </c>
      <c r="AA15" s="176" t="s">
        <v>339</v>
      </c>
      <c r="AB15" s="346"/>
      <c r="AC15" s="177">
        <v>10.68</v>
      </c>
      <c r="AD15" s="177">
        <v>7.8711599999999997</v>
      </c>
      <c r="AE15" s="178">
        <v>4356</v>
      </c>
      <c r="AF15" s="179">
        <v>9</v>
      </c>
      <c r="AG15" s="180">
        <v>2.12</v>
      </c>
      <c r="AH15" s="174">
        <v>3</v>
      </c>
      <c r="AI15" s="349"/>
      <c r="AJ15" s="351"/>
      <c r="AK15" s="181">
        <v>8.65</v>
      </c>
      <c r="AL15" s="181">
        <v>43</v>
      </c>
      <c r="AM15" s="180" t="s">
        <v>86</v>
      </c>
      <c r="AN15" s="180" t="s">
        <v>91</v>
      </c>
      <c r="AO15" s="181">
        <v>3.8759999999999999</v>
      </c>
      <c r="AP15" s="179">
        <v>46.8</v>
      </c>
      <c r="AQ15" s="355"/>
      <c r="AU15" s="176" t="s">
        <v>358</v>
      </c>
      <c r="AV15" s="387"/>
      <c r="AW15" s="177">
        <v>6.34</v>
      </c>
      <c r="AX15" s="177">
        <v>4.67258</v>
      </c>
      <c r="AY15" s="178">
        <v>3024</v>
      </c>
      <c r="AZ15" s="179">
        <v>10</v>
      </c>
      <c r="BA15" s="238">
        <v>2.2999999999999998</v>
      </c>
      <c r="BB15" s="174"/>
      <c r="BC15" s="368"/>
      <c r="BD15" s="351"/>
      <c r="BE15" s="181">
        <v>5.59</v>
      </c>
      <c r="BF15" s="181">
        <v>18.97</v>
      </c>
      <c r="BG15" s="181" t="s">
        <v>86</v>
      </c>
      <c r="BH15" s="181" t="s">
        <v>90</v>
      </c>
      <c r="BI15" s="181">
        <v>3.75</v>
      </c>
      <c r="BJ15" s="179">
        <v>30</v>
      </c>
      <c r="BK15" s="355"/>
    </row>
    <row r="16" spans="1:63" x14ac:dyDescent="0.3">
      <c r="A16" s="1" t="s">
        <v>142</v>
      </c>
      <c r="B16" s="107" t="s">
        <v>86</v>
      </c>
      <c r="C16" s="107" t="s">
        <v>91</v>
      </c>
      <c r="D16">
        <v>4</v>
      </c>
      <c r="AA16" s="188" t="s">
        <v>340</v>
      </c>
      <c r="AB16" s="346"/>
      <c r="AC16" s="189">
        <v>7.99</v>
      </c>
      <c r="AD16" s="189">
        <v>5.88863</v>
      </c>
      <c r="AE16" s="190">
        <v>6372</v>
      </c>
      <c r="AF16" s="191">
        <v>12</v>
      </c>
      <c r="AG16" s="192">
        <v>2.3199999999999998</v>
      </c>
      <c r="AH16" s="174">
        <v>4</v>
      </c>
      <c r="AI16" s="357" t="s">
        <v>341</v>
      </c>
      <c r="AJ16" s="351"/>
      <c r="AK16" s="193">
        <v>4.57</v>
      </c>
      <c r="AL16" s="193">
        <v>22.93</v>
      </c>
      <c r="AM16" s="192" t="s">
        <v>86</v>
      </c>
      <c r="AN16" s="192" t="s">
        <v>91</v>
      </c>
      <c r="AO16" s="193">
        <v>2.6760000000000002</v>
      </c>
      <c r="AP16" s="191">
        <v>43</v>
      </c>
      <c r="AQ16" s="355"/>
      <c r="AU16" s="182" t="s">
        <v>360</v>
      </c>
      <c r="AV16" s="387"/>
      <c r="AW16" s="183">
        <v>6.85</v>
      </c>
      <c r="AX16" s="183">
        <v>5.0484499999999999</v>
      </c>
      <c r="AY16" s="184">
        <v>4752</v>
      </c>
      <c r="AZ16" s="185">
        <v>8</v>
      </c>
      <c r="BA16" s="236">
        <v>2.4</v>
      </c>
      <c r="BB16" s="174"/>
      <c r="BC16" s="369" t="s">
        <v>336</v>
      </c>
      <c r="BD16" s="351"/>
      <c r="BE16" s="187">
        <v>4.95</v>
      </c>
      <c r="BF16" s="187">
        <v>17.07</v>
      </c>
      <c r="BG16" s="187" t="s">
        <v>86</v>
      </c>
      <c r="BH16" s="187" t="s">
        <v>91</v>
      </c>
      <c r="BI16" s="187">
        <v>4.4000000000000004</v>
      </c>
      <c r="BJ16" s="185">
        <v>35</v>
      </c>
      <c r="BK16" s="355"/>
    </row>
    <row r="17" spans="1:63" x14ac:dyDescent="0.3">
      <c r="A17" s="1" t="s">
        <v>143</v>
      </c>
      <c r="B17" s="107" t="s">
        <v>86</v>
      </c>
      <c r="C17" s="107" t="s">
        <v>91</v>
      </c>
      <c r="D17">
        <v>4</v>
      </c>
      <c r="AA17" s="182" t="s">
        <v>342</v>
      </c>
      <c r="AB17" s="346"/>
      <c r="AC17" s="183">
        <v>10.67</v>
      </c>
      <c r="AD17" s="183">
        <v>7.8637899999999998</v>
      </c>
      <c r="AE17" s="184">
        <v>6228</v>
      </c>
      <c r="AF17" s="185">
        <v>11</v>
      </c>
      <c r="AG17" s="186">
        <v>2.2799999999999998</v>
      </c>
      <c r="AH17" s="174">
        <v>4</v>
      </c>
      <c r="AI17" s="357"/>
      <c r="AJ17" s="351"/>
      <c r="AK17" s="187">
        <v>6.85</v>
      </c>
      <c r="AL17" s="187">
        <v>34.4</v>
      </c>
      <c r="AM17" s="186" t="s">
        <v>86</v>
      </c>
      <c r="AN17" s="186" t="s">
        <v>91</v>
      </c>
      <c r="AO17" s="187">
        <v>2.6760000000000002</v>
      </c>
      <c r="AP17" s="185">
        <v>49.3</v>
      </c>
      <c r="AQ17" s="355"/>
      <c r="AU17" s="182" t="s">
        <v>362</v>
      </c>
      <c r="AV17" s="387"/>
      <c r="AW17" s="183">
        <v>9.51</v>
      </c>
      <c r="AX17" s="183">
        <v>7.0088699999999999</v>
      </c>
      <c r="AY17" s="184">
        <v>4536</v>
      </c>
      <c r="AZ17" s="185">
        <v>7</v>
      </c>
      <c r="BA17" s="236">
        <v>2.2999999999999998</v>
      </c>
      <c r="BB17" s="174"/>
      <c r="BC17" s="341"/>
      <c r="BD17" s="351"/>
      <c r="BE17" s="187">
        <v>8.25</v>
      </c>
      <c r="BF17" s="187">
        <v>28.45</v>
      </c>
      <c r="BG17" s="187" t="s">
        <v>86</v>
      </c>
      <c r="BH17" s="187" t="s">
        <v>91</v>
      </c>
      <c r="BI17" s="187">
        <v>5.5</v>
      </c>
      <c r="BJ17" s="185">
        <v>42</v>
      </c>
      <c r="BK17" s="355"/>
    </row>
    <row r="18" spans="1:63" x14ac:dyDescent="0.3">
      <c r="A18" s="1" t="s">
        <v>144</v>
      </c>
      <c r="B18" s="107" t="s">
        <v>86</v>
      </c>
      <c r="C18" s="107" t="s">
        <v>91</v>
      </c>
      <c r="D18">
        <v>4</v>
      </c>
      <c r="AA18" s="182" t="s">
        <v>343</v>
      </c>
      <c r="AB18" s="346"/>
      <c r="AC18" s="183">
        <v>12.77</v>
      </c>
      <c r="AD18" s="183">
        <v>9.4114899999999988</v>
      </c>
      <c r="AE18" s="184">
        <v>6048</v>
      </c>
      <c r="AF18" s="185">
        <v>10</v>
      </c>
      <c r="AG18" s="186">
        <v>2.21</v>
      </c>
      <c r="AH18" s="174">
        <v>4</v>
      </c>
      <c r="AI18" s="357"/>
      <c r="AJ18" s="351"/>
      <c r="AK18" s="187">
        <v>9.1300000000000008</v>
      </c>
      <c r="AL18" s="187">
        <v>45.87</v>
      </c>
      <c r="AM18" s="186" t="s">
        <v>88</v>
      </c>
      <c r="AN18" s="186" t="s">
        <v>91</v>
      </c>
      <c r="AO18" s="187">
        <v>5.3520000000000003</v>
      </c>
      <c r="AP18" s="185">
        <v>54.5</v>
      </c>
      <c r="AQ18" s="355"/>
      <c r="AU18" s="176" t="s">
        <v>364</v>
      </c>
      <c r="AV18" s="387"/>
      <c r="AW18" s="177">
        <v>9.08</v>
      </c>
      <c r="AX18" s="177">
        <v>6.6919599999999999</v>
      </c>
      <c r="AY18" s="178">
        <v>6336</v>
      </c>
      <c r="AZ18" s="179">
        <v>11</v>
      </c>
      <c r="BA18" s="238">
        <v>2.4</v>
      </c>
      <c r="BB18" s="174"/>
      <c r="BC18" s="367" t="s">
        <v>341</v>
      </c>
      <c r="BD18" s="351"/>
      <c r="BE18" s="181">
        <v>6.54</v>
      </c>
      <c r="BF18" s="181">
        <v>22.76</v>
      </c>
      <c r="BG18" s="181" t="s">
        <v>86</v>
      </c>
      <c r="BH18" s="181" t="s">
        <v>91</v>
      </c>
      <c r="BI18" s="181">
        <v>5.6</v>
      </c>
      <c r="BJ18" s="179">
        <v>45</v>
      </c>
      <c r="BK18" s="355"/>
    </row>
    <row r="19" spans="1:63" ht="15" thickBot="1" x14ac:dyDescent="0.35">
      <c r="A19" s="1" t="s">
        <v>145</v>
      </c>
      <c r="B19" s="107" t="s">
        <v>86</v>
      </c>
      <c r="C19" s="107" t="s">
        <v>91</v>
      </c>
      <c r="D19">
        <v>4</v>
      </c>
      <c r="AA19" s="182" t="s">
        <v>344</v>
      </c>
      <c r="AB19" s="346"/>
      <c r="AC19" s="183">
        <v>14.23</v>
      </c>
      <c r="AD19" s="183">
        <v>10.48751</v>
      </c>
      <c r="AE19" s="184">
        <v>5832</v>
      </c>
      <c r="AF19" s="185">
        <v>9</v>
      </c>
      <c r="AG19" s="186">
        <v>2.12</v>
      </c>
      <c r="AH19" s="174">
        <v>4</v>
      </c>
      <c r="AI19" s="357"/>
      <c r="AJ19" s="351"/>
      <c r="AK19" s="187">
        <v>11.42</v>
      </c>
      <c r="AL19" s="187">
        <v>57.34</v>
      </c>
      <c r="AM19" s="186" t="s">
        <v>88</v>
      </c>
      <c r="AN19" s="186" t="s">
        <v>92</v>
      </c>
      <c r="AO19" s="187">
        <v>5.3520000000000003</v>
      </c>
      <c r="AP19" s="185">
        <v>59.7</v>
      </c>
      <c r="AQ19" s="355"/>
      <c r="AU19" s="194" t="s">
        <v>366</v>
      </c>
      <c r="AV19" s="388"/>
      <c r="AW19" s="195">
        <v>12.77</v>
      </c>
      <c r="AX19" s="195">
        <v>9.4114899999999988</v>
      </c>
      <c r="AY19" s="196">
        <v>6048</v>
      </c>
      <c r="AZ19" s="197">
        <v>10</v>
      </c>
      <c r="BA19" s="240">
        <v>2.2999999999999998</v>
      </c>
      <c r="BB19" s="174"/>
      <c r="BC19" s="370"/>
      <c r="BD19" s="352"/>
      <c r="BE19" s="199">
        <v>10.91</v>
      </c>
      <c r="BF19" s="199">
        <v>37.94</v>
      </c>
      <c r="BG19" s="199" t="s">
        <v>88</v>
      </c>
      <c r="BH19" s="199" t="s">
        <v>91</v>
      </c>
      <c r="BI19" s="199">
        <v>7</v>
      </c>
      <c r="BJ19" s="197">
        <v>54</v>
      </c>
      <c r="BK19" s="356"/>
    </row>
    <row r="20" spans="1:63" x14ac:dyDescent="0.3">
      <c r="A20" s="1" t="s">
        <v>146</v>
      </c>
      <c r="B20" s="107" t="s">
        <v>86</v>
      </c>
      <c r="C20" s="107" t="s">
        <v>91</v>
      </c>
      <c r="D20">
        <v>4</v>
      </c>
      <c r="AA20" s="176" t="s">
        <v>345</v>
      </c>
      <c r="AB20" s="346"/>
      <c r="AC20" s="177">
        <v>9.98</v>
      </c>
      <c r="AD20" s="177">
        <v>7.3552600000000004</v>
      </c>
      <c r="AE20" s="178">
        <v>7956</v>
      </c>
      <c r="AF20" s="179">
        <v>12</v>
      </c>
      <c r="AG20" s="180">
        <v>2.3199999999999998</v>
      </c>
      <c r="AH20" s="174">
        <v>5</v>
      </c>
      <c r="AI20" s="349" t="s">
        <v>346</v>
      </c>
      <c r="AJ20" s="351"/>
      <c r="AK20" s="181">
        <v>5.68</v>
      </c>
      <c r="AL20" s="181">
        <v>28.67</v>
      </c>
      <c r="AM20" s="180" t="s">
        <v>86</v>
      </c>
      <c r="AN20" s="180" t="s">
        <v>91</v>
      </c>
      <c r="AO20" s="181">
        <v>3.2759999999999998</v>
      </c>
      <c r="AP20" s="179">
        <v>54</v>
      </c>
      <c r="AQ20" s="355"/>
    </row>
    <row r="21" spans="1:63" x14ac:dyDescent="0.3">
      <c r="A21" s="1"/>
      <c r="B21" s="1"/>
      <c r="C21" s="1"/>
      <c r="AA21" s="176" t="s">
        <v>347</v>
      </c>
      <c r="AB21" s="346"/>
      <c r="AC21" s="177">
        <v>13.46</v>
      </c>
      <c r="AD21" s="177">
        <v>9.9200200000000009</v>
      </c>
      <c r="AE21" s="178">
        <v>7812</v>
      </c>
      <c r="AF21" s="179">
        <v>11</v>
      </c>
      <c r="AG21" s="180">
        <v>2.2799999999999998</v>
      </c>
      <c r="AH21" s="174">
        <v>5</v>
      </c>
      <c r="AI21" s="349"/>
      <c r="AJ21" s="351"/>
      <c r="AK21" s="181">
        <v>8.51</v>
      </c>
      <c r="AL21" s="181">
        <v>43</v>
      </c>
      <c r="AM21" s="180" t="s">
        <v>88</v>
      </c>
      <c r="AN21" s="180" t="s">
        <v>92</v>
      </c>
      <c r="AO21" s="181">
        <v>3.2759999999999998</v>
      </c>
      <c r="AP21" s="179">
        <v>59.6</v>
      </c>
      <c r="AQ21" s="355"/>
    </row>
    <row r="22" spans="1:63" x14ac:dyDescent="0.3">
      <c r="A22" s="1" t="s">
        <v>119</v>
      </c>
      <c r="B22" s="107" t="s">
        <v>86</v>
      </c>
      <c r="C22" s="107" t="s">
        <v>91</v>
      </c>
      <c r="D22">
        <v>5</v>
      </c>
      <c r="AA22" s="176" t="s">
        <v>348</v>
      </c>
      <c r="AB22" s="346"/>
      <c r="AC22" s="177">
        <v>16.010000000000002</v>
      </c>
      <c r="AD22" s="177">
        <v>11.799370000000001</v>
      </c>
      <c r="AE22" s="178">
        <v>7560</v>
      </c>
      <c r="AF22" s="179">
        <v>10</v>
      </c>
      <c r="AG22" s="180">
        <v>2.21</v>
      </c>
      <c r="AH22" s="174">
        <v>5</v>
      </c>
      <c r="AI22" s="349"/>
      <c r="AJ22" s="351"/>
      <c r="AK22" s="181">
        <v>11.35</v>
      </c>
      <c r="AL22" s="181">
        <v>57.34</v>
      </c>
      <c r="AM22" s="180" t="s">
        <v>88</v>
      </c>
      <c r="AN22" s="180" t="s">
        <v>92</v>
      </c>
      <c r="AO22" s="181">
        <v>6.5519999999999996</v>
      </c>
      <c r="AP22" s="179">
        <v>66.099999999999994</v>
      </c>
      <c r="AQ22" s="355"/>
    </row>
    <row r="23" spans="1:63" ht="15" thickBot="1" x14ac:dyDescent="0.35">
      <c r="A23" s="1" t="s">
        <v>147</v>
      </c>
      <c r="B23" s="107" t="s">
        <v>88</v>
      </c>
      <c r="C23" s="107" t="s">
        <v>91</v>
      </c>
      <c r="D23">
        <v>5</v>
      </c>
      <c r="AA23" s="194" t="s">
        <v>349</v>
      </c>
      <c r="AB23" s="347"/>
      <c r="AC23" s="195">
        <v>17.84</v>
      </c>
      <c r="AD23" s="195">
        <v>13.14808</v>
      </c>
      <c r="AE23" s="196">
        <v>7272</v>
      </c>
      <c r="AF23" s="197">
        <v>9</v>
      </c>
      <c r="AG23" s="198">
        <v>2.21</v>
      </c>
      <c r="AH23" s="174">
        <v>5</v>
      </c>
      <c r="AI23" s="358"/>
      <c r="AJ23" s="352"/>
      <c r="AK23" s="199">
        <v>14.19</v>
      </c>
      <c r="AL23" s="199">
        <v>71.67</v>
      </c>
      <c r="AM23" s="198" t="s">
        <v>88</v>
      </c>
      <c r="AN23" s="198" t="s">
        <v>92</v>
      </c>
      <c r="AO23" s="199">
        <v>6.5519999999999996</v>
      </c>
      <c r="AP23" s="197">
        <v>72.599999999999994</v>
      </c>
      <c r="AQ23" s="356"/>
    </row>
    <row r="24" spans="1:63" ht="15" thickBot="1" x14ac:dyDescent="0.35">
      <c r="A24" s="1" t="s">
        <v>148</v>
      </c>
      <c r="B24" s="107" t="s">
        <v>88</v>
      </c>
      <c r="C24" s="107" t="s">
        <v>91</v>
      </c>
      <c r="D24">
        <v>5</v>
      </c>
      <c r="AA24" s="200"/>
      <c r="AB24" s="174"/>
      <c r="AC24" s="174"/>
      <c r="AD24" s="174"/>
      <c r="AE24" s="174"/>
      <c r="AF24" s="201"/>
      <c r="AG24" s="202"/>
      <c r="AH24" s="174"/>
      <c r="AI24" s="174"/>
      <c r="AJ24" s="174"/>
      <c r="AK24" s="202"/>
      <c r="AL24" s="202"/>
      <c r="AM24" s="202"/>
      <c r="AN24" s="202"/>
      <c r="AO24" s="202"/>
      <c r="AP24" s="201"/>
      <c r="AQ24" s="174"/>
    </row>
    <row r="25" spans="1:63" x14ac:dyDescent="0.3">
      <c r="A25" s="1" t="s">
        <v>149</v>
      </c>
      <c r="B25" s="107" t="s">
        <v>86</v>
      </c>
      <c r="C25" s="107" t="s">
        <v>91</v>
      </c>
      <c r="D25">
        <v>5</v>
      </c>
      <c r="AA25" s="203" t="s">
        <v>350</v>
      </c>
      <c r="AB25" s="359" t="s">
        <v>351</v>
      </c>
      <c r="AC25" s="204">
        <v>1.62</v>
      </c>
      <c r="AD25" s="204">
        <v>1.19394</v>
      </c>
      <c r="AE25" s="205">
        <v>1620</v>
      </c>
      <c r="AF25" s="206">
        <v>12</v>
      </c>
      <c r="AG25" s="207">
        <v>2.35</v>
      </c>
      <c r="AH25" s="174">
        <v>1</v>
      </c>
      <c r="AI25" s="362" t="s">
        <v>324</v>
      </c>
      <c r="AJ25" s="350" t="s">
        <v>325</v>
      </c>
      <c r="AK25" s="209">
        <v>1.24</v>
      </c>
      <c r="AL25" s="209">
        <v>3.95</v>
      </c>
      <c r="AM25" s="207" t="s">
        <v>86</v>
      </c>
      <c r="AN25" s="207" t="s">
        <v>88</v>
      </c>
      <c r="AO25" s="210">
        <v>0.73799999999999999</v>
      </c>
      <c r="AP25" s="206">
        <v>17</v>
      </c>
      <c r="AQ25" s="353" t="s">
        <v>326</v>
      </c>
    </row>
    <row r="26" spans="1:63" x14ac:dyDescent="0.3">
      <c r="A26" s="1" t="s">
        <v>150</v>
      </c>
      <c r="B26" s="107" t="s">
        <v>88</v>
      </c>
      <c r="C26" s="107" t="s">
        <v>91</v>
      </c>
      <c r="D26">
        <v>5</v>
      </c>
      <c r="AA26" s="182" t="s">
        <v>352</v>
      </c>
      <c r="AB26" s="360"/>
      <c r="AC26" s="183">
        <v>2.29</v>
      </c>
      <c r="AD26" s="183">
        <v>1.68773</v>
      </c>
      <c r="AE26" s="184">
        <v>1584</v>
      </c>
      <c r="AF26" s="185">
        <v>11</v>
      </c>
      <c r="AG26" s="186">
        <v>2.31</v>
      </c>
      <c r="AH26" s="174">
        <v>1</v>
      </c>
      <c r="AI26" s="357"/>
      <c r="AJ26" s="351"/>
      <c r="AK26" s="187">
        <v>1.86</v>
      </c>
      <c r="AL26" s="187">
        <v>5.93</v>
      </c>
      <c r="AM26" s="186" t="s">
        <v>86</v>
      </c>
      <c r="AN26" s="186" t="s">
        <v>88</v>
      </c>
      <c r="AO26" s="187">
        <v>0.73799999999999999</v>
      </c>
      <c r="AP26" s="185">
        <v>17.8</v>
      </c>
      <c r="AQ26" s="354"/>
    </row>
    <row r="27" spans="1:63" x14ac:dyDescent="0.3">
      <c r="A27" s="1" t="s">
        <v>151</v>
      </c>
      <c r="B27" s="107" t="s">
        <v>88</v>
      </c>
      <c r="C27" s="107" t="s">
        <v>91</v>
      </c>
      <c r="D27">
        <v>5</v>
      </c>
      <c r="AA27" s="182" t="s">
        <v>353</v>
      </c>
      <c r="AB27" s="360"/>
      <c r="AC27" s="183">
        <v>2.8</v>
      </c>
      <c r="AD27" s="183">
        <v>2.0635999999999997</v>
      </c>
      <c r="AE27" s="184">
        <v>1548</v>
      </c>
      <c r="AF27" s="185">
        <v>10</v>
      </c>
      <c r="AG27" s="186">
        <v>2.2799999999999998</v>
      </c>
      <c r="AH27" s="174">
        <v>1</v>
      </c>
      <c r="AI27" s="357"/>
      <c r="AJ27" s="351"/>
      <c r="AK27" s="187">
        <v>2.48</v>
      </c>
      <c r="AL27" s="187">
        <v>7.9</v>
      </c>
      <c r="AM27" s="186" t="s">
        <v>86</v>
      </c>
      <c r="AN27" s="186" t="s">
        <v>88</v>
      </c>
      <c r="AO27" s="187">
        <v>0.73799999999999999</v>
      </c>
      <c r="AP27" s="185">
        <v>18.899999999999999</v>
      </c>
      <c r="AQ27" s="355"/>
    </row>
    <row r="28" spans="1:63" x14ac:dyDescent="0.3">
      <c r="A28" s="1"/>
      <c r="B28" s="1"/>
      <c r="C28" s="1"/>
      <c r="AA28" s="182" t="s">
        <v>354</v>
      </c>
      <c r="AB28" s="360"/>
      <c r="AC28" s="183">
        <v>3.2</v>
      </c>
      <c r="AD28" s="183">
        <v>2.3584000000000001</v>
      </c>
      <c r="AE28" s="184">
        <v>1512</v>
      </c>
      <c r="AF28" s="185">
        <v>9</v>
      </c>
      <c r="AG28" s="186">
        <v>2.23</v>
      </c>
      <c r="AH28" s="174">
        <v>1</v>
      </c>
      <c r="AI28" s="357"/>
      <c r="AJ28" s="351"/>
      <c r="AK28" s="187">
        <v>3.1</v>
      </c>
      <c r="AL28" s="187">
        <v>9.8800000000000008</v>
      </c>
      <c r="AM28" s="186" t="s">
        <v>86</v>
      </c>
      <c r="AN28" s="186" t="s">
        <v>90</v>
      </c>
      <c r="AO28" s="187">
        <v>0.73799999999999999</v>
      </c>
      <c r="AP28" s="185">
        <v>20</v>
      </c>
      <c r="AQ28" s="355"/>
    </row>
    <row r="29" spans="1:63" x14ac:dyDescent="0.3">
      <c r="A29" s="1" t="s">
        <v>152</v>
      </c>
      <c r="B29" s="107" t="s">
        <v>88</v>
      </c>
      <c r="C29" s="107" t="s">
        <v>91</v>
      </c>
      <c r="D29">
        <v>6</v>
      </c>
      <c r="AA29" s="176" t="s">
        <v>355</v>
      </c>
      <c r="AB29" s="360"/>
      <c r="AC29" s="177">
        <v>3.33</v>
      </c>
      <c r="AD29" s="177">
        <v>2.4542100000000002</v>
      </c>
      <c r="AE29" s="178">
        <v>3240</v>
      </c>
      <c r="AF29" s="179">
        <v>12</v>
      </c>
      <c r="AG29" s="180">
        <v>2.35</v>
      </c>
      <c r="AH29" s="174">
        <v>2</v>
      </c>
      <c r="AI29" s="349" t="s">
        <v>331</v>
      </c>
      <c r="AJ29" s="351"/>
      <c r="AK29" s="181">
        <v>2.35</v>
      </c>
      <c r="AL29" s="181">
        <v>7.9</v>
      </c>
      <c r="AM29" s="180" t="s">
        <v>86</v>
      </c>
      <c r="AN29" s="180" t="s">
        <v>90</v>
      </c>
      <c r="AO29" s="181">
        <v>1.3380000000000001</v>
      </c>
      <c r="AP29" s="179">
        <v>26</v>
      </c>
      <c r="AQ29" s="355"/>
    </row>
    <row r="30" spans="1:63" x14ac:dyDescent="0.3">
      <c r="A30" s="1" t="s">
        <v>127</v>
      </c>
      <c r="B30" s="107" t="s">
        <v>88</v>
      </c>
      <c r="C30" s="107" t="s">
        <v>91</v>
      </c>
      <c r="D30">
        <v>6</v>
      </c>
      <c r="AA30" s="176" t="s">
        <v>356</v>
      </c>
      <c r="AB30" s="360"/>
      <c r="AC30" s="177">
        <v>4.63</v>
      </c>
      <c r="AD30" s="177">
        <v>3.4123099999999997</v>
      </c>
      <c r="AE30" s="178">
        <v>3168</v>
      </c>
      <c r="AF30" s="179">
        <v>11</v>
      </c>
      <c r="AG30" s="180">
        <v>2.31</v>
      </c>
      <c r="AH30" s="174">
        <v>2</v>
      </c>
      <c r="AI30" s="349"/>
      <c r="AJ30" s="351"/>
      <c r="AK30" s="181">
        <v>3.52</v>
      </c>
      <c r="AL30" s="181">
        <v>11.86</v>
      </c>
      <c r="AM30" s="180" t="s">
        <v>86</v>
      </c>
      <c r="AN30" s="180" t="s">
        <v>90</v>
      </c>
      <c r="AO30" s="181">
        <v>1.3380000000000001</v>
      </c>
      <c r="AP30" s="179">
        <v>27.7</v>
      </c>
      <c r="AQ30" s="355"/>
    </row>
    <row r="31" spans="1:63" ht="15" customHeight="1" x14ac:dyDescent="0.3">
      <c r="A31" s="1" t="s">
        <v>153</v>
      </c>
      <c r="B31" s="107" t="s">
        <v>88</v>
      </c>
      <c r="C31" s="107" t="s">
        <v>92</v>
      </c>
      <c r="D31">
        <v>6</v>
      </c>
      <c r="AA31" s="176" t="s">
        <v>357</v>
      </c>
      <c r="AB31" s="360"/>
      <c r="AC31" s="177">
        <v>5.66</v>
      </c>
      <c r="AD31" s="177">
        <v>4.1714200000000003</v>
      </c>
      <c r="AE31" s="178">
        <v>3132</v>
      </c>
      <c r="AF31" s="179">
        <v>10</v>
      </c>
      <c r="AG31" s="180">
        <v>2.2799999999999998</v>
      </c>
      <c r="AH31" s="174">
        <v>2</v>
      </c>
      <c r="AI31" s="349"/>
      <c r="AJ31" s="351"/>
      <c r="AK31" s="181">
        <v>4.7</v>
      </c>
      <c r="AL31" s="181">
        <v>15.81</v>
      </c>
      <c r="AM31" s="180" t="s">
        <v>86</v>
      </c>
      <c r="AN31" s="180" t="s">
        <v>90</v>
      </c>
      <c r="AO31" s="181">
        <v>1.3380000000000001</v>
      </c>
      <c r="AP31" s="179">
        <v>29.9</v>
      </c>
      <c r="AQ31" s="355"/>
    </row>
    <row r="32" spans="1:63" x14ac:dyDescent="0.3">
      <c r="A32" s="1" t="s">
        <v>154</v>
      </c>
      <c r="B32" s="107" t="s">
        <v>88</v>
      </c>
      <c r="C32" s="107" t="s">
        <v>91</v>
      </c>
      <c r="D32">
        <v>6</v>
      </c>
      <c r="AA32" s="176" t="s">
        <v>358</v>
      </c>
      <c r="AB32" s="360"/>
      <c r="AC32" s="177">
        <v>6.48</v>
      </c>
      <c r="AD32" s="177">
        <v>4.77576</v>
      </c>
      <c r="AE32" s="178">
        <v>3060</v>
      </c>
      <c r="AF32" s="179">
        <v>9</v>
      </c>
      <c r="AG32" s="180">
        <v>2.23</v>
      </c>
      <c r="AH32" s="174">
        <v>2</v>
      </c>
      <c r="AI32" s="349"/>
      <c r="AJ32" s="351"/>
      <c r="AK32" s="181">
        <v>5.87</v>
      </c>
      <c r="AL32" s="181">
        <v>19.760000000000002</v>
      </c>
      <c r="AM32" s="180" t="s">
        <v>86</v>
      </c>
      <c r="AN32" s="180" t="s">
        <v>91</v>
      </c>
      <c r="AO32" s="181">
        <v>2.6760000000000002</v>
      </c>
      <c r="AP32" s="179">
        <v>32.1</v>
      </c>
      <c r="AQ32" s="355"/>
    </row>
    <row r="33" spans="1:43" x14ac:dyDescent="0.3">
      <c r="A33" s="1" t="s">
        <v>155</v>
      </c>
      <c r="B33" s="107" t="s">
        <v>88</v>
      </c>
      <c r="C33" s="107" t="s">
        <v>91</v>
      </c>
      <c r="D33">
        <v>6</v>
      </c>
      <c r="AA33" s="188" t="s">
        <v>359</v>
      </c>
      <c r="AB33" s="360"/>
      <c r="AC33" s="189">
        <v>5.07</v>
      </c>
      <c r="AD33" s="189">
        <v>3.7365900000000001</v>
      </c>
      <c r="AE33" s="190">
        <v>4860</v>
      </c>
      <c r="AF33" s="191">
        <v>12</v>
      </c>
      <c r="AG33" s="192">
        <v>2.35</v>
      </c>
      <c r="AH33" s="174">
        <v>3</v>
      </c>
      <c r="AI33" s="357" t="s">
        <v>336</v>
      </c>
      <c r="AJ33" s="351"/>
      <c r="AK33" s="193">
        <v>3.46</v>
      </c>
      <c r="AL33" s="193">
        <v>11.86</v>
      </c>
      <c r="AM33" s="192" t="s">
        <v>86</v>
      </c>
      <c r="AN33" s="192" t="s">
        <v>90</v>
      </c>
      <c r="AO33" s="193">
        <v>1.9379999999999999</v>
      </c>
      <c r="AP33" s="191">
        <v>33</v>
      </c>
      <c r="AQ33" s="355"/>
    </row>
    <row r="34" spans="1:43" ht="15" customHeight="1" x14ac:dyDescent="0.3">
      <c r="A34" s="1" t="s">
        <v>156</v>
      </c>
      <c r="B34" s="107" t="s">
        <v>88</v>
      </c>
      <c r="C34" s="107" t="s">
        <v>92</v>
      </c>
      <c r="D34">
        <v>6</v>
      </c>
      <c r="AA34" s="182" t="s">
        <v>360</v>
      </c>
      <c r="AB34" s="360"/>
      <c r="AC34" s="183">
        <v>6.95</v>
      </c>
      <c r="AD34" s="183">
        <v>5.1958500000000001</v>
      </c>
      <c r="AE34" s="184">
        <v>4752</v>
      </c>
      <c r="AF34" s="185">
        <v>11</v>
      </c>
      <c r="AG34" s="186">
        <v>2.31</v>
      </c>
      <c r="AH34" s="174">
        <v>3</v>
      </c>
      <c r="AI34" s="357"/>
      <c r="AJ34" s="351"/>
      <c r="AK34" s="187">
        <v>5.19</v>
      </c>
      <c r="AL34" s="187">
        <v>17.78</v>
      </c>
      <c r="AM34" s="186" t="s">
        <v>86</v>
      </c>
      <c r="AN34" s="186" t="s">
        <v>91</v>
      </c>
      <c r="AO34" s="187">
        <v>1.9379999999999999</v>
      </c>
      <c r="AP34" s="185">
        <v>37.200000000000003</v>
      </c>
      <c r="AQ34" s="355"/>
    </row>
    <row r="35" spans="1:43" x14ac:dyDescent="0.3">
      <c r="A35" s="1"/>
      <c r="B35" s="1"/>
      <c r="C35" s="1"/>
      <c r="AA35" s="182" t="s">
        <v>361</v>
      </c>
      <c r="AB35" s="360"/>
      <c r="AC35" s="183">
        <v>8.49</v>
      </c>
      <c r="AD35" s="183">
        <v>6.2571300000000001</v>
      </c>
      <c r="AE35" s="184">
        <v>4680</v>
      </c>
      <c r="AF35" s="185">
        <v>10</v>
      </c>
      <c r="AG35" s="186">
        <v>2.2799999999999998</v>
      </c>
      <c r="AH35" s="174">
        <v>3</v>
      </c>
      <c r="AI35" s="357"/>
      <c r="AJ35" s="351"/>
      <c r="AK35" s="187">
        <v>6.92</v>
      </c>
      <c r="AL35" s="187">
        <v>23.71</v>
      </c>
      <c r="AM35" s="186" t="s">
        <v>86</v>
      </c>
      <c r="AN35" s="186" t="s">
        <v>91</v>
      </c>
      <c r="AO35" s="187">
        <v>1.9379999999999999</v>
      </c>
      <c r="AP35" s="185">
        <v>40.5</v>
      </c>
      <c r="AQ35" s="355"/>
    </row>
    <row r="36" spans="1:43" x14ac:dyDescent="0.3">
      <c r="A36" s="1"/>
      <c r="B36" s="1"/>
      <c r="C36" s="1"/>
      <c r="AA36" s="182" t="s">
        <v>362</v>
      </c>
      <c r="AB36" s="360"/>
      <c r="AC36" s="183">
        <v>9.73</v>
      </c>
      <c r="AD36" s="183">
        <v>7.1710099999999999</v>
      </c>
      <c r="AE36" s="184">
        <v>4572</v>
      </c>
      <c r="AF36" s="185">
        <v>9</v>
      </c>
      <c r="AG36" s="186">
        <v>2.23</v>
      </c>
      <c r="AH36" s="174">
        <v>3</v>
      </c>
      <c r="AI36" s="357"/>
      <c r="AJ36" s="351"/>
      <c r="AK36" s="187">
        <v>8.65</v>
      </c>
      <c r="AL36" s="187">
        <v>29.64</v>
      </c>
      <c r="AM36" s="186" t="s">
        <v>86</v>
      </c>
      <c r="AN36" s="186" t="s">
        <v>91</v>
      </c>
      <c r="AO36" s="187">
        <v>3.8759999999999999</v>
      </c>
      <c r="AP36" s="185">
        <v>43.8</v>
      </c>
      <c r="AQ36" s="355"/>
    </row>
    <row r="37" spans="1:43" x14ac:dyDescent="0.3">
      <c r="A37" s="1" t="s">
        <v>157</v>
      </c>
      <c r="B37" s="107" t="s">
        <v>86</v>
      </c>
      <c r="C37" s="107" t="s">
        <v>90</v>
      </c>
      <c r="D37">
        <v>2</v>
      </c>
      <c r="AA37" s="176" t="s">
        <v>363</v>
      </c>
      <c r="AB37" s="360"/>
      <c r="AC37" s="177">
        <v>6.76</v>
      </c>
      <c r="AD37" s="177">
        <v>4.9821200000000001</v>
      </c>
      <c r="AE37" s="178">
        <v>6444</v>
      </c>
      <c r="AF37" s="179">
        <v>12</v>
      </c>
      <c r="AG37" s="180">
        <v>2.35</v>
      </c>
      <c r="AH37" s="174">
        <v>4</v>
      </c>
      <c r="AI37" s="349" t="s">
        <v>341</v>
      </c>
      <c r="AJ37" s="351"/>
      <c r="AK37" s="181">
        <v>4.57</v>
      </c>
      <c r="AL37" s="181">
        <v>15.81</v>
      </c>
      <c r="AM37" s="180" t="s">
        <v>86</v>
      </c>
      <c r="AN37" s="180" t="s">
        <v>91</v>
      </c>
      <c r="AO37" s="181">
        <v>2.6760000000000002</v>
      </c>
      <c r="AP37" s="179">
        <v>42</v>
      </c>
      <c r="AQ37" s="355"/>
    </row>
    <row r="38" spans="1:43" x14ac:dyDescent="0.3">
      <c r="A38" s="1" t="s">
        <v>158</v>
      </c>
      <c r="B38" s="107" t="s">
        <v>86</v>
      </c>
      <c r="C38" s="107" t="s">
        <v>90</v>
      </c>
      <c r="D38">
        <v>2</v>
      </c>
      <c r="AA38" s="176" t="s">
        <v>364</v>
      </c>
      <c r="AB38" s="360"/>
      <c r="AC38" s="177">
        <v>9.27</v>
      </c>
      <c r="AD38" s="177">
        <v>6.8319899999999993</v>
      </c>
      <c r="AE38" s="178">
        <v>6336</v>
      </c>
      <c r="AF38" s="179">
        <v>11</v>
      </c>
      <c r="AG38" s="180">
        <v>2.31</v>
      </c>
      <c r="AH38" s="174">
        <v>4</v>
      </c>
      <c r="AI38" s="349"/>
      <c r="AJ38" s="351"/>
      <c r="AK38" s="181">
        <v>6.85</v>
      </c>
      <c r="AL38" s="181">
        <v>23.71</v>
      </c>
      <c r="AM38" s="180" t="s">
        <v>86</v>
      </c>
      <c r="AN38" s="180" t="s">
        <v>91</v>
      </c>
      <c r="AO38" s="181">
        <v>2.6760000000000002</v>
      </c>
      <c r="AP38" s="179">
        <v>46.9</v>
      </c>
      <c r="AQ38" s="355"/>
    </row>
    <row r="39" spans="1:43" x14ac:dyDescent="0.3">
      <c r="A39" s="1" t="s">
        <v>159</v>
      </c>
      <c r="B39" s="107" t="s">
        <v>86</v>
      </c>
      <c r="C39" s="107" t="s">
        <v>90</v>
      </c>
      <c r="D39">
        <v>2</v>
      </c>
      <c r="AA39" s="176" t="s">
        <v>365</v>
      </c>
      <c r="AB39" s="360"/>
      <c r="AC39" s="177">
        <v>11.41</v>
      </c>
      <c r="AD39" s="177">
        <v>8.4091699999999996</v>
      </c>
      <c r="AE39" s="178">
        <v>6228</v>
      </c>
      <c r="AF39" s="179">
        <v>10</v>
      </c>
      <c r="AG39" s="180">
        <v>2.2799999999999998</v>
      </c>
      <c r="AH39" s="174">
        <v>4</v>
      </c>
      <c r="AI39" s="349"/>
      <c r="AJ39" s="351"/>
      <c r="AK39" s="181">
        <v>9.1300000000000008</v>
      </c>
      <c r="AL39" s="181">
        <v>31.62</v>
      </c>
      <c r="AM39" s="180" t="s">
        <v>86</v>
      </c>
      <c r="AN39" s="180" t="s">
        <v>91</v>
      </c>
      <c r="AO39" s="181">
        <v>2.6760000000000002</v>
      </c>
      <c r="AP39" s="179">
        <v>51.3</v>
      </c>
      <c r="AQ39" s="355"/>
    </row>
    <row r="40" spans="1:43" x14ac:dyDescent="0.3">
      <c r="A40" s="1" t="s">
        <v>160</v>
      </c>
      <c r="B40" s="107" t="s">
        <v>86</v>
      </c>
      <c r="C40" s="107" t="s">
        <v>90</v>
      </c>
      <c r="D40">
        <v>2</v>
      </c>
      <c r="AA40" s="176" t="s">
        <v>366</v>
      </c>
      <c r="AB40" s="360"/>
      <c r="AC40" s="177">
        <v>12.97</v>
      </c>
      <c r="AD40" s="177">
        <v>9.5588899999999999</v>
      </c>
      <c r="AE40" s="178">
        <v>6120</v>
      </c>
      <c r="AF40" s="179">
        <v>9</v>
      </c>
      <c r="AG40" s="180">
        <v>2.23</v>
      </c>
      <c r="AH40" s="174">
        <v>4</v>
      </c>
      <c r="AI40" s="349"/>
      <c r="AJ40" s="351"/>
      <c r="AK40" s="181">
        <v>11.42</v>
      </c>
      <c r="AL40" s="181">
        <v>39.520000000000003</v>
      </c>
      <c r="AM40" s="180" t="s">
        <v>88</v>
      </c>
      <c r="AN40" s="180" t="s">
        <v>91</v>
      </c>
      <c r="AO40" s="181">
        <v>5.3520000000000003</v>
      </c>
      <c r="AP40" s="179">
        <v>55.7</v>
      </c>
      <c r="AQ40" s="355"/>
    </row>
    <row r="41" spans="1:43" x14ac:dyDescent="0.3">
      <c r="A41" s="1"/>
      <c r="B41" s="1"/>
      <c r="C41" s="1"/>
      <c r="AA41" s="188" t="s">
        <v>367</v>
      </c>
      <c r="AB41" s="360"/>
      <c r="AC41" s="189">
        <v>8.4499999999999993</v>
      </c>
      <c r="AD41" s="189">
        <v>6.2276499999999997</v>
      </c>
      <c r="AE41" s="190">
        <v>8064.0000000000009</v>
      </c>
      <c r="AF41" s="191">
        <v>12</v>
      </c>
      <c r="AG41" s="192">
        <v>2.35</v>
      </c>
      <c r="AH41" s="174">
        <v>5</v>
      </c>
      <c r="AI41" s="357" t="s">
        <v>346</v>
      </c>
      <c r="AJ41" s="351"/>
      <c r="AK41" s="193">
        <v>5.68</v>
      </c>
      <c r="AL41" s="193">
        <v>19.760000000000002</v>
      </c>
      <c r="AM41" s="192" t="s">
        <v>86</v>
      </c>
      <c r="AN41" s="192" t="s">
        <v>91</v>
      </c>
      <c r="AO41" s="193">
        <v>3.2759999999999998</v>
      </c>
      <c r="AP41" s="191">
        <v>51</v>
      </c>
      <c r="AQ41" s="355"/>
    </row>
    <row r="42" spans="1:43" x14ac:dyDescent="0.3">
      <c r="A42" s="1" t="s">
        <v>161</v>
      </c>
      <c r="B42" s="107" t="s">
        <v>86</v>
      </c>
      <c r="C42" s="107" t="s">
        <v>91</v>
      </c>
      <c r="D42">
        <v>3</v>
      </c>
      <c r="AA42" s="182" t="s">
        <v>368</v>
      </c>
      <c r="AB42" s="360"/>
      <c r="AC42" s="183">
        <v>11.58</v>
      </c>
      <c r="AD42" s="183">
        <v>8.5344599999999993</v>
      </c>
      <c r="AE42" s="184">
        <v>7920.0000000000009</v>
      </c>
      <c r="AF42" s="185">
        <v>11</v>
      </c>
      <c r="AG42" s="186">
        <v>2.31</v>
      </c>
      <c r="AH42" s="174">
        <v>5</v>
      </c>
      <c r="AI42" s="357"/>
      <c r="AJ42" s="351"/>
      <c r="AK42" s="187">
        <v>8.51</v>
      </c>
      <c r="AL42" s="187">
        <v>29.64</v>
      </c>
      <c r="AM42" s="186" t="s">
        <v>442</v>
      </c>
      <c r="AN42" s="186" t="s">
        <v>91</v>
      </c>
      <c r="AO42" s="187">
        <v>3.2759999999999998</v>
      </c>
      <c r="AP42" s="185">
        <v>56.6</v>
      </c>
      <c r="AQ42" s="355"/>
    </row>
    <row r="43" spans="1:43" x14ac:dyDescent="0.3">
      <c r="A43" s="1" t="s">
        <v>162</v>
      </c>
      <c r="B43" s="107" t="s">
        <v>86</v>
      </c>
      <c r="C43" s="107" t="s">
        <v>91</v>
      </c>
      <c r="D43">
        <v>3</v>
      </c>
      <c r="AA43" s="182" t="s">
        <v>369</v>
      </c>
      <c r="AB43" s="360"/>
      <c r="AC43" s="183">
        <v>14.26</v>
      </c>
      <c r="AD43" s="183">
        <v>10.50962</v>
      </c>
      <c r="AE43" s="184">
        <v>7812</v>
      </c>
      <c r="AF43" s="185">
        <v>10</v>
      </c>
      <c r="AG43" s="186">
        <v>2.2799999999999998</v>
      </c>
      <c r="AH43" s="174">
        <v>5</v>
      </c>
      <c r="AI43" s="357"/>
      <c r="AJ43" s="351"/>
      <c r="AK43" s="187">
        <v>11.35</v>
      </c>
      <c r="AL43" s="187">
        <v>39.520000000000003</v>
      </c>
      <c r="AM43" s="186" t="s">
        <v>88</v>
      </c>
      <c r="AN43" s="186" t="s">
        <v>92</v>
      </c>
      <c r="AO43" s="187">
        <v>3.2759999999999998</v>
      </c>
      <c r="AP43" s="185">
        <v>62.1</v>
      </c>
      <c r="AQ43" s="355"/>
    </row>
    <row r="44" spans="1:43" ht="15" thickBot="1" x14ac:dyDescent="0.35">
      <c r="A44" s="1" t="s">
        <v>163</v>
      </c>
      <c r="B44" s="107" t="s">
        <v>86</v>
      </c>
      <c r="C44" s="107" t="s">
        <v>91</v>
      </c>
      <c r="D44">
        <v>3</v>
      </c>
      <c r="AA44" s="211" t="s">
        <v>370</v>
      </c>
      <c r="AB44" s="361"/>
      <c r="AC44" s="212">
        <v>16.32</v>
      </c>
      <c r="AD44" s="212">
        <v>12.027839999999999</v>
      </c>
      <c r="AE44" s="213">
        <v>7632</v>
      </c>
      <c r="AF44" s="214">
        <v>9</v>
      </c>
      <c r="AG44" s="215">
        <v>2.23</v>
      </c>
      <c r="AH44" s="174">
        <v>5</v>
      </c>
      <c r="AI44" s="363"/>
      <c r="AJ44" s="352"/>
      <c r="AK44" s="216">
        <v>14.19</v>
      </c>
      <c r="AL44" s="216">
        <v>49.4</v>
      </c>
      <c r="AM44" s="215" t="s">
        <v>88</v>
      </c>
      <c r="AN44" s="215" t="s">
        <v>92</v>
      </c>
      <c r="AO44" s="216">
        <v>6.5519999999999996</v>
      </c>
      <c r="AP44" s="214">
        <v>67.599999999999994</v>
      </c>
      <c r="AQ44" s="356"/>
    </row>
    <row r="45" spans="1:43" x14ac:dyDescent="0.3">
      <c r="A45" s="1" t="s">
        <v>164</v>
      </c>
      <c r="B45" s="107" t="s">
        <v>86</v>
      </c>
      <c r="C45" s="107" t="s">
        <v>91</v>
      </c>
      <c r="D45">
        <v>3</v>
      </c>
      <c r="AA45" s="203" t="s">
        <v>389</v>
      </c>
      <c r="AB45" s="364" t="s">
        <v>323</v>
      </c>
      <c r="AC45" s="204">
        <v>5.12</v>
      </c>
      <c r="AD45" s="204">
        <v>3.7734399999999999</v>
      </c>
      <c r="AE45" s="205">
        <v>2772</v>
      </c>
      <c r="AF45" s="206">
        <v>14</v>
      </c>
      <c r="AG45" s="234">
        <v>2.86</v>
      </c>
      <c r="AH45" s="174">
        <v>1</v>
      </c>
      <c r="AI45" s="340" t="s">
        <v>390</v>
      </c>
      <c r="AJ45" s="350" t="s">
        <v>391</v>
      </c>
      <c r="AK45" s="210">
        <v>3.46</v>
      </c>
      <c r="AL45" s="210">
        <v>16.100000000000001</v>
      </c>
      <c r="AM45" s="234" t="s">
        <v>86</v>
      </c>
      <c r="AN45" s="234" t="s">
        <v>90</v>
      </c>
      <c r="AO45" s="210">
        <v>1.92</v>
      </c>
      <c r="AP45" s="235">
        <v>23</v>
      </c>
      <c r="AQ45" s="353" t="s">
        <v>326</v>
      </c>
    </row>
    <row r="46" spans="1:43" x14ac:dyDescent="0.3">
      <c r="A46" s="1"/>
      <c r="B46" s="1"/>
      <c r="C46" s="1"/>
      <c r="AA46" s="182" t="s">
        <v>392</v>
      </c>
      <c r="AB46" s="365"/>
      <c r="AC46" s="183">
        <v>6.36</v>
      </c>
      <c r="AD46" s="183">
        <v>4.6873200000000006</v>
      </c>
      <c r="AE46" s="184">
        <v>2592</v>
      </c>
      <c r="AF46" s="185">
        <v>14</v>
      </c>
      <c r="AG46" s="236">
        <v>2.7</v>
      </c>
      <c r="AH46" s="174">
        <v>1</v>
      </c>
      <c r="AI46" s="341"/>
      <c r="AJ46" s="351"/>
      <c r="AK46" s="187">
        <v>5.19</v>
      </c>
      <c r="AL46" s="187">
        <v>24.15</v>
      </c>
      <c r="AM46" s="236" t="s">
        <v>86</v>
      </c>
      <c r="AN46" s="236" t="s">
        <v>91</v>
      </c>
      <c r="AO46" s="187">
        <v>1.92</v>
      </c>
      <c r="AP46" s="237">
        <v>27</v>
      </c>
      <c r="AQ46" s="355"/>
    </row>
    <row r="47" spans="1:43" x14ac:dyDescent="0.3">
      <c r="A47" s="1" t="s">
        <v>165</v>
      </c>
      <c r="B47" s="107" t="s">
        <v>88</v>
      </c>
      <c r="C47" s="107" t="s">
        <v>91</v>
      </c>
      <c r="D47">
        <v>4</v>
      </c>
      <c r="AA47" s="176" t="s">
        <v>393</v>
      </c>
      <c r="AB47" s="365"/>
      <c r="AC47" s="177">
        <v>10.32</v>
      </c>
      <c r="AD47" s="177">
        <v>7.6058399999999997</v>
      </c>
      <c r="AE47" s="178">
        <v>5508</v>
      </c>
      <c r="AF47" s="179">
        <v>15</v>
      </c>
      <c r="AG47" s="238">
        <v>2.86</v>
      </c>
      <c r="AH47" s="174">
        <v>2</v>
      </c>
      <c r="AI47" s="367" t="s">
        <v>394</v>
      </c>
      <c r="AJ47" s="351"/>
      <c r="AK47" s="181">
        <v>6.57</v>
      </c>
      <c r="AL47" s="181">
        <v>32.200000000000003</v>
      </c>
      <c r="AM47" s="238" t="s">
        <v>86</v>
      </c>
      <c r="AN47" s="238" t="s">
        <v>91</v>
      </c>
      <c r="AO47" s="181">
        <v>3.84</v>
      </c>
      <c r="AP47" s="239">
        <v>38</v>
      </c>
      <c r="AQ47" s="355"/>
    </row>
    <row r="48" spans="1:43" x14ac:dyDescent="0.3">
      <c r="A48" s="1" t="s">
        <v>166</v>
      </c>
      <c r="B48" s="107" t="s">
        <v>88</v>
      </c>
      <c r="C48" s="107" t="s">
        <v>91</v>
      </c>
      <c r="D48">
        <v>4</v>
      </c>
      <c r="AA48" s="176" t="s">
        <v>395</v>
      </c>
      <c r="AB48" s="365"/>
      <c r="AC48" s="177">
        <v>12.8</v>
      </c>
      <c r="AD48" s="177">
        <v>9.4336000000000002</v>
      </c>
      <c r="AE48" s="178">
        <v>5184</v>
      </c>
      <c r="AF48" s="179">
        <v>15</v>
      </c>
      <c r="AG48" s="238">
        <v>2.7</v>
      </c>
      <c r="AH48" s="174">
        <v>2</v>
      </c>
      <c r="AI48" s="368"/>
      <c r="AJ48" s="351"/>
      <c r="AK48" s="181">
        <v>9.86</v>
      </c>
      <c r="AL48" s="181">
        <v>48.3</v>
      </c>
      <c r="AM48" s="238" t="s">
        <v>88</v>
      </c>
      <c r="AN48" s="238" t="s">
        <v>91</v>
      </c>
      <c r="AO48" s="181">
        <v>3.84</v>
      </c>
      <c r="AP48" s="239">
        <v>44</v>
      </c>
      <c r="AQ48" s="355"/>
    </row>
    <row r="49" spans="1:43" x14ac:dyDescent="0.3">
      <c r="A49" s="1" t="s">
        <v>167</v>
      </c>
      <c r="B49" s="107" t="s">
        <v>88</v>
      </c>
      <c r="C49" s="107" t="s">
        <v>91</v>
      </c>
      <c r="D49">
        <v>4</v>
      </c>
      <c r="AA49" s="182" t="s">
        <v>396</v>
      </c>
      <c r="AB49" s="365"/>
      <c r="AC49" s="183">
        <v>15.49</v>
      </c>
      <c r="AD49" s="183">
        <v>11.416130000000001</v>
      </c>
      <c r="AE49" s="184">
        <v>8280</v>
      </c>
      <c r="AF49" s="185">
        <v>16</v>
      </c>
      <c r="AG49" s="236">
        <v>2.86</v>
      </c>
      <c r="AH49" s="174">
        <v>3</v>
      </c>
      <c r="AI49" s="369" t="s">
        <v>397</v>
      </c>
      <c r="AJ49" s="351"/>
      <c r="AK49" s="187">
        <v>9.68</v>
      </c>
      <c r="AL49" s="187">
        <v>48.3</v>
      </c>
      <c r="AM49" s="236" t="s">
        <v>88</v>
      </c>
      <c r="AN49" s="236" t="s">
        <v>92</v>
      </c>
      <c r="AO49" s="187">
        <v>5.7600000000000007</v>
      </c>
      <c r="AP49" s="237">
        <v>51</v>
      </c>
      <c r="AQ49" s="355"/>
    </row>
    <row r="50" spans="1:43" x14ac:dyDescent="0.3">
      <c r="A50" s="1" t="s">
        <v>168</v>
      </c>
      <c r="B50" s="107" t="s">
        <v>88</v>
      </c>
      <c r="C50" s="107" t="s">
        <v>91</v>
      </c>
      <c r="D50">
        <v>4</v>
      </c>
      <c r="AA50" s="182" t="s">
        <v>398</v>
      </c>
      <c r="AB50" s="365"/>
      <c r="AC50" s="183">
        <v>19.260000000000002</v>
      </c>
      <c r="AD50" s="183">
        <v>14.19462</v>
      </c>
      <c r="AE50" s="184">
        <v>7812</v>
      </c>
      <c r="AF50" s="185">
        <v>16</v>
      </c>
      <c r="AG50" s="236">
        <v>2.7</v>
      </c>
      <c r="AH50" s="174">
        <v>3</v>
      </c>
      <c r="AI50" s="341"/>
      <c r="AJ50" s="351"/>
      <c r="AK50" s="187">
        <v>14.53</v>
      </c>
      <c r="AL50" s="187">
        <v>72.45</v>
      </c>
      <c r="AM50" s="236" t="s">
        <v>88</v>
      </c>
      <c r="AN50" s="236" t="s">
        <v>92</v>
      </c>
      <c r="AO50" s="187">
        <v>5.7600000000000007</v>
      </c>
      <c r="AP50" s="237">
        <v>61</v>
      </c>
      <c r="AQ50" s="355"/>
    </row>
    <row r="51" spans="1:43" x14ac:dyDescent="0.3">
      <c r="A51" s="1"/>
      <c r="B51" s="1"/>
      <c r="C51" s="1"/>
      <c r="AA51" s="176" t="s">
        <v>399</v>
      </c>
      <c r="AB51" s="365"/>
      <c r="AC51" s="177">
        <v>20.73</v>
      </c>
      <c r="AD51" s="177">
        <v>15.27801</v>
      </c>
      <c r="AE51" s="178">
        <v>11016</v>
      </c>
      <c r="AF51" s="179">
        <v>17</v>
      </c>
      <c r="AG51" s="238">
        <v>2.86</v>
      </c>
      <c r="AH51" s="174">
        <v>4</v>
      </c>
      <c r="AI51" s="367" t="s">
        <v>400</v>
      </c>
      <c r="AJ51" s="351"/>
      <c r="AK51" s="181">
        <v>12.8</v>
      </c>
      <c r="AL51" s="181">
        <v>64.400000000000006</v>
      </c>
      <c r="AM51" s="238" t="s">
        <v>88</v>
      </c>
      <c r="AN51" s="238" t="s">
        <v>92</v>
      </c>
      <c r="AO51" s="181">
        <v>7.68</v>
      </c>
      <c r="AP51" s="239">
        <v>65</v>
      </c>
      <c r="AQ51" s="355"/>
    </row>
    <row r="52" spans="1:43" ht="15" customHeight="1" thickBot="1" x14ac:dyDescent="0.35">
      <c r="A52" s="1" t="s">
        <v>120</v>
      </c>
      <c r="B52" s="107" t="s">
        <v>88</v>
      </c>
      <c r="C52" s="107" t="s">
        <v>92</v>
      </c>
      <c r="D52">
        <v>5</v>
      </c>
      <c r="AA52" s="194" t="s">
        <v>401</v>
      </c>
      <c r="AB52" s="366"/>
      <c r="AC52" s="195">
        <v>25.68</v>
      </c>
      <c r="AD52" s="195">
        <v>18.926159999999999</v>
      </c>
      <c r="AE52" s="196">
        <v>10404</v>
      </c>
      <c r="AF52" s="197">
        <v>17</v>
      </c>
      <c r="AG52" s="240">
        <v>2.7</v>
      </c>
      <c r="AH52" s="174">
        <v>4</v>
      </c>
      <c r="AI52" s="370"/>
      <c r="AJ52" s="352"/>
      <c r="AK52" s="199">
        <v>19.190000000000001</v>
      </c>
      <c r="AL52" s="199">
        <v>96.6</v>
      </c>
      <c r="AM52" s="240" t="s">
        <v>88</v>
      </c>
      <c r="AN52" s="240" t="s">
        <v>92</v>
      </c>
      <c r="AO52" s="199">
        <v>7.68</v>
      </c>
      <c r="AP52" s="241">
        <v>78</v>
      </c>
      <c r="AQ52" s="356"/>
    </row>
    <row r="53" spans="1:43" ht="15" thickBot="1" x14ac:dyDescent="0.35">
      <c r="A53" s="1" t="s">
        <v>169</v>
      </c>
      <c r="B53" s="107" t="s">
        <v>88</v>
      </c>
      <c r="C53" s="107" t="s">
        <v>92</v>
      </c>
      <c r="D53">
        <v>5</v>
      </c>
      <c r="AA53" s="200"/>
      <c r="AB53" s="174"/>
      <c r="AC53" s="174"/>
      <c r="AD53" s="174"/>
      <c r="AE53" s="174"/>
      <c r="AF53" s="201"/>
      <c r="AG53" s="202"/>
      <c r="AH53" s="174"/>
      <c r="AI53" s="174"/>
      <c r="AJ53" s="174"/>
      <c r="AK53" s="202"/>
      <c r="AL53" s="202"/>
      <c r="AM53" s="202"/>
      <c r="AN53" s="202"/>
      <c r="AO53" s="202"/>
      <c r="AP53" s="201"/>
      <c r="AQ53" s="174"/>
    </row>
    <row r="54" spans="1:43" x14ac:dyDescent="0.3">
      <c r="A54" s="1" t="s">
        <v>170</v>
      </c>
      <c r="B54" s="107" t="s">
        <v>88</v>
      </c>
      <c r="C54" s="107" t="s">
        <v>92</v>
      </c>
      <c r="D54">
        <v>5</v>
      </c>
      <c r="AA54" s="203" t="s">
        <v>402</v>
      </c>
      <c r="AB54" s="337" t="s">
        <v>351</v>
      </c>
      <c r="AC54" s="204">
        <v>4.5199999999999996</v>
      </c>
      <c r="AD54" s="204">
        <v>3.3312399999999998</v>
      </c>
      <c r="AE54" s="205">
        <v>2844</v>
      </c>
      <c r="AF54" s="206">
        <v>15</v>
      </c>
      <c r="AG54" s="210">
        <v>2.96</v>
      </c>
      <c r="AH54" s="174">
        <v>1</v>
      </c>
      <c r="AI54" s="340" t="s">
        <v>390</v>
      </c>
      <c r="AJ54" s="350" t="s">
        <v>391</v>
      </c>
      <c r="AK54" s="210">
        <v>3.46</v>
      </c>
      <c r="AL54" s="210">
        <v>11.1</v>
      </c>
      <c r="AM54" s="210" t="s">
        <v>86</v>
      </c>
      <c r="AN54" s="210" t="s">
        <v>90</v>
      </c>
      <c r="AO54" s="210">
        <v>1.92</v>
      </c>
      <c r="AP54" s="206">
        <v>26</v>
      </c>
      <c r="AQ54" s="353" t="s">
        <v>326</v>
      </c>
    </row>
    <row r="55" spans="1:43" ht="15" customHeight="1" x14ac:dyDescent="0.3">
      <c r="A55" s="1" t="s">
        <v>171</v>
      </c>
      <c r="B55" s="107" t="s">
        <v>88</v>
      </c>
      <c r="C55" s="107" t="s">
        <v>92</v>
      </c>
      <c r="D55">
        <v>5</v>
      </c>
      <c r="AA55" s="182" t="s">
        <v>403</v>
      </c>
      <c r="AB55" s="338"/>
      <c r="AC55" s="183">
        <v>5.8</v>
      </c>
      <c r="AD55" s="183">
        <v>4.2745999999999995</v>
      </c>
      <c r="AE55" s="184">
        <v>2700</v>
      </c>
      <c r="AF55" s="185">
        <v>15</v>
      </c>
      <c r="AG55" s="236">
        <v>2.82</v>
      </c>
      <c r="AH55" s="174">
        <v>1</v>
      </c>
      <c r="AI55" s="341"/>
      <c r="AJ55" s="351"/>
      <c r="AK55" s="187">
        <v>5.19</v>
      </c>
      <c r="AL55" s="187">
        <v>16.649999999999999</v>
      </c>
      <c r="AM55" s="236" t="s">
        <v>86</v>
      </c>
      <c r="AN55" s="236" t="s">
        <v>90</v>
      </c>
      <c r="AO55" s="187">
        <v>1.92</v>
      </c>
      <c r="AP55" s="185">
        <v>26</v>
      </c>
      <c r="AQ55" s="355"/>
    </row>
    <row r="56" spans="1:43" x14ac:dyDescent="0.3">
      <c r="A56" s="1"/>
      <c r="B56" s="1"/>
      <c r="C56" s="1"/>
      <c r="AA56" s="176" t="s">
        <v>404</v>
      </c>
      <c r="AB56" s="338"/>
      <c r="AC56" s="177">
        <v>9.1199999999999992</v>
      </c>
      <c r="AD56" s="177">
        <v>6.7214399999999994</v>
      </c>
      <c r="AE56" s="178">
        <v>5688</v>
      </c>
      <c r="AF56" s="179">
        <v>16</v>
      </c>
      <c r="AG56" s="238">
        <v>2.95</v>
      </c>
      <c r="AH56" s="174">
        <v>2</v>
      </c>
      <c r="AI56" s="367" t="s">
        <v>394</v>
      </c>
      <c r="AJ56" s="351"/>
      <c r="AK56" s="181">
        <v>6.57</v>
      </c>
      <c r="AL56" s="181">
        <v>22.19</v>
      </c>
      <c r="AM56" s="238" t="s">
        <v>86</v>
      </c>
      <c r="AN56" s="238" t="s">
        <v>91</v>
      </c>
      <c r="AO56" s="181">
        <v>3.84</v>
      </c>
      <c r="AP56" s="179">
        <v>37</v>
      </c>
      <c r="AQ56" s="355"/>
    </row>
    <row r="57" spans="1:43" x14ac:dyDescent="0.3">
      <c r="A57" s="1"/>
      <c r="B57" s="1"/>
      <c r="C57" s="1"/>
      <c r="AA57" s="176" t="s">
        <v>405</v>
      </c>
      <c r="AB57" s="338"/>
      <c r="AC57" s="177">
        <v>11.68</v>
      </c>
      <c r="AD57" s="177">
        <v>8.6081599999999998</v>
      </c>
      <c r="AE57" s="178">
        <v>5436</v>
      </c>
      <c r="AF57" s="179">
        <v>16</v>
      </c>
      <c r="AG57" s="238">
        <v>2.82</v>
      </c>
      <c r="AH57" s="174">
        <v>2</v>
      </c>
      <c r="AI57" s="368"/>
      <c r="AJ57" s="351"/>
      <c r="AK57" s="181">
        <v>9.86</v>
      </c>
      <c r="AL57" s="181">
        <v>33.29</v>
      </c>
      <c r="AM57" s="238" t="s">
        <v>88</v>
      </c>
      <c r="AN57" s="238" t="s">
        <v>91</v>
      </c>
      <c r="AO57" s="181">
        <v>3.84</v>
      </c>
      <c r="AP57" s="179">
        <v>43</v>
      </c>
      <c r="AQ57" s="355"/>
    </row>
    <row r="58" spans="1:43" x14ac:dyDescent="0.3">
      <c r="A58" s="1" t="s">
        <v>172</v>
      </c>
      <c r="B58" s="107" t="s">
        <v>88</v>
      </c>
      <c r="C58" s="107" t="s">
        <v>91</v>
      </c>
      <c r="D58">
        <v>2</v>
      </c>
      <c r="AA58" s="182" t="s">
        <v>406</v>
      </c>
      <c r="AB58" s="338"/>
      <c r="AC58" s="183">
        <v>13.67</v>
      </c>
      <c r="AD58" s="183">
        <v>10.07479</v>
      </c>
      <c r="AE58" s="184">
        <v>8496</v>
      </c>
      <c r="AF58" s="185">
        <v>17</v>
      </c>
      <c r="AG58" s="236">
        <v>2.95</v>
      </c>
      <c r="AH58" s="174">
        <v>3</v>
      </c>
      <c r="AI58" s="369" t="s">
        <v>397</v>
      </c>
      <c r="AJ58" s="351"/>
      <c r="AK58" s="187">
        <v>9.68</v>
      </c>
      <c r="AL58" s="187">
        <v>33.29</v>
      </c>
      <c r="AM58" s="236" t="s">
        <v>88</v>
      </c>
      <c r="AN58" s="236" t="s">
        <v>92</v>
      </c>
      <c r="AO58" s="187">
        <v>5.7600000000000007</v>
      </c>
      <c r="AP58" s="185">
        <v>49</v>
      </c>
      <c r="AQ58" s="355"/>
    </row>
    <row r="59" spans="1:43" x14ac:dyDescent="0.3">
      <c r="A59" s="1" t="s">
        <v>173</v>
      </c>
      <c r="B59" s="107" t="s">
        <v>88</v>
      </c>
      <c r="C59" s="107" t="s">
        <v>91</v>
      </c>
      <c r="D59">
        <v>2</v>
      </c>
      <c r="AA59" s="182" t="s">
        <v>407</v>
      </c>
      <c r="AB59" s="338"/>
      <c r="AC59" s="183">
        <v>17.63</v>
      </c>
      <c r="AD59" s="183">
        <v>12.993309999999999</v>
      </c>
      <c r="AE59" s="184">
        <v>8135.9999999999991</v>
      </c>
      <c r="AF59" s="185">
        <v>17</v>
      </c>
      <c r="AG59" s="236">
        <v>2.82</v>
      </c>
      <c r="AH59" s="174">
        <v>3</v>
      </c>
      <c r="AI59" s="341"/>
      <c r="AJ59" s="351"/>
      <c r="AK59" s="187">
        <v>14.53</v>
      </c>
      <c r="AL59" s="187">
        <v>49.94</v>
      </c>
      <c r="AM59" s="236" t="s">
        <v>88</v>
      </c>
      <c r="AN59" s="236" t="s">
        <v>92</v>
      </c>
      <c r="AO59" s="187">
        <v>5.7600000000000007</v>
      </c>
      <c r="AP59" s="185">
        <v>58</v>
      </c>
      <c r="AQ59" s="355"/>
    </row>
    <row r="60" spans="1:43" x14ac:dyDescent="0.3">
      <c r="A60" s="1" t="s">
        <v>174</v>
      </c>
      <c r="B60" s="107" t="s">
        <v>88</v>
      </c>
      <c r="C60" s="107" t="s">
        <v>91</v>
      </c>
      <c r="D60">
        <v>2</v>
      </c>
      <c r="AA60" s="176" t="s">
        <v>408</v>
      </c>
      <c r="AB60" s="338"/>
      <c r="AC60" s="177">
        <v>18.23</v>
      </c>
      <c r="AD60" s="177">
        <v>13.435510000000001</v>
      </c>
      <c r="AE60" s="178">
        <v>11340</v>
      </c>
      <c r="AF60" s="179">
        <v>18</v>
      </c>
      <c r="AG60" s="238">
        <v>2.95</v>
      </c>
      <c r="AH60" s="174">
        <v>4</v>
      </c>
      <c r="AI60" s="367" t="s">
        <v>400</v>
      </c>
      <c r="AJ60" s="351"/>
      <c r="AK60" s="181">
        <v>12.8</v>
      </c>
      <c r="AL60" s="181">
        <v>44.39</v>
      </c>
      <c r="AM60" s="238" t="s">
        <v>88</v>
      </c>
      <c r="AN60" s="238" t="s">
        <v>92</v>
      </c>
      <c r="AO60" s="181">
        <v>7.68</v>
      </c>
      <c r="AP60" s="179">
        <v>63</v>
      </c>
      <c r="AQ60" s="355"/>
    </row>
    <row r="61" spans="1:43" ht="15" thickBot="1" x14ac:dyDescent="0.35">
      <c r="A61" s="1" t="s">
        <v>175</v>
      </c>
      <c r="B61" s="107" t="s">
        <v>88</v>
      </c>
      <c r="C61" s="107" t="s">
        <v>91</v>
      </c>
      <c r="D61">
        <v>2</v>
      </c>
      <c r="AA61" s="194" t="s">
        <v>409</v>
      </c>
      <c r="AB61" s="339"/>
      <c r="AC61" s="195">
        <v>23.51</v>
      </c>
      <c r="AD61" s="195">
        <v>17.32687</v>
      </c>
      <c r="AE61" s="196">
        <v>10872</v>
      </c>
      <c r="AF61" s="197">
        <v>18</v>
      </c>
      <c r="AG61" s="240">
        <v>2.82</v>
      </c>
      <c r="AH61" s="174">
        <v>4</v>
      </c>
      <c r="AI61" s="370"/>
      <c r="AJ61" s="352"/>
      <c r="AK61" s="199">
        <v>19.190000000000001</v>
      </c>
      <c r="AL61" s="199">
        <v>66.58</v>
      </c>
      <c r="AM61" s="240" t="s">
        <v>88</v>
      </c>
      <c r="AN61" s="240" t="s">
        <v>92</v>
      </c>
      <c r="AO61" s="199">
        <v>7.68</v>
      </c>
      <c r="AP61" s="197">
        <v>75</v>
      </c>
      <c r="AQ61" s="356"/>
    </row>
    <row r="62" spans="1:43" ht="15" customHeight="1" x14ac:dyDescent="0.3">
      <c r="A62" s="1"/>
      <c r="B62" s="1"/>
      <c r="C62" s="1"/>
      <c r="AA62" s="169" t="s">
        <v>410</v>
      </c>
      <c r="AB62" s="345" t="s">
        <v>323</v>
      </c>
      <c r="AC62" s="170">
        <v>13.15</v>
      </c>
      <c r="AD62" s="170">
        <v>9.6915499999999994</v>
      </c>
      <c r="AE62" s="171">
        <v>8748</v>
      </c>
      <c r="AF62" s="172">
        <v>20</v>
      </c>
      <c r="AG62" s="242">
        <v>4.24</v>
      </c>
      <c r="AH62" s="174">
        <v>1</v>
      </c>
      <c r="AI62" s="378" t="s">
        <v>411</v>
      </c>
      <c r="AJ62" s="371" t="s">
        <v>412</v>
      </c>
      <c r="AK62" s="175">
        <v>7.09</v>
      </c>
      <c r="AL62" s="175">
        <v>34.9</v>
      </c>
      <c r="AM62" s="242" t="s">
        <v>88</v>
      </c>
      <c r="AN62" s="242" t="s">
        <v>91</v>
      </c>
      <c r="AO62" s="175">
        <v>4.2</v>
      </c>
      <c r="AP62" s="243">
        <v>79</v>
      </c>
      <c r="AQ62" s="374" t="s">
        <v>413</v>
      </c>
    </row>
    <row r="63" spans="1:43" x14ac:dyDescent="0.3">
      <c r="A63" s="1" t="s">
        <v>176</v>
      </c>
      <c r="B63" s="107" t="s">
        <v>88</v>
      </c>
      <c r="C63" s="107" t="s">
        <v>92</v>
      </c>
      <c r="D63">
        <v>3</v>
      </c>
      <c r="AA63" s="176" t="s">
        <v>414</v>
      </c>
      <c r="AB63" s="346"/>
      <c r="AC63" s="177">
        <v>17.02</v>
      </c>
      <c r="AD63" s="177">
        <v>12.54374</v>
      </c>
      <c r="AE63" s="178">
        <v>8208</v>
      </c>
      <c r="AF63" s="179">
        <v>20</v>
      </c>
      <c r="AG63" s="238">
        <v>3.98</v>
      </c>
      <c r="AH63" s="174">
        <v>1</v>
      </c>
      <c r="AI63" s="368"/>
      <c r="AJ63" s="372"/>
      <c r="AK63" s="181">
        <v>10.64</v>
      </c>
      <c r="AL63" s="181">
        <v>51.74</v>
      </c>
      <c r="AM63" s="238" t="s">
        <v>88</v>
      </c>
      <c r="AN63" s="238" t="s">
        <v>92</v>
      </c>
      <c r="AO63" s="181">
        <v>4.2</v>
      </c>
      <c r="AP63" s="239">
        <v>86</v>
      </c>
      <c r="AQ63" s="375"/>
    </row>
    <row r="64" spans="1:43" x14ac:dyDescent="0.3">
      <c r="A64" s="1" t="s">
        <v>177</v>
      </c>
      <c r="B64" s="107" t="s">
        <v>90</v>
      </c>
      <c r="C64" s="107" t="s">
        <v>92</v>
      </c>
      <c r="D64">
        <v>3</v>
      </c>
      <c r="AA64" s="182" t="s">
        <v>415</v>
      </c>
      <c r="AB64" s="346"/>
      <c r="AC64" s="183">
        <v>26.56</v>
      </c>
      <c r="AD64" s="183">
        <v>19.574719999999999</v>
      </c>
      <c r="AE64" s="184">
        <v>17496</v>
      </c>
      <c r="AF64" s="185">
        <v>24</v>
      </c>
      <c r="AG64" s="236">
        <v>4.24</v>
      </c>
      <c r="AH64" s="174">
        <v>2</v>
      </c>
      <c r="AI64" s="369" t="s">
        <v>416</v>
      </c>
      <c r="AJ64" s="372"/>
      <c r="AK64" s="187">
        <v>13.76</v>
      </c>
      <c r="AL64" s="187">
        <v>68.989999999999995</v>
      </c>
      <c r="AM64" s="236" t="s">
        <v>88</v>
      </c>
      <c r="AN64" s="236" t="s">
        <v>92</v>
      </c>
      <c r="AO64" s="187">
        <v>8.4</v>
      </c>
      <c r="AP64" s="237">
        <v>132</v>
      </c>
      <c r="AQ64" s="375"/>
    </row>
    <row r="65" spans="1:43" x14ac:dyDescent="0.3">
      <c r="A65" s="1" t="s">
        <v>178</v>
      </c>
      <c r="B65" s="107" t="s">
        <v>88</v>
      </c>
      <c r="C65" s="107" t="s">
        <v>92</v>
      </c>
      <c r="D65">
        <v>3</v>
      </c>
      <c r="AA65" s="182" t="s">
        <v>417</v>
      </c>
      <c r="AB65" s="346"/>
      <c r="AC65" s="183">
        <v>34.159999999999997</v>
      </c>
      <c r="AD65" s="183">
        <v>25.175919999999998</v>
      </c>
      <c r="AE65" s="184">
        <v>16452</v>
      </c>
      <c r="AF65" s="185">
        <v>24</v>
      </c>
      <c r="AG65" s="236">
        <v>3.98</v>
      </c>
      <c r="AH65" s="174">
        <v>2</v>
      </c>
      <c r="AI65" s="341"/>
      <c r="AJ65" s="372"/>
      <c r="AK65" s="187">
        <v>20.64</v>
      </c>
      <c r="AL65" s="187">
        <v>103.48</v>
      </c>
      <c r="AM65" s="236" t="s">
        <v>90</v>
      </c>
      <c r="AN65" s="236" t="s">
        <v>93</v>
      </c>
      <c r="AO65" s="187">
        <v>8.4</v>
      </c>
      <c r="AP65" s="237">
        <v>146</v>
      </c>
      <c r="AQ65" s="375"/>
    </row>
    <row r="66" spans="1:43" x14ac:dyDescent="0.3">
      <c r="A66" s="1" t="s">
        <v>179</v>
      </c>
      <c r="B66" s="107" t="s">
        <v>90</v>
      </c>
      <c r="C66" s="107" t="s">
        <v>92</v>
      </c>
      <c r="D66">
        <v>3</v>
      </c>
      <c r="AA66" s="176" t="s">
        <v>418</v>
      </c>
      <c r="AB66" s="346"/>
      <c r="AC66" s="177">
        <v>38.119999999999997</v>
      </c>
      <c r="AD66" s="177">
        <v>28.094439999999999</v>
      </c>
      <c r="AE66" s="178">
        <v>25848</v>
      </c>
      <c r="AF66" s="179">
        <v>27</v>
      </c>
      <c r="AG66" s="238">
        <v>4.45</v>
      </c>
      <c r="AH66" s="174">
        <v>3</v>
      </c>
      <c r="AI66" s="367" t="s">
        <v>419</v>
      </c>
      <c r="AJ66" s="372"/>
      <c r="AK66" s="181">
        <v>19.23</v>
      </c>
      <c r="AL66" s="181">
        <v>97.24</v>
      </c>
      <c r="AM66" s="238" t="s">
        <v>90</v>
      </c>
      <c r="AN66" s="238" t="s">
        <v>93</v>
      </c>
      <c r="AO66" s="181">
        <v>12.6</v>
      </c>
      <c r="AP66" s="239">
        <v>181</v>
      </c>
      <c r="AQ66" s="375"/>
    </row>
    <row r="67" spans="1:43" ht="15" thickBot="1" x14ac:dyDescent="0.35">
      <c r="A67" s="1"/>
      <c r="B67" s="1"/>
      <c r="C67" s="1"/>
      <c r="AA67" s="194" t="s">
        <v>420</v>
      </c>
      <c r="AB67" s="347"/>
      <c r="AC67" s="195">
        <v>49.32</v>
      </c>
      <c r="AD67" s="195">
        <v>36.348840000000003</v>
      </c>
      <c r="AE67" s="196">
        <v>24156</v>
      </c>
      <c r="AF67" s="197">
        <v>27</v>
      </c>
      <c r="AG67" s="240">
        <v>4.16</v>
      </c>
      <c r="AH67" s="174">
        <v>3</v>
      </c>
      <c r="AI67" s="370"/>
      <c r="AJ67" s="373"/>
      <c r="AK67" s="199">
        <v>28.84</v>
      </c>
      <c r="AL67" s="199">
        <v>145.86000000000001</v>
      </c>
      <c r="AM67" s="240" t="s">
        <v>91</v>
      </c>
      <c r="AN67" s="240" t="s">
        <v>94</v>
      </c>
      <c r="AO67" s="199">
        <v>12.6</v>
      </c>
      <c r="AP67" s="241">
        <v>200</v>
      </c>
      <c r="AQ67" s="376"/>
    </row>
    <row r="68" spans="1:43" ht="15" thickBot="1" x14ac:dyDescent="0.35">
      <c r="A68" s="1" t="s">
        <v>180</v>
      </c>
      <c r="B68" s="107" t="s">
        <v>90</v>
      </c>
      <c r="C68" s="107" t="s">
        <v>92</v>
      </c>
      <c r="D68">
        <v>4</v>
      </c>
      <c r="AA68" s="200"/>
      <c r="AB68" s="174"/>
      <c r="AC68" s="174"/>
      <c r="AD68" s="174"/>
      <c r="AE68" s="174"/>
      <c r="AF68" s="201"/>
      <c r="AG68" s="202"/>
      <c r="AH68" s="174"/>
      <c r="AI68" s="174"/>
      <c r="AJ68" s="174"/>
      <c r="AK68" s="202"/>
      <c r="AL68" s="202"/>
      <c r="AM68" s="202"/>
      <c r="AN68" s="202"/>
      <c r="AO68" s="202"/>
      <c r="AP68" s="201"/>
      <c r="AQ68" s="174"/>
    </row>
    <row r="69" spans="1:43" ht="15" customHeight="1" x14ac:dyDescent="0.3">
      <c r="A69" s="1" t="s">
        <v>181</v>
      </c>
      <c r="B69" s="107" t="s">
        <v>90</v>
      </c>
      <c r="C69" s="107" t="s">
        <v>94</v>
      </c>
      <c r="D69">
        <v>4</v>
      </c>
      <c r="AA69" s="203" t="s">
        <v>421</v>
      </c>
      <c r="AB69" s="359" t="s">
        <v>351</v>
      </c>
      <c r="AC69" s="204">
        <v>11.55</v>
      </c>
      <c r="AD69" s="204">
        <v>8.5123499999999996</v>
      </c>
      <c r="AE69" s="205">
        <v>9000</v>
      </c>
      <c r="AF69" s="206">
        <v>21</v>
      </c>
      <c r="AG69" s="210">
        <v>4.37</v>
      </c>
      <c r="AH69" s="208">
        <v>1</v>
      </c>
      <c r="AI69" s="340" t="s">
        <v>411</v>
      </c>
      <c r="AJ69" s="371" t="s">
        <v>412</v>
      </c>
      <c r="AK69" s="210">
        <v>7.09</v>
      </c>
      <c r="AL69" s="210">
        <v>23.77</v>
      </c>
      <c r="AM69" s="210" t="s">
        <v>88</v>
      </c>
      <c r="AN69" s="210" t="s">
        <v>91</v>
      </c>
      <c r="AO69" s="210">
        <v>4.2</v>
      </c>
      <c r="AP69" s="206">
        <v>78</v>
      </c>
      <c r="AQ69" s="374" t="s">
        <v>413</v>
      </c>
    </row>
    <row r="70" spans="1:43" x14ac:dyDescent="0.3">
      <c r="A70" s="1" t="s">
        <v>182</v>
      </c>
      <c r="B70" s="107" t="s">
        <v>90</v>
      </c>
      <c r="C70" s="107" t="s">
        <v>92</v>
      </c>
      <c r="D70">
        <v>4</v>
      </c>
      <c r="AA70" s="182" t="s">
        <v>422</v>
      </c>
      <c r="AB70" s="360"/>
      <c r="AC70" s="183">
        <v>15.31</v>
      </c>
      <c r="AD70" s="183">
        <v>11.283469999999999</v>
      </c>
      <c r="AE70" s="184">
        <v>8568</v>
      </c>
      <c r="AF70" s="185">
        <v>21</v>
      </c>
      <c r="AG70" s="236">
        <v>4.16</v>
      </c>
      <c r="AH70" s="174">
        <v>1</v>
      </c>
      <c r="AI70" s="341"/>
      <c r="AJ70" s="372"/>
      <c r="AK70" s="187">
        <v>10.64</v>
      </c>
      <c r="AL70" s="187">
        <v>35.659999999999997</v>
      </c>
      <c r="AM70" s="236" t="s">
        <v>88</v>
      </c>
      <c r="AN70" s="236" t="s">
        <v>92</v>
      </c>
      <c r="AO70" s="187">
        <v>4.2</v>
      </c>
      <c r="AP70" s="185">
        <v>84</v>
      </c>
      <c r="AQ70" s="375"/>
    </row>
    <row r="71" spans="1:43" x14ac:dyDescent="0.3">
      <c r="A71" s="1" t="s">
        <v>183</v>
      </c>
      <c r="B71" s="107" t="s">
        <v>90</v>
      </c>
      <c r="C71" s="107" t="s">
        <v>94</v>
      </c>
      <c r="D71">
        <v>4</v>
      </c>
      <c r="AA71" s="176" t="s">
        <v>423</v>
      </c>
      <c r="AB71" s="360"/>
      <c r="AC71" s="177">
        <v>23.09</v>
      </c>
      <c r="AD71" s="177">
        <v>17.017330000000001</v>
      </c>
      <c r="AE71" s="178">
        <v>18000</v>
      </c>
      <c r="AF71" s="179">
        <v>25</v>
      </c>
      <c r="AG71" s="238">
        <v>4.37</v>
      </c>
      <c r="AH71" s="174">
        <v>2</v>
      </c>
      <c r="AI71" s="367" t="s">
        <v>416</v>
      </c>
      <c r="AJ71" s="372"/>
      <c r="AK71" s="181">
        <v>13.76</v>
      </c>
      <c r="AL71" s="181">
        <v>47.55</v>
      </c>
      <c r="AM71" s="238" t="s">
        <v>88</v>
      </c>
      <c r="AN71" s="238" t="s">
        <v>92</v>
      </c>
      <c r="AO71" s="181">
        <v>8.4</v>
      </c>
      <c r="AP71" s="179">
        <v>130</v>
      </c>
      <c r="AQ71" s="375"/>
    </row>
    <row r="72" spans="1:43" x14ac:dyDescent="0.3">
      <c r="A72" s="1"/>
      <c r="B72" s="1"/>
      <c r="C72" s="1"/>
      <c r="AA72" s="176" t="s">
        <v>424</v>
      </c>
      <c r="AB72" s="360"/>
      <c r="AC72" s="177">
        <v>30.75</v>
      </c>
      <c r="AD72" s="177">
        <v>22.662749999999999</v>
      </c>
      <c r="AE72" s="178">
        <v>17172</v>
      </c>
      <c r="AF72" s="179">
        <v>25</v>
      </c>
      <c r="AG72" s="238">
        <v>4.16</v>
      </c>
      <c r="AH72" s="174">
        <v>2</v>
      </c>
      <c r="AI72" s="368"/>
      <c r="AJ72" s="372"/>
      <c r="AK72" s="181">
        <v>20.64</v>
      </c>
      <c r="AL72" s="181">
        <v>71.319999999999993</v>
      </c>
      <c r="AM72" s="238" t="s">
        <v>90</v>
      </c>
      <c r="AN72" s="238" t="s">
        <v>93</v>
      </c>
      <c r="AO72" s="181">
        <v>8.4</v>
      </c>
      <c r="AP72" s="179">
        <v>143</v>
      </c>
      <c r="AQ72" s="375"/>
    </row>
    <row r="73" spans="1:43" x14ac:dyDescent="0.3">
      <c r="A73" s="1" t="s">
        <v>184</v>
      </c>
      <c r="B73" s="107" t="s">
        <v>86</v>
      </c>
      <c r="C73" s="107" t="s">
        <v>88</v>
      </c>
      <c r="D73">
        <v>2</v>
      </c>
      <c r="AA73" s="182" t="s">
        <v>425</v>
      </c>
      <c r="AB73" s="360"/>
      <c r="AC73" s="183">
        <v>33.299999999999997</v>
      </c>
      <c r="AD73" s="183">
        <v>24.542099999999998</v>
      </c>
      <c r="AE73" s="184">
        <v>26748</v>
      </c>
      <c r="AF73" s="185">
        <v>27</v>
      </c>
      <c r="AG73" s="236">
        <v>4.5999999999999996</v>
      </c>
      <c r="AH73" s="174">
        <v>3</v>
      </c>
      <c r="AI73" s="369" t="s">
        <v>419</v>
      </c>
      <c r="AJ73" s="372"/>
      <c r="AK73" s="187">
        <v>19.23</v>
      </c>
      <c r="AL73" s="187">
        <v>67.02</v>
      </c>
      <c r="AM73" s="236" t="s">
        <v>90</v>
      </c>
      <c r="AN73" s="236" t="s">
        <v>93</v>
      </c>
      <c r="AO73" s="187">
        <v>12.6</v>
      </c>
      <c r="AP73" s="185">
        <v>178</v>
      </c>
      <c r="AQ73" s="375"/>
    </row>
    <row r="74" spans="1:43" ht="15" thickBot="1" x14ac:dyDescent="0.35">
      <c r="A74" s="1" t="s">
        <v>185</v>
      </c>
      <c r="B74" s="107" t="s">
        <v>86</v>
      </c>
      <c r="C74" s="107" t="s">
        <v>90</v>
      </c>
      <c r="D74">
        <v>2</v>
      </c>
      <c r="AA74" s="211" t="s">
        <v>426</v>
      </c>
      <c r="AB74" s="361"/>
      <c r="AC74" s="212">
        <v>44.31</v>
      </c>
      <c r="AD74" s="212">
        <v>32.656469999999999</v>
      </c>
      <c r="AE74" s="213">
        <v>25380</v>
      </c>
      <c r="AF74" s="214">
        <v>27</v>
      </c>
      <c r="AG74" s="244">
        <v>4.3600000000000003</v>
      </c>
      <c r="AH74" s="174">
        <v>3</v>
      </c>
      <c r="AI74" s="377"/>
      <c r="AJ74" s="373"/>
      <c r="AK74" s="216">
        <v>28.84</v>
      </c>
      <c r="AL74" s="216">
        <v>100.54</v>
      </c>
      <c r="AM74" s="244" t="s">
        <v>91</v>
      </c>
      <c r="AN74" s="244" t="s">
        <v>94</v>
      </c>
      <c r="AO74" s="216">
        <v>12.6</v>
      </c>
      <c r="AP74" s="214">
        <v>196</v>
      </c>
      <c r="AQ74" s="376"/>
    </row>
    <row r="75" spans="1:43" x14ac:dyDescent="0.3">
      <c r="A75" s="1" t="s">
        <v>186</v>
      </c>
      <c r="B75" s="107" t="s">
        <v>86</v>
      </c>
      <c r="C75" s="107" t="s">
        <v>88</v>
      </c>
      <c r="D75">
        <v>2</v>
      </c>
      <c r="AA75" s="200"/>
      <c r="AB75" s="174"/>
      <c r="AC75" s="174"/>
      <c r="AD75" s="174"/>
      <c r="AE75" s="174"/>
      <c r="AF75" s="201"/>
      <c r="AG75" s="202"/>
      <c r="AH75" s="174"/>
      <c r="AI75" s="174"/>
      <c r="AJ75" s="174"/>
      <c r="AK75" s="202"/>
      <c r="AL75" s="202"/>
      <c r="AM75" s="202"/>
      <c r="AN75" s="202"/>
      <c r="AO75" s="202"/>
      <c r="AP75" s="201"/>
      <c r="AQ75" s="174"/>
    </row>
    <row r="76" spans="1:43" ht="15" thickBot="1" x14ac:dyDescent="0.35">
      <c r="A76" s="1" t="s">
        <v>187</v>
      </c>
      <c r="B76" s="107" t="s">
        <v>86</v>
      </c>
      <c r="C76" s="107" t="s">
        <v>90</v>
      </c>
      <c r="D76">
        <v>2</v>
      </c>
      <c r="AA76" s="200"/>
      <c r="AB76" s="174"/>
      <c r="AC76" s="174"/>
      <c r="AD76" s="174"/>
      <c r="AE76" s="174"/>
      <c r="AF76" s="201"/>
      <c r="AG76" s="202"/>
      <c r="AH76" s="174"/>
      <c r="AI76" s="174"/>
      <c r="AJ76" s="174"/>
      <c r="AK76" s="202"/>
      <c r="AL76" s="202"/>
      <c r="AM76" s="202"/>
      <c r="AN76" s="202"/>
      <c r="AO76" s="202"/>
      <c r="AP76" s="201"/>
      <c r="AQ76" s="245"/>
    </row>
    <row r="77" spans="1:43" ht="15" customHeight="1" x14ac:dyDescent="0.3">
      <c r="A77" s="1"/>
      <c r="B77" s="1"/>
      <c r="C77" s="1"/>
      <c r="AA77" s="169" t="s">
        <v>427</v>
      </c>
      <c r="AB77" s="345" t="s">
        <v>323</v>
      </c>
      <c r="AC77" s="170">
        <v>12.16</v>
      </c>
      <c r="AD77" s="170">
        <v>8.9619199999999992</v>
      </c>
      <c r="AE77" s="171">
        <v>7164</v>
      </c>
      <c r="AF77" s="172">
        <v>15</v>
      </c>
      <c r="AG77" s="242">
        <v>3.48</v>
      </c>
      <c r="AH77" s="174">
        <v>1</v>
      </c>
      <c r="AI77" s="378" t="s">
        <v>411</v>
      </c>
      <c r="AJ77" s="379" t="s">
        <v>428</v>
      </c>
      <c r="AK77" s="175">
        <v>7.09</v>
      </c>
      <c r="AL77" s="175">
        <v>34.9</v>
      </c>
      <c r="AM77" s="242" t="s">
        <v>88</v>
      </c>
      <c r="AN77" s="242" t="s">
        <v>91</v>
      </c>
      <c r="AO77" s="175">
        <v>4.2</v>
      </c>
      <c r="AP77" s="243">
        <v>79</v>
      </c>
      <c r="AQ77" s="374" t="s">
        <v>413</v>
      </c>
    </row>
    <row r="78" spans="1:43" x14ac:dyDescent="0.3">
      <c r="A78" s="1" t="s">
        <v>188</v>
      </c>
      <c r="B78" s="107" t="s">
        <v>86</v>
      </c>
      <c r="C78" s="107" t="s">
        <v>90</v>
      </c>
      <c r="D78">
        <v>3</v>
      </c>
      <c r="AA78" s="176" t="s">
        <v>429</v>
      </c>
      <c r="AB78" s="346"/>
      <c r="AC78" s="177">
        <v>15.25</v>
      </c>
      <c r="AD78" s="177">
        <v>11.23925</v>
      </c>
      <c r="AE78" s="178">
        <v>6660</v>
      </c>
      <c r="AF78" s="179">
        <v>15</v>
      </c>
      <c r="AG78" s="238">
        <v>3.23</v>
      </c>
      <c r="AH78" s="174">
        <v>1</v>
      </c>
      <c r="AI78" s="368"/>
      <c r="AJ78" s="380"/>
      <c r="AK78" s="181">
        <v>10.64</v>
      </c>
      <c r="AL78" s="181">
        <v>51.74</v>
      </c>
      <c r="AM78" s="238" t="s">
        <v>88</v>
      </c>
      <c r="AN78" s="238" t="s">
        <v>92</v>
      </c>
      <c r="AO78" s="181">
        <v>4.2</v>
      </c>
      <c r="AP78" s="239">
        <v>86</v>
      </c>
      <c r="AQ78" s="375"/>
    </row>
    <row r="79" spans="1:43" x14ac:dyDescent="0.3">
      <c r="A79" s="1" t="s">
        <v>189</v>
      </c>
      <c r="B79" s="107" t="s">
        <v>86</v>
      </c>
      <c r="C79" s="107" t="s">
        <v>90</v>
      </c>
      <c r="D79">
        <v>3</v>
      </c>
      <c r="AA79" s="182" t="s">
        <v>430</v>
      </c>
      <c r="AB79" s="346"/>
      <c r="AC79" s="183">
        <v>24.32</v>
      </c>
      <c r="AD79" s="183">
        <v>17.923839999999998</v>
      </c>
      <c r="AE79" s="184">
        <v>14364</v>
      </c>
      <c r="AF79" s="185">
        <v>19</v>
      </c>
      <c r="AG79" s="236">
        <v>3.48</v>
      </c>
      <c r="AH79" s="174">
        <v>2</v>
      </c>
      <c r="AI79" s="369" t="s">
        <v>416</v>
      </c>
      <c r="AJ79" s="380"/>
      <c r="AK79" s="187">
        <v>13.76</v>
      </c>
      <c r="AL79" s="187">
        <v>68.989999999999995</v>
      </c>
      <c r="AM79" s="236" t="s">
        <v>88</v>
      </c>
      <c r="AN79" s="236" t="s">
        <v>92</v>
      </c>
      <c r="AO79" s="187">
        <v>8.4</v>
      </c>
      <c r="AP79" s="237">
        <v>132</v>
      </c>
      <c r="AQ79" s="375"/>
    </row>
    <row r="80" spans="1:43" x14ac:dyDescent="0.3">
      <c r="A80" s="1" t="s">
        <v>190</v>
      </c>
      <c r="B80" s="107" t="s">
        <v>86</v>
      </c>
      <c r="C80" s="107" t="s">
        <v>90</v>
      </c>
      <c r="D80">
        <v>3</v>
      </c>
      <c r="AA80" s="182" t="s">
        <v>431</v>
      </c>
      <c r="AB80" s="346"/>
      <c r="AC80" s="183">
        <v>30.58</v>
      </c>
      <c r="AD80" s="183">
        <v>22.537459999999999</v>
      </c>
      <c r="AE80" s="184">
        <v>13356</v>
      </c>
      <c r="AF80" s="185">
        <v>19</v>
      </c>
      <c r="AG80" s="236">
        <v>3.23</v>
      </c>
      <c r="AH80" s="174">
        <v>2</v>
      </c>
      <c r="AI80" s="341"/>
      <c r="AJ80" s="380"/>
      <c r="AK80" s="187">
        <v>20.64</v>
      </c>
      <c r="AL80" s="187">
        <v>103.48</v>
      </c>
      <c r="AM80" s="236" t="s">
        <v>90</v>
      </c>
      <c r="AN80" s="236" t="s">
        <v>93</v>
      </c>
      <c r="AO80" s="187">
        <v>8.4</v>
      </c>
      <c r="AP80" s="237">
        <v>146</v>
      </c>
      <c r="AQ80" s="375"/>
    </row>
    <row r="81" spans="1:43" x14ac:dyDescent="0.3">
      <c r="A81" s="1" t="s">
        <v>191</v>
      </c>
      <c r="B81" s="107" t="s">
        <v>86</v>
      </c>
      <c r="C81" s="107" t="s">
        <v>90</v>
      </c>
      <c r="D81">
        <v>3</v>
      </c>
      <c r="AA81" s="176" t="s">
        <v>432</v>
      </c>
      <c r="AB81" s="346"/>
      <c r="AC81" s="177">
        <v>35.159999999999997</v>
      </c>
      <c r="AD81" s="177">
        <v>25.912919999999996</v>
      </c>
      <c r="AE81" s="178">
        <v>21204</v>
      </c>
      <c r="AF81" s="179">
        <v>22</v>
      </c>
      <c r="AG81" s="238">
        <v>3.65</v>
      </c>
      <c r="AH81" s="174">
        <v>3</v>
      </c>
      <c r="AI81" s="367" t="s">
        <v>419</v>
      </c>
      <c r="AJ81" s="380"/>
      <c r="AK81" s="181">
        <v>19.23</v>
      </c>
      <c r="AL81" s="181">
        <v>97.24</v>
      </c>
      <c r="AM81" s="238" t="s">
        <v>90</v>
      </c>
      <c r="AN81" s="238" t="s">
        <v>93</v>
      </c>
      <c r="AO81" s="181">
        <v>12.6</v>
      </c>
      <c r="AP81" s="239">
        <v>181</v>
      </c>
      <c r="AQ81" s="375"/>
    </row>
    <row r="82" spans="1:43" ht="15" thickBot="1" x14ac:dyDescent="0.35">
      <c r="A82" s="1"/>
      <c r="B82" s="1"/>
      <c r="C82" s="1"/>
      <c r="AA82" s="194" t="s">
        <v>433</v>
      </c>
      <c r="AB82" s="347"/>
      <c r="AC82" s="195">
        <v>44.2</v>
      </c>
      <c r="AD82" s="195">
        <v>32.575400000000002</v>
      </c>
      <c r="AE82" s="196">
        <v>19620</v>
      </c>
      <c r="AF82" s="197">
        <v>22</v>
      </c>
      <c r="AG82" s="240">
        <v>3.37</v>
      </c>
      <c r="AH82" s="174">
        <v>3</v>
      </c>
      <c r="AI82" s="370"/>
      <c r="AJ82" s="381"/>
      <c r="AK82" s="199">
        <v>28.84</v>
      </c>
      <c r="AL82" s="199">
        <v>145.86000000000001</v>
      </c>
      <c r="AM82" s="240" t="s">
        <v>91</v>
      </c>
      <c r="AN82" s="240" t="s">
        <v>94</v>
      </c>
      <c r="AO82" s="199">
        <v>12.6</v>
      </c>
      <c r="AP82" s="241">
        <v>200</v>
      </c>
      <c r="AQ82" s="376"/>
    </row>
    <row r="83" spans="1:43" x14ac:dyDescent="0.3">
      <c r="A83" s="1" t="s">
        <v>192</v>
      </c>
      <c r="B83" s="107" t="s">
        <v>86</v>
      </c>
      <c r="C83" s="107" t="s">
        <v>91</v>
      </c>
      <c r="D83">
        <v>4</v>
      </c>
      <c r="AA83" s="200"/>
      <c r="AB83" s="174"/>
      <c r="AC83" s="174"/>
      <c r="AD83" s="174"/>
      <c r="AE83" s="174"/>
      <c r="AF83" s="201"/>
      <c r="AG83" s="202"/>
      <c r="AH83" s="174"/>
      <c r="AI83" s="174"/>
      <c r="AJ83" s="174"/>
      <c r="AK83" s="202"/>
      <c r="AL83" s="202"/>
      <c r="AM83" s="202"/>
      <c r="AN83" s="202"/>
      <c r="AO83" s="202"/>
      <c r="AP83" s="201"/>
      <c r="AQ83" s="174"/>
    </row>
    <row r="84" spans="1:43" ht="15" thickBot="1" x14ac:dyDescent="0.35">
      <c r="A84" s="1" t="s">
        <v>122</v>
      </c>
      <c r="B84" s="107" t="s">
        <v>86</v>
      </c>
      <c r="C84" s="107" t="s">
        <v>91</v>
      </c>
      <c r="D84">
        <v>4</v>
      </c>
      <c r="AA84" s="200"/>
      <c r="AB84" s="174"/>
      <c r="AC84" s="174"/>
      <c r="AD84" s="174"/>
      <c r="AE84" s="174"/>
      <c r="AF84" s="201"/>
      <c r="AG84" s="202"/>
      <c r="AH84" s="174"/>
      <c r="AI84" s="174"/>
      <c r="AJ84" s="174"/>
      <c r="AK84" s="202"/>
      <c r="AL84" s="202"/>
      <c r="AM84" s="202"/>
      <c r="AN84" s="202"/>
      <c r="AO84" s="202"/>
      <c r="AP84" s="201"/>
      <c r="AQ84" s="174"/>
    </row>
    <row r="85" spans="1:43" ht="15" customHeight="1" x14ac:dyDescent="0.3">
      <c r="A85" s="1" t="s">
        <v>193</v>
      </c>
      <c r="B85" s="107" t="s">
        <v>86</v>
      </c>
      <c r="C85" s="107" t="s">
        <v>91</v>
      </c>
      <c r="D85">
        <v>4</v>
      </c>
      <c r="AA85" s="203" t="s">
        <v>434</v>
      </c>
      <c r="AB85" s="359" t="s">
        <v>351</v>
      </c>
      <c r="AC85" s="204">
        <v>10.63</v>
      </c>
      <c r="AD85" s="204">
        <v>7.8343100000000003</v>
      </c>
      <c r="AE85" s="205">
        <v>7416</v>
      </c>
      <c r="AF85" s="206">
        <v>16</v>
      </c>
      <c r="AG85" s="234">
        <v>3.6</v>
      </c>
      <c r="AH85" s="208">
        <v>1</v>
      </c>
      <c r="AI85" s="340" t="s">
        <v>411</v>
      </c>
      <c r="AJ85" s="379" t="s">
        <v>428</v>
      </c>
      <c r="AK85" s="210">
        <v>7.09</v>
      </c>
      <c r="AL85" s="210">
        <v>23.77</v>
      </c>
      <c r="AM85" s="234" t="s">
        <v>88</v>
      </c>
      <c r="AN85" s="234" t="s">
        <v>91</v>
      </c>
      <c r="AO85" s="210">
        <v>4.2</v>
      </c>
      <c r="AP85" s="206">
        <v>78</v>
      </c>
      <c r="AQ85" s="374" t="s">
        <v>413</v>
      </c>
    </row>
    <row r="86" spans="1:43" x14ac:dyDescent="0.3">
      <c r="A86" s="1" t="s">
        <v>194</v>
      </c>
      <c r="B86" s="107" t="s">
        <v>86</v>
      </c>
      <c r="C86" s="107" t="s">
        <v>91</v>
      </c>
      <c r="D86">
        <v>4</v>
      </c>
      <c r="AA86" s="182" t="s">
        <v>435</v>
      </c>
      <c r="AB86" s="360"/>
      <c r="AC86" s="183">
        <v>13.9</v>
      </c>
      <c r="AD86" s="183">
        <v>10.244300000000001</v>
      </c>
      <c r="AE86" s="184">
        <v>7020</v>
      </c>
      <c r="AF86" s="185">
        <v>16</v>
      </c>
      <c r="AG86" s="236">
        <v>3.41</v>
      </c>
      <c r="AH86" s="174">
        <v>1</v>
      </c>
      <c r="AI86" s="341"/>
      <c r="AJ86" s="380"/>
      <c r="AK86" s="187">
        <v>10.64</v>
      </c>
      <c r="AL86" s="187">
        <v>35.659999999999997</v>
      </c>
      <c r="AM86" s="236" t="s">
        <v>88</v>
      </c>
      <c r="AN86" s="236" t="s">
        <v>92</v>
      </c>
      <c r="AO86" s="187">
        <v>4.2</v>
      </c>
      <c r="AP86" s="185">
        <v>84</v>
      </c>
      <c r="AQ86" s="375"/>
    </row>
    <row r="87" spans="1:43" x14ac:dyDescent="0.3">
      <c r="A87" s="1"/>
      <c r="B87" s="1"/>
      <c r="C87" s="1"/>
      <c r="AA87" s="176" t="s">
        <v>436</v>
      </c>
      <c r="AB87" s="360"/>
      <c r="AC87" s="177">
        <v>21.47</v>
      </c>
      <c r="AD87" s="177">
        <v>15.823389999999998</v>
      </c>
      <c r="AE87" s="178">
        <v>14868</v>
      </c>
      <c r="AF87" s="179">
        <v>20</v>
      </c>
      <c r="AG87" s="238">
        <v>3.6</v>
      </c>
      <c r="AH87" s="174">
        <v>2</v>
      </c>
      <c r="AI87" s="367" t="s">
        <v>416</v>
      </c>
      <c r="AJ87" s="380"/>
      <c r="AK87" s="181">
        <v>13.76</v>
      </c>
      <c r="AL87" s="181">
        <v>47.55</v>
      </c>
      <c r="AM87" s="238" t="s">
        <v>88</v>
      </c>
      <c r="AN87" s="238" t="s">
        <v>92</v>
      </c>
      <c r="AO87" s="181">
        <v>8.4</v>
      </c>
      <c r="AP87" s="179">
        <v>130</v>
      </c>
      <c r="AQ87" s="375"/>
    </row>
    <row r="88" spans="1:43" x14ac:dyDescent="0.3">
      <c r="A88" s="1" t="s">
        <v>195</v>
      </c>
      <c r="B88" s="107" t="s">
        <v>86</v>
      </c>
      <c r="C88" s="107" t="s">
        <v>91</v>
      </c>
      <c r="D88">
        <v>5</v>
      </c>
      <c r="AA88" s="176" t="s">
        <v>437</v>
      </c>
      <c r="AB88" s="360"/>
      <c r="AC88" s="177">
        <v>27.89</v>
      </c>
      <c r="AD88" s="177">
        <v>20.554929999999999</v>
      </c>
      <c r="AE88" s="178">
        <v>14076</v>
      </c>
      <c r="AF88" s="179">
        <v>20</v>
      </c>
      <c r="AG88" s="238">
        <v>3.41</v>
      </c>
      <c r="AH88" s="174">
        <v>2</v>
      </c>
      <c r="AI88" s="368"/>
      <c r="AJ88" s="380"/>
      <c r="AK88" s="181">
        <v>20.64</v>
      </c>
      <c r="AL88" s="181">
        <v>71.319999999999993</v>
      </c>
      <c r="AM88" s="238" t="s">
        <v>90</v>
      </c>
      <c r="AN88" s="238" t="s">
        <v>93</v>
      </c>
      <c r="AO88" s="181">
        <v>8.4</v>
      </c>
      <c r="AP88" s="179">
        <v>143</v>
      </c>
      <c r="AQ88" s="375"/>
    </row>
    <row r="89" spans="1:43" x14ac:dyDescent="0.3">
      <c r="A89" s="1" t="s">
        <v>196</v>
      </c>
      <c r="B89" s="107" t="s">
        <v>88</v>
      </c>
      <c r="C89" s="107" t="s">
        <v>91</v>
      </c>
      <c r="D89">
        <v>5</v>
      </c>
      <c r="AA89" s="182" t="s">
        <v>438</v>
      </c>
      <c r="AB89" s="360"/>
      <c r="AC89" s="183">
        <v>30.86</v>
      </c>
      <c r="AD89" s="183">
        <v>22.743819999999999</v>
      </c>
      <c r="AE89" s="184">
        <v>22032</v>
      </c>
      <c r="AF89" s="185">
        <v>22</v>
      </c>
      <c r="AG89" s="236">
        <v>3.79</v>
      </c>
      <c r="AH89" s="174">
        <v>3</v>
      </c>
      <c r="AI89" s="369" t="s">
        <v>419</v>
      </c>
      <c r="AJ89" s="380"/>
      <c r="AK89" s="187">
        <v>19.23</v>
      </c>
      <c r="AL89" s="187">
        <v>67.02</v>
      </c>
      <c r="AM89" s="236" t="s">
        <v>90</v>
      </c>
      <c r="AN89" s="236" t="s">
        <v>93</v>
      </c>
      <c r="AO89" s="187">
        <v>12.6</v>
      </c>
      <c r="AP89" s="185">
        <v>178</v>
      </c>
      <c r="AQ89" s="375"/>
    </row>
    <row r="90" spans="1:43" ht="15" thickBot="1" x14ac:dyDescent="0.35">
      <c r="A90" s="1" t="s">
        <v>197</v>
      </c>
      <c r="B90" s="107" t="s">
        <v>86</v>
      </c>
      <c r="C90" s="107" t="s">
        <v>91</v>
      </c>
      <c r="D90">
        <v>5</v>
      </c>
      <c r="AA90" s="211" t="s">
        <v>439</v>
      </c>
      <c r="AB90" s="361"/>
      <c r="AC90" s="212">
        <v>40.35</v>
      </c>
      <c r="AD90" s="212">
        <v>29.737950000000001</v>
      </c>
      <c r="AE90" s="213">
        <v>20736</v>
      </c>
      <c r="AF90" s="214">
        <v>22</v>
      </c>
      <c r="AG90" s="244">
        <v>3.57</v>
      </c>
      <c r="AH90" s="174">
        <v>3</v>
      </c>
      <c r="AI90" s="377"/>
      <c r="AJ90" s="381"/>
      <c r="AK90" s="216">
        <v>28.84</v>
      </c>
      <c r="AL90" s="216">
        <v>100.54</v>
      </c>
      <c r="AM90" s="244" t="s">
        <v>91</v>
      </c>
      <c r="AN90" s="244" t="s">
        <v>94</v>
      </c>
      <c r="AO90" s="216">
        <v>12.6</v>
      </c>
      <c r="AP90" s="214">
        <v>196</v>
      </c>
      <c r="AQ90" s="376"/>
    </row>
    <row r="91" spans="1:43" ht="15" customHeight="1" x14ac:dyDescent="0.3">
      <c r="A91" s="1" t="s">
        <v>198</v>
      </c>
      <c r="B91" s="107" t="s">
        <v>88</v>
      </c>
      <c r="C91" s="107" t="s">
        <v>91</v>
      </c>
      <c r="D91">
        <v>5</v>
      </c>
    </row>
    <row r="92" spans="1:43" x14ac:dyDescent="0.3">
      <c r="A92" s="1"/>
      <c r="B92" s="1"/>
      <c r="C92" s="1"/>
    </row>
    <row r="93" spans="1:43" x14ac:dyDescent="0.3">
      <c r="A93" s="1"/>
      <c r="B93" s="1"/>
      <c r="C93" s="1"/>
    </row>
    <row r="94" spans="1:43" x14ac:dyDescent="0.3">
      <c r="A94" s="1"/>
      <c r="B94" s="1"/>
      <c r="C94" s="1"/>
    </row>
    <row r="95" spans="1:43" x14ac:dyDescent="0.3">
      <c r="A95" s="1"/>
      <c r="B95" s="1"/>
      <c r="C95" s="1"/>
    </row>
    <row r="96" spans="1:43" x14ac:dyDescent="0.3">
      <c r="A96" s="1"/>
      <c r="B96" s="1"/>
      <c r="C96" s="1"/>
    </row>
    <row r="97" spans="1:4" x14ac:dyDescent="0.3">
      <c r="A97" s="1"/>
      <c r="B97" s="1"/>
      <c r="C97" s="1"/>
    </row>
    <row r="98" spans="1:4" ht="15" customHeight="1" x14ac:dyDescent="0.3">
      <c r="A98" s="1"/>
      <c r="B98" s="1"/>
      <c r="C98" s="1"/>
    </row>
    <row r="99" spans="1:4" x14ac:dyDescent="0.3">
      <c r="A99" s="1"/>
      <c r="B99" s="1"/>
      <c r="C99" s="1"/>
    </row>
    <row r="100" spans="1:4" x14ac:dyDescent="0.3">
      <c r="A100" s="1" t="s">
        <v>203</v>
      </c>
      <c r="B100" s="107" t="s">
        <v>86</v>
      </c>
      <c r="C100" s="107" t="s">
        <v>88</v>
      </c>
      <c r="D100">
        <v>2</v>
      </c>
    </row>
    <row r="101" spans="1:4" x14ac:dyDescent="0.3">
      <c r="A101" s="1" t="s">
        <v>204</v>
      </c>
      <c r="B101" s="107" t="s">
        <v>86</v>
      </c>
      <c r="C101" s="107" t="s">
        <v>90</v>
      </c>
      <c r="D101">
        <v>2</v>
      </c>
    </row>
    <row r="102" spans="1:4" x14ac:dyDescent="0.3">
      <c r="A102" s="1" t="s">
        <v>205</v>
      </c>
      <c r="B102" s="107" t="s">
        <v>86</v>
      </c>
      <c r="C102" s="107" t="s">
        <v>90</v>
      </c>
      <c r="D102">
        <v>2</v>
      </c>
    </row>
    <row r="103" spans="1:4" x14ac:dyDescent="0.3">
      <c r="A103" s="1" t="s">
        <v>206</v>
      </c>
      <c r="B103" s="107" t="s">
        <v>86</v>
      </c>
      <c r="C103" s="107" t="s">
        <v>88</v>
      </c>
      <c r="D103">
        <v>2</v>
      </c>
    </row>
    <row r="104" spans="1:4" x14ac:dyDescent="0.3">
      <c r="A104" s="1" t="s">
        <v>207</v>
      </c>
      <c r="B104" s="107" t="s">
        <v>86</v>
      </c>
      <c r="C104" s="107" t="s">
        <v>90</v>
      </c>
      <c r="D104">
        <v>2</v>
      </c>
    </row>
    <row r="105" spans="1:4" ht="15" customHeight="1" x14ac:dyDescent="0.3">
      <c r="A105" s="1" t="s">
        <v>208</v>
      </c>
      <c r="B105" s="107" t="s">
        <v>86</v>
      </c>
      <c r="C105" s="107" t="s">
        <v>90</v>
      </c>
      <c r="D105">
        <v>2</v>
      </c>
    </row>
    <row r="106" spans="1:4" x14ac:dyDescent="0.3">
      <c r="A106" s="1"/>
      <c r="B106" s="1"/>
      <c r="C106" s="1"/>
    </row>
    <row r="107" spans="1:4" x14ac:dyDescent="0.3">
      <c r="A107" s="1" t="s">
        <v>118</v>
      </c>
      <c r="B107" s="107" t="s">
        <v>86</v>
      </c>
      <c r="C107" s="107" t="s">
        <v>90</v>
      </c>
      <c r="D107">
        <v>3</v>
      </c>
    </row>
    <row r="108" spans="1:4" x14ac:dyDescent="0.3">
      <c r="A108" s="1" t="s">
        <v>209</v>
      </c>
      <c r="B108" s="107" t="s">
        <v>86</v>
      </c>
      <c r="C108" s="107" t="s">
        <v>90</v>
      </c>
      <c r="D108">
        <v>3</v>
      </c>
    </row>
    <row r="109" spans="1:4" x14ac:dyDescent="0.3">
      <c r="A109" s="1" t="s">
        <v>121</v>
      </c>
      <c r="B109" s="107" t="s">
        <v>86</v>
      </c>
      <c r="C109" s="107" t="s">
        <v>90</v>
      </c>
      <c r="D109">
        <v>3</v>
      </c>
    </row>
    <row r="110" spans="1:4" x14ac:dyDescent="0.3">
      <c r="A110" s="1" t="s">
        <v>199</v>
      </c>
      <c r="B110" s="107" t="s">
        <v>86</v>
      </c>
      <c r="C110" s="107" t="s">
        <v>90</v>
      </c>
      <c r="D110">
        <v>3</v>
      </c>
    </row>
    <row r="111" spans="1:4" x14ac:dyDescent="0.3">
      <c r="A111" s="1" t="s">
        <v>10</v>
      </c>
      <c r="B111" s="107" t="s">
        <v>86</v>
      </c>
      <c r="C111" s="107" t="s">
        <v>90</v>
      </c>
      <c r="D111">
        <v>3</v>
      </c>
    </row>
    <row r="112" spans="1:4" ht="15" customHeight="1" x14ac:dyDescent="0.3">
      <c r="A112" s="1" t="s">
        <v>210</v>
      </c>
      <c r="B112" s="107" t="s">
        <v>86</v>
      </c>
      <c r="C112" s="107" t="s">
        <v>90</v>
      </c>
      <c r="D112">
        <v>3</v>
      </c>
    </row>
    <row r="113" spans="1:4" x14ac:dyDescent="0.3">
      <c r="A113" s="1"/>
      <c r="B113" s="1"/>
      <c r="C113" s="1"/>
    </row>
    <row r="114" spans="1:4" x14ac:dyDescent="0.3">
      <c r="A114" s="1" t="s">
        <v>126</v>
      </c>
      <c r="B114" s="107" t="s">
        <v>86</v>
      </c>
      <c r="C114" s="107" t="s">
        <v>91</v>
      </c>
      <c r="D114">
        <v>4</v>
      </c>
    </row>
    <row r="115" spans="1:4" x14ac:dyDescent="0.3">
      <c r="A115" s="1" t="s">
        <v>211</v>
      </c>
      <c r="B115" s="107" t="s">
        <v>86</v>
      </c>
      <c r="C115" s="107" t="s">
        <v>91</v>
      </c>
      <c r="D115">
        <v>4</v>
      </c>
    </row>
    <row r="116" spans="1:4" x14ac:dyDescent="0.3">
      <c r="A116" s="1" t="s">
        <v>212</v>
      </c>
      <c r="B116" s="107" t="s">
        <v>86</v>
      </c>
      <c r="C116" s="107" t="s">
        <v>91</v>
      </c>
      <c r="D116">
        <v>4</v>
      </c>
    </row>
    <row r="117" spans="1:4" x14ac:dyDescent="0.3">
      <c r="A117" s="1" t="s">
        <v>200</v>
      </c>
      <c r="B117" s="107" t="s">
        <v>86</v>
      </c>
      <c r="C117" s="107" t="s">
        <v>91</v>
      </c>
      <c r="D117">
        <v>4</v>
      </c>
    </row>
    <row r="118" spans="1:4" x14ac:dyDescent="0.3">
      <c r="A118" s="1" t="s">
        <v>79</v>
      </c>
      <c r="B118" s="107" t="s">
        <v>86</v>
      </c>
      <c r="C118" s="107" t="s">
        <v>91</v>
      </c>
      <c r="D118">
        <v>4</v>
      </c>
    </row>
    <row r="119" spans="1:4" x14ac:dyDescent="0.3">
      <c r="A119" s="1" t="s">
        <v>213</v>
      </c>
      <c r="B119" s="107" t="s">
        <v>86</v>
      </c>
      <c r="C119" s="107" t="s">
        <v>91</v>
      </c>
      <c r="D119">
        <v>4</v>
      </c>
    </row>
    <row r="120" spans="1:4" x14ac:dyDescent="0.3">
      <c r="A120" s="1"/>
      <c r="B120" s="1"/>
      <c r="C120" s="1"/>
    </row>
    <row r="121" spans="1:4" x14ac:dyDescent="0.3">
      <c r="A121" s="1" t="s">
        <v>214</v>
      </c>
      <c r="B121" s="107" t="s">
        <v>86</v>
      </c>
      <c r="C121" s="107" t="s">
        <v>91</v>
      </c>
      <c r="D121">
        <v>5</v>
      </c>
    </row>
    <row r="122" spans="1:4" x14ac:dyDescent="0.3">
      <c r="A122" s="1" t="s">
        <v>215</v>
      </c>
      <c r="B122" s="107" t="s">
        <v>88</v>
      </c>
      <c r="C122" s="107" t="s">
        <v>91</v>
      </c>
      <c r="D122">
        <v>5</v>
      </c>
    </row>
    <row r="123" spans="1:4" x14ac:dyDescent="0.3">
      <c r="A123" s="1" t="s">
        <v>216</v>
      </c>
      <c r="B123" s="107" t="s">
        <v>88</v>
      </c>
      <c r="C123" s="107" t="s">
        <v>91</v>
      </c>
      <c r="D123">
        <v>5</v>
      </c>
    </row>
    <row r="124" spans="1:4" x14ac:dyDescent="0.3">
      <c r="A124" s="1" t="s">
        <v>217</v>
      </c>
      <c r="B124" s="107" t="s">
        <v>86</v>
      </c>
      <c r="C124" s="107" t="s">
        <v>91</v>
      </c>
      <c r="D124">
        <v>5</v>
      </c>
    </row>
    <row r="125" spans="1:4" x14ac:dyDescent="0.3">
      <c r="A125" s="1" t="s">
        <v>218</v>
      </c>
      <c r="B125" s="107" t="s">
        <v>88</v>
      </c>
      <c r="C125" s="107" t="s">
        <v>91</v>
      </c>
      <c r="D125">
        <v>5</v>
      </c>
    </row>
    <row r="126" spans="1:4" x14ac:dyDescent="0.3">
      <c r="A126" s="1" t="s">
        <v>219</v>
      </c>
      <c r="B126" s="107" t="s">
        <v>88</v>
      </c>
      <c r="C126" s="107" t="s">
        <v>91</v>
      </c>
      <c r="D126">
        <v>5</v>
      </c>
    </row>
    <row r="127" spans="1:4" x14ac:dyDescent="0.3">
      <c r="A127" s="1"/>
      <c r="B127" s="1"/>
      <c r="C127" s="1"/>
    </row>
    <row r="128" spans="1:4" x14ac:dyDescent="0.3">
      <c r="A128" s="1" t="s">
        <v>220</v>
      </c>
      <c r="B128" s="107" t="s">
        <v>88</v>
      </c>
      <c r="C128" s="107" t="s">
        <v>91</v>
      </c>
      <c r="D128">
        <v>6</v>
      </c>
    </row>
    <row r="129" spans="1:4" x14ac:dyDescent="0.3">
      <c r="A129" s="1" t="s">
        <v>221</v>
      </c>
      <c r="B129" s="107" t="s">
        <v>88</v>
      </c>
      <c r="C129" s="107" t="s">
        <v>91</v>
      </c>
      <c r="D129">
        <v>6</v>
      </c>
    </row>
    <row r="130" spans="1:4" x14ac:dyDescent="0.3">
      <c r="A130" s="1" t="s">
        <v>222</v>
      </c>
      <c r="B130" s="107" t="s">
        <v>88</v>
      </c>
      <c r="C130" s="107" t="s">
        <v>92</v>
      </c>
      <c r="D130">
        <v>6</v>
      </c>
    </row>
    <row r="131" spans="1:4" x14ac:dyDescent="0.3">
      <c r="A131" s="1" t="s">
        <v>223</v>
      </c>
      <c r="B131" s="107" t="s">
        <v>88</v>
      </c>
      <c r="C131" s="107" t="s">
        <v>91</v>
      </c>
      <c r="D131">
        <v>6</v>
      </c>
    </row>
    <row r="132" spans="1:4" x14ac:dyDescent="0.3">
      <c r="A132" s="1" t="s">
        <v>224</v>
      </c>
      <c r="B132" s="107" t="s">
        <v>88</v>
      </c>
      <c r="C132" s="107" t="s">
        <v>91</v>
      </c>
      <c r="D132">
        <v>6</v>
      </c>
    </row>
    <row r="133" spans="1:4" x14ac:dyDescent="0.3">
      <c r="A133" s="1" t="s">
        <v>225</v>
      </c>
      <c r="B133" s="107" t="s">
        <v>88</v>
      </c>
      <c r="C133" s="107" t="s">
        <v>92</v>
      </c>
      <c r="D133">
        <v>6</v>
      </c>
    </row>
    <row r="134" spans="1:4" x14ac:dyDescent="0.3">
      <c r="A134" s="1"/>
      <c r="B134" s="1"/>
      <c r="C134" s="1"/>
    </row>
    <row r="135" spans="1:4" x14ac:dyDescent="0.3">
      <c r="A135" s="1"/>
      <c r="B135" s="1"/>
      <c r="C135" s="1"/>
    </row>
    <row r="136" spans="1:4" x14ac:dyDescent="0.3">
      <c r="A136" s="1" t="s">
        <v>117</v>
      </c>
      <c r="B136" s="107" t="s">
        <v>86</v>
      </c>
      <c r="C136" s="107" t="s">
        <v>90</v>
      </c>
      <c r="D136">
        <v>2</v>
      </c>
    </row>
    <row r="137" spans="1:4" x14ac:dyDescent="0.3">
      <c r="A137" s="1" t="s">
        <v>226</v>
      </c>
      <c r="B137" s="107" t="s">
        <v>86</v>
      </c>
      <c r="C137" s="107" t="s">
        <v>90</v>
      </c>
      <c r="D137">
        <v>2</v>
      </c>
    </row>
    <row r="138" spans="1:4" x14ac:dyDescent="0.3">
      <c r="A138" s="1" t="s">
        <v>227</v>
      </c>
      <c r="B138" s="107" t="s">
        <v>86</v>
      </c>
      <c r="C138" s="107" t="s">
        <v>90</v>
      </c>
      <c r="D138">
        <v>2</v>
      </c>
    </row>
    <row r="139" spans="1:4" x14ac:dyDescent="0.3">
      <c r="A139" s="1" t="s">
        <v>160</v>
      </c>
      <c r="B139" s="107" t="s">
        <v>86</v>
      </c>
      <c r="C139" s="107" t="s">
        <v>90</v>
      </c>
      <c r="D139">
        <v>2</v>
      </c>
    </row>
    <row r="140" spans="1:4" x14ac:dyDescent="0.3">
      <c r="A140" s="1"/>
      <c r="B140" s="1"/>
      <c r="C140" s="1"/>
    </row>
    <row r="141" spans="1:4" x14ac:dyDescent="0.3">
      <c r="A141" s="1" t="s">
        <v>228</v>
      </c>
      <c r="B141" s="107" t="s">
        <v>86</v>
      </c>
      <c r="C141" s="107" t="s">
        <v>91</v>
      </c>
      <c r="D141">
        <v>3</v>
      </c>
    </row>
    <row r="142" spans="1:4" x14ac:dyDescent="0.3">
      <c r="A142" s="1" t="s">
        <v>77</v>
      </c>
      <c r="B142" s="107" t="s">
        <v>86</v>
      </c>
      <c r="C142" s="107" t="s">
        <v>91</v>
      </c>
      <c r="D142">
        <v>3</v>
      </c>
    </row>
    <row r="143" spans="1:4" x14ac:dyDescent="0.3">
      <c r="A143" s="1" t="s">
        <v>201</v>
      </c>
      <c r="B143" s="107" t="s">
        <v>86</v>
      </c>
      <c r="C143" s="107" t="s">
        <v>91</v>
      </c>
      <c r="D143">
        <v>3</v>
      </c>
    </row>
    <row r="144" spans="1:4" x14ac:dyDescent="0.3">
      <c r="A144" s="1" t="s">
        <v>123</v>
      </c>
      <c r="B144" s="107" t="s">
        <v>86</v>
      </c>
      <c r="C144" s="107" t="s">
        <v>91</v>
      </c>
      <c r="D144">
        <v>3</v>
      </c>
    </row>
    <row r="145" spans="1:4" x14ac:dyDescent="0.3">
      <c r="A145" s="1"/>
      <c r="B145" s="1"/>
      <c r="C145" s="1"/>
    </row>
    <row r="146" spans="1:4" x14ac:dyDescent="0.3">
      <c r="A146" s="1" t="s">
        <v>129</v>
      </c>
      <c r="B146" s="107" t="s">
        <v>88</v>
      </c>
      <c r="C146" s="107" t="s">
        <v>91</v>
      </c>
      <c r="D146">
        <v>4</v>
      </c>
    </row>
    <row r="147" spans="1:4" x14ac:dyDescent="0.3">
      <c r="A147" s="1" t="s">
        <v>229</v>
      </c>
      <c r="B147" s="107" t="s">
        <v>88</v>
      </c>
      <c r="C147" s="107" t="s">
        <v>91</v>
      </c>
      <c r="D147">
        <v>4</v>
      </c>
    </row>
    <row r="148" spans="1:4" x14ac:dyDescent="0.3">
      <c r="A148" s="1" t="s">
        <v>202</v>
      </c>
      <c r="B148" s="107" t="s">
        <v>88</v>
      </c>
      <c r="C148" s="107" t="s">
        <v>91</v>
      </c>
      <c r="D148">
        <v>4</v>
      </c>
    </row>
    <row r="149" spans="1:4" x14ac:dyDescent="0.3">
      <c r="A149" s="1" t="s">
        <v>230</v>
      </c>
      <c r="B149" s="107" t="s">
        <v>88</v>
      </c>
      <c r="C149" s="107" t="s">
        <v>91</v>
      </c>
      <c r="D149">
        <v>4</v>
      </c>
    </row>
    <row r="150" spans="1:4" x14ac:dyDescent="0.3">
      <c r="A150" s="1"/>
      <c r="B150" s="1"/>
      <c r="C150" s="1"/>
    </row>
    <row r="151" spans="1:4" x14ac:dyDescent="0.3">
      <c r="A151" s="1" t="s">
        <v>231</v>
      </c>
      <c r="B151" s="107" t="s">
        <v>88</v>
      </c>
      <c r="C151" s="107" t="s">
        <v>92</v>
      </c>
      <c r="D151">
        <v>5</v>
      </c>
    </row>
    <row r="152" spans="1:4" x14ac:dyDescent="0.3">
      <c r="A152" s="1" t="s">
        <v>130</v>
      </c>
      <c r="B152" s="107" t="s">
        <v>88</v>
      </c>
      <c r="C152" s="107" t="s">
        <v>92</v>
      </c>
      <c r="D152">
        <v>5</v>
      </c>
    </row>
    <row r="153" spans="1:4" x14ac:dyDescent="0.3">
      <c r="A153" s="1" t="s">
        <v>232</v>
      </c>
      <c r="B153" s="107" t="s">
        <v>88</v>
      </c>
      <c r="C153" s="107" t="s">
        <v>92</v>
      </c>
      <c r="D153">
        <v>5</v>
      </c>
    </row>
    <row r="154" spans="1:4" x14ac:dyDescent="0.3">
      <c r="A154" s="1" t="s">
        <v>233</v>
      </c>
      <c r="B154" s="107" t="s">
        <v>88</v>
      </c>
      <c r="C154" s="107" t="s">
        <v>92</v>
      </c>
      <c r="D154">
        <v>5</v>
      </c>
    </row>
    <row r="155" spans="1:4" x14ac:dyDescent="0.3">
      <c r="A155" s="1"/>
      <c r="B155" s="1"/>
      <c r="C155" s="1"/>
    </row>
    <row r="156" spans="1:4" x14ac:dyDescent="0.3">
      <c r="A156" s="1"/>
      <c r="B156" s="1"/>
      <c r="C156" s="1"/>
    </row>
    <row r="157" spans="1:4" x14ac:dyDescent="0.3">
      <c r="A157" s="1" t="s">
        <v>234</v>
      </c>
      <c r="B157" s="107" t="s">
        <v>88</v>
      </c>
      <c r="C157" s="107" t="s">
        <v>91</v>
      </c>
      <c r="D157">
        <v>2</v>
      </c>
    </row>
    <row r="158" spans="1:4" x14ac:dyDescent="0.3">
      <c r="A158" s="1" t="s">
        <v>235</v>
      </c>
      <c r="B158" s="107" t="s">
        <v>88</v>
      </c>
      <c r="C158" s="107" t="s">
        <v>91</v>
      </c>
      <c r="D158">
        <v>2</v>
      </c>
    </row>
    <row r="159" spans="1:4" x14ac:dyDescent="0.3">
      <c r="A159" s="1" t="s">
        <v>236</v>
      </c>
      <c r="B159" s="107" t="s">
        <v>88</v>
      </c>
      <c r="C159" s="107" t="s">
        <v>91</v>
      </c>
      <c r="D159">
        <v>2</v>
      </c>
    </row>
    <row r="160" spans="1:4" x14ac:dyDescent="0.3">
      <c r="A160" s="1" t="s">
        <v>237</v>
      </c>
      <c r="B160" s="107" t="s">
        <v>88</v>
      </c>
      <c r="C160" s="107" t="s">
        <v>91</v>
      </c>
      <c r="D160">
        <v>2</v>
      </c>
    </row>
    <row r="161" spans="1:4" x14ac:dyDescent="0.3">
      <c r="A161" s="1"/>
      <c r="B161" s="1"/>
      <c r="C161" s="1"/>
    </row>
    <row r="162" spans="1:4" x14ac:dyDescent="0.3">
      <c r="A162" s="1" t="s">
        <v>238</v>
      </c>
      <c r="B162" s="107" t="s">
        <v>88</v>
      </c>
      <c r="C162" s="107" t="s">
        <v>92</v>
      </c>
      <c r="D162">
        <v>3</v>
      </c>
    </row>
    <row r="163" spans="1:4" x14ac:dyDescent="0.3">
      <c r="A163" s="1" t="s">
        <v>239</v>
      </c>
      <c r="B163" s="107" t="s">
        <v>90</v>
      </c>
      <c r="C163" s="107" t="s">
        <v>92</v>
      </c>
      <c r="D163">
        <v>3</v>
      </c>
    </row>
    <row r="164" spans="1:4" x14ac:dyDescent="0.3">
      <c r="A164" s="1" t="s">
        <v>240</v>
      </c>
      <c r="B164" s="107" t="s">
        <v>88</v>
      </c>
      <c r="C164" s="107" t="s">
        <v>92</v>
      </c>
      <c r="D164">
        <v>3</v>
      </c>
    </row>
    <row r="165" spans="1:4" x14ac:dyDescent="0.3">
      <c r="A165" s="1" t="s">
        <v>241</v>
      </c>
      <c r="B165" s="107" t="s">
        <v>90</v>
      </c>
      <c r="C165" s="107" t="s">
        <v>92</v>
      </c>
      <c r="D165">
        <v>3</v>
      </c>
    </row>
    <row r="166" spans="1:4" x14ac:dyDescent="0.3">
      <c r="A166" s="1"/>
      <c r="B166" s="1"/>
      <c r="C166" s="1"/>
    </row>
    <row r="167" spans="1:4" x14ac:dyDescent="0.3">
      <c r="A167" s="1" t="s">
        <v>242</v>
      </c>
      <c r="B167" s="107" t="s">
        <v>90</v>
      </c>
      <c r="C167" s="107" t="s">
        <v>92</v>
      </c>
      <c r="D167">
        <v>4</v>
      </c>
    </row>
    <row r="168" spans="1:4" x14ac:dyDescent="0.3">
      <c r="A168" s="1" t="s">
        <v>243</v>
      </c>
      <c r="B168" s="107" t="s">
        <v>90</v>
      </c>
      <c r="C168" s="107" t="s">
        <v>94</v>
      </c>
      <c r="D168">
        <v>4</v>
      </c>
    </row>
    <row r="169" spans="1:4" x14ac:dyDescent="0.3">
      <c r="A169" s="1" t="s">
        <v>244</v>
      </c>
      <c r="B169" s="107" t="s">
        <v>90</v>
      </c>
      <c r="C169" s="107" t="s">
        <v>92</v>
      </c>
      <c r="D169">
        <v>4</v>
      </c>
    </row>
    <row r="170" spans="1:4" x14ac:dyDescent="0.3">
      <c r="A170" s="1" t="s">
        <v>245</v>
      </c>
      <c r="B170" s="107" t="s">
        <v>90</v>
      </c>
      <c r="C170" s="107" t="s">
        <v>94</v>
      </c>
      <c r="D170">
        <v>4</v>
      </c>
    </row>
    <row r="171" spans="1:4" x14ac:dyDescent="0.3">
      <c r="A171" s="1"/>
      <c r="B171" s="1"/>
      <c r="C171" s="1"/>
    </row>
    <row r="172" spans="1:4" x14ac:dyDescent="0.3">
      <c r="A172" s="1" t="s">
        <v>246</v>
      </c>
      <c r="B172" s="107" t="s">
        <v>86</v>
      </c>
      <c r="C172" s="107" t="s">
        <v>88</v>
      </c>
      <c r="D172">
        <v>2</v>
      </c>
    </row>
    <row r="173" spans="1:4" x14ac:dyDescent="0.3">
      <c r="A173" s="1" t="s">
        <v>247</v>
      </c>
      <c r="B173" s="107" t="s">
        <v>86</v>
      </c>
      <c r="C173" s="107" t="s">
        <v>90</v>
      </c>
      <c r="D173">
        <v>2</v>
      </c>
    </row>
    <row r="174" spans="1:4" x14ac:dyDescent="0.3">
      <c r="A174" s="1" t="s">
        <v>248</v>
      </c>
      <c r="B174" s="107" t="s">
        <v>86</v>
      </c>
      <c r="C174" s="107" t="s">
        <v>88</v>
      </c>
      <c r="D174">
        <v>2</v>
      </c>
    </row>
    <row r="175" spans="1:4" x14ac:dyDescent="0.3">
      <c r="A175" s="1" t="s">
        <v>249</v>
      </c>
      <c r="B175" s="107" t="s">
        <v>86</v>
      </c>
      <c r="C175" s="107" t="s">
        <v>90</v>
      </c>
      <c r="D175">
        <v>2</v>
      </c>
    </row>
    <row r="176" spans="1:4" x14ac:dyDescent="0.3">
      <c r="A176" s="1"/>
      <c r="B176" s="1"/>
      <c r="C176" s="1"/>
    </row>
    <row r="177" spans="1:4" x14ac:dyDescent="0.3">
      <c r="A177" s="1" t="s">
        <v>250</v>
      </c>
      <c r="B177" s="107" t="s">
        <v>86</v>
      </c>
      <c r="C177" s="107" t="s">
        <v>90</v>
      </c>
      <c r="D177">
        <v>3</v>
      </c>
    </row>
    <row r="178" spans="1:4" x14ac:dyDescent="0.3">
      <c r="A178" s="1" t="s">
        <v>251</v>
      </c>
      <c r="B178" s="107" t="s">
        <v>86</v>
      </c>
      <c r="C178" s="107" t="s">
        <v>90</v>
      </c>
      <c r="D178">
        <v>3</v>
      </c>
    </row>
    <row r="179" spans="1:4" x14ac:dyDescent="0.3">
      <c r="A179" s="1" t="s">
        <v>252</v>
      </c>
      <c r="B179" s="107" t="s">
        <v>86</v>
      </c>
      <c r="C179" s="107" t="s">
        <v>90</v>
      </c>
      <c r="D179">
        <v>3</v>
      </c>
    </row>
    <row r="180" spans="1:4" x14ac:dyDescent="0.3">
      <c r="A180" s="1" t="s">
        <v>253</v>
      </c>
      <c r="B180" s="107" t="s">
        <v>86</v>
      </c>
      <c r="C180" s="107" t="s">
        <v>90</v>
      </c>
      <c r="D180">
        <v>3</v>
      </c>
    </row>
    <row r="181" spans="1:4" x14ac:dyDescent="0.3">
      <c r="A181" s="1"/>
      <c r="B181" s="1"/>
      <c r="C181" s="1"/>
    </row>
    <row r="182" spans="1:4" x14ac:dyDescent="0.3">
      <c r="A182" s="1" t="s">
        <v>254</v>
      </c>
      <c r="B182" s="107" t="s">
        <v>86</v>
      </c>
      <c r="C182" s="107" t="s">
        <v>91</v>
      </c>
      <c r="D182">
        <v>4</v>
      </c>
    </row>
    <row r="183" spans="1:4" x14ac:dyDescent="0.3">
      <c r="A183" s="1" t="s">
        <v>255</v>
      </c>
      <c r="B183" s="107" t="s">
        <v>86</v>
      </c>
      <c r="C183" s="107" t="s">
        <v>91</v>
      </c>
      <c r="D183">
        <v>4</v>
      </c>
    </row>
    <row r="184" spans="1:4" x14ac:dyDescent="0.3">
      <c r="A184" s="1" t="s">
        <v>256</v>
      </c>
      <c r="B184" s="107" t="s">
        <v>86</v>
      </c>
      <c r="C184" s="107" t="s">
        <v>91</v>
      </c>
      <c r="D184">
        <v>4</v>
      </c>
    </row>
    <row r="185" spans="1:4" x14ac:dyDescent="0.3">
      <c r="A185" s="1" t="s">
        <v>257</v>
      </c>
      <c r="B185" s="107" t="s">
        <v>86</v>
      </c>
      <c r="C185" s="107" t="s">
        <v>91</v>
      </c>
      <c r="D185">
        <v>4</v>
      </c>
    </row>
    <row r="186" spans="1:4" x14ac:dyDescent="0.3">
      <c r="A186" s="1"/>
      <c r="B186" s="1"/>
      <c r="C186" s="1"/>
    </row>
    <row r="187" spans="1:4" x14ac:dyDescent="0.3">
      <c r="A187" s="1" t="s">
        <v>258</v>
      </c>
      <c r="B187" s="107" t="s">
        <v>86</v>
      </c>
      <c r="C187" s="107" t="s">
        <v>91</v>
      </c>
      <c r="D187">
        <v>5</v>
      </c>
    </row>
    <row r="188" spans="1:4" x14ac:dyDescent="0.3">
      <c r="A188" s="1" t="s">
        <v>259</v>
      </c>
      <c r="B188" s="107" t="s">
        <v>88</v>
      </c>
      <c r="C188" s="107" t="s">
        <v>91</v>
      </c>
      <c r="D188">
        <v>5</v>
      </c>
    </row>
    <row r="189" spans="1:4" x14ac:dyDescent="0.3">
      <c r="A189" s="1" t="s">
        <v>260</v>
      </c>
      <c r="B189" s="107" t="s">
        <v>86</v>
      </c>
      <c r="C189" s="107" t="s">
        <v>91</v>
      </c>
      <c r="D189">
        <v>5</v>
      </c>
    </row>
    <row r="190" spans="1:4" x14ac:dyDescent="0.3">
      <c r="A190" s="1" t="s">
        <v>261</v>
      </c>
      <c r="B190" s="107" t="s">
        <v>88</v>
      </c>
      <c r="C190" s="107" t="s">
        <v>91</v>
      </c>
      <c r="D190">
        <v>5</v>
      </c>
    </row>
  </sheetData>
  <sheetProtection algorithmName="SHA-512" hashValue="JYqFHmgRURStXVE/AIR2/7loDBsiUpz7+aIM06E54oPiLIYAygJ2Rk+ULlBQ9ZDV9xjieHUhEwB2XXhy/cU7yw==" saltValue="M6NlbMtFWOmF5PP1uFv2qQ==" spinCount="100000" sheet="1" objects="1" scenarios="1"/>
  <mergeCells count="71">
    <mergeCell ref="AA1:AG1"/>
    <mergeCell ref="AI1:AQ1"/>
    <mergeCell ref="AU2:AX2"/>
    <mergeCell ref="AV3:AV10"/>
    <mergeCell ref="BC3:BC4"/>
    <mergeCell ref="BK3:BK10"/>
    <mergeCell ref="AB4:AB23"/>
    <mergeCell ref="AI4:AI7"/>
    <mergeCell ref="AJ4:AJ23"/>
    <mergeCell ref="AQ4:AQ23"/>
    <mergeCell ref="BC5:BC6"/>
    <mergeCell ref="BC7:BC8"/>
    <mergeCell ref="AI8:AI11"/>
    <mergeCell ref="BC9:BC10"/>
    <mergeCell ref="AI12:AI15"/>
    <mergeCell ref="BD3:BD10"/>
    <mergeCell ref="AV12:AV19"/>
    <mergeCell ref="BC12:BC13"/>
    <mergeCell ref="BD12:BD19"/>
    <mergeCell ref="BK12:BK19"/>
    <mergeCell ref="BC14:BC15"/>
    <mergeCell ref="AI20:AI23"/>
    <mergeCell ref="AB25:AB44"/>
    <mergeCell ref="AI25:AI28"/>
    <mergeCell ref="AJ25:AJ44"/>
    <mergeCell ref="AQ25:AQ44"/>
    <mergeCell ref="AI29:AI32"/>
    <mergeCell ref="AI33:AI36"/>
    <mergeCell ref="AI37:AI40"/>
    <mergeCell ref="AI41:AI44"/>
    <mergeCell ref="AI16:AI19"/>
    <mergeCell ref="BC16:BC17"/>
    <mergeCell ref="BC18:BC19"/>
    <mergeCell ref="AB45:AB52"/>
    <mergeCell ref="AI45:AI46"/>
    <mergeCell ref="AJ45:AJ52"/>
    <mergeCell ref="AQ45:AQ52"/>
    <mergeCell ref="AI47:AI48"/>
    <mergeCell ref="AI49:AI50"/>
    <mergeCell ref="AI51:AI52"/>
    <mergeCell ref="AB54:AB61"/>
    <mergeCell ref="AI54:AI55"/>
    <mergeCell ref="AJ54:AJ61"/>
    <mergeCell ref="AQ54:AQ61"/>
    <mergeCell ref="AI56:AI57"/>
    <mergeCell ref="AI58:AI59"/>
    <mergeCell ref="AI60:AI61"/>
    <mergeCell ref="AB62:AB67"/>
    <mergeCell ref="AI62:AI63"/>
    <mergeCell ref="AJ62:AJ67"/>
    <mergeCell ref="AQ62:AQ67"/>
    <mergeCell ref="AI64:AI65"/>
    <mergeCell ref="AI66:AI67"/>
    <mergeCell ref="AB69:AB74"/>
    <mergeCell ref="AI69:AI70"/>
    <mergeCell ref="AJ69:AJ74"/>
    <mergeCell ref="AQ69:AQ74"/>
    <mergeCell ref="AI71:AI72"/>
    <mergeCell ref="AI73:AI74"/>
    <mergeCell ref="AB77:AB82"/>
    <mergeCell ref="AI77:AI78"/>
    <mergeCell ref="AJ77:AJ82"/>
    <mergeCell ref="AQ77:AQ82"/>
    <mergeCell ref="AI79:AI80"/>
    <mergeCell ref="AI81:AI82"/>
    <mergeCell ref="AB85:AB90"/>
    <mergeCell ref="AI85:AI86"/>
    <mergeCell ref="AJ85:AJ90"/>
    <mergeCell ref="AQ85:AQ90"/>
    <mergeCell ref="AI87:AI88"/>
    <mergeCell ref="AI89:AI90"/>
  </mergeCells>
  <pageMargins left="0.7" right="0.7" top="0.75" bottom="0.75" header="0.3" footer="0.3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71CD-6C7C-4008-A52F-484CA1F1A6FD}">
  <dimension ref="A3:D83"/>
  <sheetViews>
    <sheetView workbookViewId="0">
      <selection activeCell="C8" sqref="C8"/>
    </sheetView>
  </sheetViews>
  <sheetFormatPr defaultRowHeight="14.4" x14ac:dyDescent="0.3"/>
  <cols>
    <col min="1" max="1" width="16.33203125" style="287" customWidth="1"/>
    <col min="2" max="2" width="9.21875" style="287" bestFit="1" customWidth="1"/>
    <col min="3" max="3" width="10.44140625" style="287" bestFit="1" customWidth="1"/>
    <col min="4" max="4" width="14" style="287" bestFit="1" customWidth="1"/>
    <col min="5" max="16384" width="8.88671875" style="287"/>
  </cols>
  <sheetData>
    <row r="3" spans="1:4" x14ac:dyDescent="0.3">
      <c r="A3" s="286" t="s">
        <v>659</v>
      </c>
      <c r="B3" s="287" t="s">
        <v>655</v>
      </c>
      <c r="C3" s="287" t="s">
        <v>654</v>
      </c>
      <c r="D3" s="287" t="s">
        <v>458</v>
      </c>
    </row>
    <row r="4" spans="1:4" x14ac:dyDescent="0.3">
      <c r="A4" s="288" t="s">
        <v>322</v>
      </c>
      <c r="B4" s="288" t="s">
        <v>86</v>
      </c>
      <c r="C4" s="288" t="s">
        <v>88</v>
      </c>
      <c r="D4" s="287">
        <v>1</v>
      </c>
    </row>
    <row r="5" spans="1:4" x14ac:dyDescent="0.3">
      <c r="A5" s="288" t="s">
        <v>327</v>
      </c>
      <c r="B5" s="288" t="s">
        <v>86</v>
      </c>
      <c r="C5" s="288" t="s">
        <v>88</v>
      </c>
      <c r="D5" s="287">
        <v>1</v>
      </c>
    </row>
    <row r="6" spans="1:4" x14ac:dyDescent="0.3">
      <c r="A6" s="288" t="s">
        <v>328</v>
      </c>
      <c r="B6" s="288" t="s">
        <v>86</v>
      </c>
      <c r="C6" s="288" t="s">
        <v>90</v>
      </c>
      <c r="D6" s="287">
        <v>1</v>
      </c>
    </row>
    <row r="7" spans="1:4" x14ac:dyDescent="0.3">
      <c r="A7" s="288" t="s">
        <v>329</v>
      </c>
      <c r="B7" s="288" t="s">
        <v>86</v>
      </c>
      <c r="C7" s="288" t="s">
        <v>90</v>
      </c>
      <c r="D7" s="287">
        <v>1</v>
      </c>
    </row>
    <row r="8" spans="1:4" x14ac:dyDescent="0.3">
      <c r="A8" s="288" t="s">
        <v>330</v>
      </c>
      <c r="B8" s="288" t="s">
        <v>86</v>
      </c>
      <c r="C8" s="288" t="s">
        <v>90</v>
      </c>
      <c r="D8" s="287">
        <v>2</v>
      </c>
    </row>
    <row r="9" spans="1:4" x14ac:dyDescent="0.3">
      <c r="A9" s="288" t="s">
        <v>332</v>
      </c>
      <c r="B9" s="288" t="s">
        <v>86</v>
      </c>
      <c r="C9" s="288" t="s">
        <v>90</v>
      </c>
      <c r="D9" s="287">
        <v>2</v>
      </c>
    </row>
    <row r="10" spans="1:4" x14ac:dyDescent="0.3">
      <c r="A10" s="288" t="s">
        <v>333</v>
      </c>
      <c r="B10" s="288" t="s">
        <v>86</v>
      </c>
      <c r="C10" s="288" t="s">
        <v>91</v>
      </c>
      <c r="D10" s="287">
        <v>2</v>
      </c>
    </row>
    <row r="11" spans="1:4" x14ac:dyDescent="0.3">
      <c r="A11" s="288" t="s">
        <v>334</v>
      </c>
      <c r="B11" s="288" t="s">
        <v>86</v>
      </c>
      <c r="C11" s="288" t="s">
        <v>91</v>
      </c>
      <c r="D11" s="287">
        <v>2</v>
      </c>
    </row>
    <row r="12" spans="1:4" x14ac:dyDescent="0.3">
      <c r="A12" s="288" t="s">
        <v>335</v>
      </c>
      <c r="B12" s="288" t="s">
        <v>86</v>
      </c>
      <c r="C12" s="288" t="s">
        <v>91</v>
      </c>
      <c r="D12" s="287">
        <v>3</v>
      </c>
    </row>
    <row r="13" spans="1:4" x14ac:dyDescent="0.3">
      <c r="A13" s="288" t="s">
        <v>337</v>
      </c>
      <c r="B13" s="288" t="s">
        <v>86</v>
      </c>
      <c r="C13" s="288" t="s">
        <v>91</v>
      </c>
      <c r="D13" s="287">
        <v>3</v>
      </c>
    </row>
    <row r="14" spans="1:4" x14ac:dyDescent="0.3">
      <c r="A14" s="288" t="s">
        <v>338</v>
      </c>
      <c r="B14" s="288" t="s">
        <v>86</v>
      </c>
      <c r="C14" s="288" t="s">
        <v>91</v>
      </c>
      <c r="D14" s="287">
        <v>3</v>
      </c>
    </row>
    <row r="15" spans="1:4" x14ac:dyDescent="0.3">
      <c r="A15" s="288" t="s">
        <v>339</v>
      </c>
      <c r="B15" s="288" t="s">
        <v>86</v>
      </c>
      <c r="C15" s="288" t="s">
        <v>91</v>
      </c>
      <c r="D15" s="287">
        <v>3</v>
      </c>
    </row>
    <row r="16" spans="1:4" x14ac:dyDescent="0.3">
      <c r="A16" s="288" t="s">
        <v>340</v>
      </c>
      <c r="B16" s="288" t="s">
        <v>86</v>
      </c>
      <c r="C16" s="288" t="s">
        <v>91</v>
      </c>
      <c r="D16" s="287">
        <v>4</v>
      </c>
    </row>
    <row r="17" spans="1:4" x14ac:dyDescent="0.3">
      <c r="A17" s="288" t="s">
        <v>342</v>
      </c>
      <c r="B17" s="288" t="s">
        <v>86</v>
      </c>
      <c r="C17" s="288" t="s">
        <v>91</v>
      </c>
      <c r="D17" s="287">
        <v>4</v>
      </c>
    </row>
    <row r="18" spans="1:4" x14ac:dyDescent="0.3">
      <c r="A18" s="288" t="s">
        <v>343</v>
      </c>
      <c r="B18" s="288" t="s">
        <v>88</v>
      </c>
      <c r="C18" s="288" t="s">
        <v>91</v>
      </c>
      <c r="D18" s="287">
        <v>4</v>
      </c>
    </row>
    <row r="19" spans="1:4" x14ac:dyDescent="0.3">
      <c r="A19" s="288" t="s">
        <v>344</v>
      </c>
      <c r="B19" s="288" t="s">
        <v>88</v>
      </c>
      <c r="C19" s="288" t="s">
        <v>92</v>
      </c>
      <c r="D19" s="287">
        <v>4</v>
      </c>
    </row>
    <row r="20" spans="1:4" x14ac:dyDescent="0.3">
      <c r="A20" s="288" t="s">
        <v>345</v>
      </c>
      <c r="B20" s="288" t="s">
        <v>86</v>
      </c>
      <c r="C20" s="288" t="s">
        <v>91</v>
      </c>
      <c r="D20" s="287">
        <v>5</v>
      </c>
    </row>
    <row r="21" spans="1:4" x14ac:dyDescent="0.3">
      <c r="A21" s="288" t="s">
        <v>347</v>
      </c>
      <c r="B21" s="288" t="s">
        <v>88</v>
      </c>
      <c r="C21" s="288" t="s">
        <v>92</v>
      </c>
      <c r="D21" s="287">
        <v>5</v>
      </c>
    </row>
    <row r="22" spans="1:4" x14ac:dyDescent="0.3">
      <c r="A22" s="288" t="s">
        <v>348</v>
      </c>
      <c r="B22" s="288" t="s">
        <v>88</v>
      </c>
      <c r="C22" s="288" t="s">
        <v>92</v>
      </c>
      <c r="D22" s="287">
        <v>5</v>
      </c>
    </row>
    <row r="23" spans="1:4" x14ac:dyDescent="0.3">
      <c r="A23" s="288" t="s">
        <v>349</v>
      </c>
      <c r="B23" s="288" t="s">
        <v>88</v>
      </c>
      <c r="C23" s="288" t="s">
        <v>92</v>
      </c>
      <c r="D23" s="287">
        <v>5</v>
      </c>
    </row>
    <row r="24" spans="1:4" x14ac:dyDescent="0.3">
      <c r="A24" s="288" t="s">
        <v>350</v>
      </c>
      <c r="B24" s="288" t="s">
        <v>86</v>
      </c>
      <c r="C24" s="288" t="s">
        <v>88</v>
      </c>
      <c r="D24" s="287">
        <v>1</v>
      </c>
    </row>
    <row r="25" spans="1:4" x14ac:dyDescent="0.3">
      <c r="A25" s="288" t="s">
        <v>352</v>
      </c>
      <c r="B25" s="288" t="s">
        <v>86</v>
      </c>
      <c r="C25" s="288" t="s">
        <v>88</v>
      </c>
      <c r="D25" s="287">
        <v>1</v>
      </c>
    </row>
    <row r="26" spans="1:4" x14ac:dyDescent="0.3">
      <c r="A26" s="288" t="s">
        <v>353</v>
      </c>
      <c r="B26" s="288" t="s">
        <v>86</v>
      </c>
      <c r="C26" s="288" t="s">
        <v>88</v>
      </c>
      <c r="D26" s="287">
        <v>1</v>
      </c>
    </row>
    <row r="27" spans="1:4" x14ac:dyDescent="0.3">
      <c r="A27" s="288" t="s">
        <v>354</v>
      </c>
      <c r="B27" s="288" t="s">
        <v>86</v>
      </c>
      <c r="C27" s="288" t="s">
        <v>90</v>
      </c>
      <c r="D27" s="287">
        <v>1</v>
      </c>
    </row>
    <row r="28" spans="1:4" x14ac:dyDescent="0.3">
      <c r="A28" s="288" t="s">
        <v>355</v>
      </c>
      <c r="B28" s="288" t="s">
        <v>86</v>
      </c>
      <c r="C28" s="288" t="s">
        <v>90</v>
      </c>
      <c r="D28" s="287">
        <v>2</v>
      </c>
    </row>
    <row r="29" spans="1:4" x14ac:dyDescent="0.3">
      <c r="A29" s="288" t="s">
        <v>356</v>
      </c>
      <c r="B29" s="288" t="s">
        <v>86</v>
      </c>
      <c r="C29" s="288" t="s">
        <v>90</v>
      </c>
      <c r="D29" s="287">
        <v>2</v>
      </c>
    </row>
    <row r="30" spans="1:4" x14ac:dyDescent="0.3">
      <c r="A30" s="288" t="s">
        <v>357</v>
      </c>
      <c r="B30" s="288" t="s">
        <v>86</v>
      </c>
      <c r="C30" s="288" t="s">
        <v>90</v>
      </c>
      <c r="D30" s="287">
        <v>2</v>
      </c>
    </row>
    <row r="31" spans="1:4" x14ac:dyDescent="0.3">
      <c r="A31" s="288" t="s">
        <v>358</v>
      </c>
      <c r="B31" s="288" t="s">
        <v>86</v>
      </c>
      <c r="C31" s="288" t="s">
        <v>91</v>
      </c>
      <c r="D31" s="287">
        <v>2</v>
      </c>
    </row>
    <row r="32" spans="1:4" x14ac:dyDescent="0.3">
      <c r="A32" s="288" t="s">
        <v>359</v>
      </c>
      <c r="B32" s="288" t="s">
        <v>86</v>
      </c>
      <c r="C32" s="288" t="s">
        <v>90</v>
      </c>
      <c r="D32" s="287">
        <v>3</v>
      </c>
    </row>
    <row r="33" spans="1:4" x14ac:dyDescent="0.3">
      <c r="A33" s="288" t="s">
        <v>360</v>
      </c>
      <c r="B33" s="288" t="s">
        <v>86</v>
      </c>
      <c r="C33" s="288" t="s">
        <v>91</v>
      </c>
      <c r="D33" s="287">
        <v>3</v>
      </c>
    </row>
    <row r="34" spans="1:4" x14ac:dyDescent="0.3">
      <c r="A34" s="288" t="s">
        <v>361</v>
      </c>
      <c r="B34" s="288" t="s">
        <v>86</v>
      </c>
      <c r="C34" s="288" t="s">
        <v>91</v>
      </c>
      <c r="D34" s="287">
        <v>3</v>
      </c>
    </row>
    <row r="35" spans="1:4" x14ac:dyDescent="0.3">
      <c r="A35" s="288" t="s">
        <v>362</v>
      </c>
      <c r="B35" s="288" t="s">
        <v>86</v>
      </c>
      <c r="C35" s="288" t="s">
        <v>91</v>
      </c>
      <c r="D35" s="287">
        <v>3</v>
      </c>
    </row>
    <row r="36" spans="1:4" x14ac:dyDescent="0.3">
      <c r="A36" s="288" t="s">
        <v>363</v>
      </c>
      <c r="B36" s="288" t="s">
        <v>86</v>
      </c>
      <c r="C36" s="288" t="s">
        <v>91</v>
      </c>
      <c r="D36" s="287">
        <v>4</v>
      </c>
    </row>
    <row r="37" spans="1:4" x14ac:dyDescent="0.3">
      <c r="A37" s="288" t="s">
        <v>364</v>
      </c>
      <c r="B37" s="288" t="s">
        <v>86</v>
      </c>
      <c r="C37" s="288" t="s">
        <v>91</v>
      </c>
      <c r="D37" s="287">
        <v>4</v>
      </c>
    </row>
    <row r="38" spans="1:4" x14ac:dyDescent="0.3">
      <c r="A38" s="288" t="s">
        <v>365</v>
      </c>
      <c r="B38" s="288" t="s">
        <v>86</v>
      </c>
      <c r="C38" s="288" t="s">
        <v>91</v>
      </c>
      <c r="D38" s="287">
        <v>4</v>
      </c>
    </row>
    <row r="39" spans="1:4" x14ac:dyDescent="0.3">
      <c r="A39" s="288" t="s">
        <v>366</v>
      </c>
      <c r="B39" s="288" t="s">
        <v>88</v>
      </c>
      <c r="C39" s="288" t="s">
        <v>91</v>
      </c>
      <c r="D39" s="287">
        <v>4</v>
      </c>
    </row>
    <row r="40" spans="1:4" x14ac:dyDescent="0.3">
      <c r="A40" s="288" t="s">
        <v>367</v>
      </c>
      <c r="B40" s="288" t="s">
        <v>86</v>
      </c>
      <c r="C40" s="288" t="s">
        <v>91</v>
      </c>
      <c r="D40" s="287">
        <v>5</v>
      </c>
    </row>
    <row r="41" spans="1:4" x14ac:dyDescent="0.3">
      <c r="A41" s="288" t="s">
        <v>368</v>
      </c>
      <c r="B41" s="288" t="s">
        <v>442</v>
      </c>
      <c r="C41" s="288" t="s">
        <v>91</v>
      </c>
      <c r="D41" s="287">
        <v>5</v>
      </c>
    </row>
    <row r="42" spans="1:4" x14ac:dyDescent="0.3">
      <c r="A42" s="288" t="s">
        <v>369</v>
      </c>
      <c r="B42" s="288" t="s">
        <v>88</v>
      </c>
      <c r="C42" s="288" t="s">
        <v>92</v>
      </c>
      <c r="D42" s="287">
        <v>5</v>
      </c>
    </row>
    <row r="43" spans="1:4" x14ac:dyDescent="0.3">
      <c r="A43" s="288" t="s">
        <v>370</v>
      </c>
      <c r="B43" s="288" t="s">
        <v>88</v>
      </c>
      <c r="C43" s="288" t="s">
        <v>92</v>
      </c>
      <c r="D43" s="287">
        <v>5</v>
      </c>
    </row>
    <row r="44" spans="1:4" x14ac:dyDescent="0.3">
      <c r="A44" s="288" t="s">
        <v>389</v>
      </c>
      <c r="B44" s="288" t="s">
        <v>86</v>
      </c>
      <c r="C44" s="288" t="s">
        <v>90</v>
      </c>
      <c r="D44" s="287">
        <v>1</v>
      </c>
    </row>
    <row r="45" spans="1:4" x14ac:dyDescent="0.3">
      <c r="A45" s="288" t="s">
        <v>392</v>
      </c>
      <c r="B45" s="288" t="s">
        <v>86</v>
      </c>
      <c r="C45" s="288" t="s">
        <v>91</v>
      </c>
      <c r="D45" s="287">
        <v>1</v>
      </c>
    </row>
    <row r="46" spans="1:4" x14ac:dyDescent="0.3">
      <c r="A46" s="288" t="s">
        <v>393</v>
      </c>
      <c r="B46" s="288" t="s">
        <v>86</v>
      </c>
      <c r="C46" s="288" t="s">
        <v>91</v>
      </c>
      <c r="D46" s="287">
        <v>2</v>
      </c>
    </row>
    <row r="47" spans="1:4" x14ac:dyDescent="0.3">
      <c r="A47" s="288" t="s">
        <v>395</v>
      </c>
      <c r="B47" s="288" t="s">
        <v>88</v>
      </c>
      <c r="C47" s="288" t="s">
        <v>91</v>
      </c>
      <c r="D47" s="287">
        <v>2</v>
      </c>
    </row>
    <row r="48" spans="1:4" x14ac:dyDescent="0.3">
      <c r="A48" s="288" t="s">
        <v>396</v>
      </c>
      <c r="B48" s="288" t="s">
        <v>88</v>
      </c>
      <c r="C48" s="288" t="s">
        <v>92</v>
      </c>
      <c r="D48" s="287">
        <v>3</v>
      </c>
    </row>
    <row r="49" spans="1:4" x14ac:dyDescent="0.3">
      <c r="A49" s="288" t="s">
        <v>398</v>
      </c>
      <c r="B49" s="288" t="s">
        <v>88</v>
      </c>
      <c r="C49" s="288" t="s">
        <v>92</v>
      </c>
      <c r="D49" s="287">
        <v>3</v>
      </c>
    </row>
    <row r="50" spans="1:4" x14ac:dyDescent="0.3">
      <c r="A50" s="288" t="s">
        <v>399</v>
      </c>
      <c r="B50" s="288" t="s">
        <v>88</v>
      </c>
      <c r="C50" s="288" t="s">
        <v>92</v>
      </c>
      <c r="D50" s="287">
        <v>4</v>
      </c>
    </row>
    <row r="51" spans="1:4" x14ac:dyDescent="0.3">
      <c r="A51" s="288" t="s">
        <v>401</v>
      </c>
      <c r="B51" s="288" t="s">
        <v>88</v>
      </c>
      <c r="C51" s="288" t="s">
        <v>92</v>
      </c>
      <c r="D51" s="287">
        <v>4</v>
      </c>
    </row>
    <row r="52" spans="1:4" x14ac:dyDescent="0.3">
      <c r="A52" s="288" t="s">
        <v>402</v>
      </c>
      <c r="B52" s="288" t="s">
        <v>86</v>
      </c>
      <c r="C52" s="288" t="s">
        <v>90</v>
      </c>
      <c r="D52" s="287">
        <v>1</v>
      </c>
    </row>
    <row r="53" spans="1:4" x14ac:dyDescent="0.3">
      <c r="A53" s="288" t="s">
        <v>403</v>
      </c>
      <c r="B53" s="288" t="s">
        <v>86</v>
      </c>
      <c r="C53" s="288" t="s">
        <v>90</v>
      </c>
      <c r="D53" s="287">
        <v>1</v>
      </c>
    </row>
    <row r="54" spans="1:4" x14ac:dyDescent="0.3">
      <c r="A54" s="288" t="s">
        <v>404</v>
      </c>
      <c r="B54" s="288" t="s">
        <v>86</v>
      </c>
      <c r="C54" s="288" t="s">
        <v>91</v>
      </c>
      <c r="D54" s="287">
        <v>2</v>
      </c>
    </row>
    <row r="55" spans="1:4" x14ac:dyDescent="0.3">
      <c r="A55" s="288" t="s">
        <v>405</v>
      </c>
      <c r="B55" s="288" t="s">
        <v>88</v>
      </c>
      <c r="C55" s="288" t="s">
        <v>91</v>
      </c>
      <c r="D55" s="287">
        <v>2</v>
      </c>
    </row>
    <row r="56" spans="1:4" x14ac:dyDescent="0.3">
      <c r="A56" s="288" t="s">
        <v>406</v>
      </c>
      <c r="B56" s="288" t="s">
        <v>88</v>
      </c>
      <c r="C56" s="288" t="s">
        <v>92</v>
      </c>
      <c r="D56" s="287">
        <v>3</v>
      </c>
    </row>
    <row r="57" spans="1:4" x14ac:dyDescent="0.3">
      <c r="A57" s="288" t="s">
        <v>407</v>
      </c>
      <c r="B57" s="288" t="s">
        <v>88</v>
      </c>
      <c r="C57" s="288" t="s">
        <v>92</v>
      </c>
      <c r="D57" s="287">
        <v>3</v>
      </c>
    </row>
    <row r="58" spans="1:4" x14ac:dyDescent="0.3">
      <c r="A58" s="288" t="s">
        <v>408</v>
      </c>
      <c r="B58" s="288" t="s">
        <v>88</v>
      </c>
      <c r="C58" s="288" t="s">
        <v>92</v>
      </c>
      <c r="D58" s="287">
        <v>4</v>
      </c>
    </row>
    <row r="59" spans="1:4" x14ac:dyDescent="0.3">
      <c r="A59" s="288" t="s">
        <v>409</v>
      </c>
      <c r="B59" s="288" t="s">
        <v>88</v>
      </c>
      <c r="C59" s="288" t="s">
        <v>92</v>
      </c>
      <c r="D59" s="287">
        <v>4</v>
      </c>
    </row>
    <row r="60" spans="1:4" x14ac:dyDescent="0.3">
      <c r="A60" s="288" t="s">
        <v>410</v>
      </c>
      <c r="B60" s="288" t="s">
        <v>88</v>
      </c>
      <c r="C60" s="288" t="s">
        <v>91</v>
      </c>
      <c r="D60" s="287">
        <v>1</v>
      </c>
    </row>
    <row r="61" spans="1:4" x14ac:dyDescent="0.3">
      <c r="A61" s="288" t="s">
        <v>414</v>
      </c>
      <c r="B61" s="288" t="s">
        <v>88</v>
      </c>
      <c r="C61" s="288" t="s">
        <v>92</v>
      </c>
      <c r="D61" s="287">
        <v>1</v>
      </c>
    </row>
    <row r="62" spans="1:4" x14ac:dyDescent="0.3">
      <c r="A62" s="288" t="s">
        <v>415</v>
      </c>
      <c r="B62" s="288" t="s">
        <v>88</v>
      </c>
      <c r="C62" s="288" t="s">
        <v>92</v>
      </c>
      <c r="D62" s="287">
        <v>2</v>
      </c>
    </row>
    <row r="63" spans="1:4" x14ac:dyDescent="0.3">
      <c r="A63" s="288" t="s">
        <v>417</v>
      </c>
      <c r="B63" s="288" t="s">
        <v>90</v>
      </c>
      <c r="C63" s="288" t="s">
        <v>93</v>
      </c>
      <c r="D63" s="287">
        <v>2</v>
      </c>
    </row>
    <row r="64" spans="1:4" x14ac:dyDescent="0.3">
      <c r="A64" s="288" t="s">
        <v>418</v>
      </c>
      <c r="B64" s="288" t="s">
        <v>90</v>
      </c>
      <c r="C64" s="288" t="s">
        <v>93</v>
      </c>
      <c r="D64" s="287">
        <v>3</v>
      </c>
    </row>
    <row r="65" spans="1:4" x14ac:dyDescent="0.3">
      <c r="A65" s="288" t="s">
        <v>420</v>
      </c>
      <c r="B65" s="288" t="s">
        <v>91</v>
      </c>
      <c r="C65" s="288" t="s">
        <v>94</v>
      </c>
      <c r="D65" s="287">
        <v>3</v>
      </c>
    </row>
    <row r="66" spans="1:4" x14ac:dyDescent="0.3">
      <c r="A66" s="288" t="s">
        <v>421</v>
      </c>
      <c r="B66" s="288" t="s">
        <v>88</v>
      </c>
      <c r="C66" s="288" t="s">
        <v>91</v>
      </c>
      <c r="D66" s="287">
        <v>1</v>
      </c>
    </row>
    <row r="67" spans="1:4" x14ac:dyDescent="0.3">
      <c r="A67" s="288" t="s">
        <v>422</v>
      </c>
      <c r="B67" s="288" t="s">
        <v>88</v>
      </c>
      <c r="C67" s="288" t="s">
        <v>92</v>
      </c>
      <c r="D67" s="287">
        <v>1</v>
      </c>
    </row>
    <row r="68" spans="1:4" x14ac:dyDescent="0.3">
      <c r="A68" s="288" t="s">
        <v>423</v>
      </c>
      <c r="B68" s="288" t="s">
        <v>88</v>
      </c>
      <c r="C68" s="288" t="s">
        <v>92</v>
      </c>
      <c r="D68" s="287">
        <v>2</v>
      </c>
    </row>
    <row r="69" spans="1:4" x14ac:dyDescent="0.3">
      <c r="A69" s="288" t="s">
        <v>424</v>
      </c>
      <c r="B69" s="288" t="s">
        <v>90</v>
      </c>
      <c r="C69" s="288" t="s">
        <v>93</v>
      </c>
      <c r="D69" s="287">
        <v>2</v>
      </c>
    </row>
    <row r="70" spans="1:4" x14ac:dyDescent="0.3">
      <c r="A70" s="288" t="s">
        <v>425</v>
      </c>
      <c r="B70" s="288" t="s">
        <v>90</v>
      </c>
      <c r="C70" s="288" t="s">
        <v>93</v>
      </c>
      <c r="D70" s="287">
        <v>3</v>
      </c>
    </row>
    <row r="71" spans="1:4" x14ac:dyDescent="0.3">
      <c r="A71" s="288" t="s">
        <v>426</v>
      </c>
      <c r="B71" s="288" t="s">
        <v>91</v>
      </c>
      <c r="C71" s="288" t="s">
        <v>94</v>
      </c>
      <c r="D71" s="287">
        <v>3</v>
      </c>
    </row>
    <row r="72" spans="1:4" x14ac:dyDescent="0.3">
      <c r="A72" s="288" t="s">
        <v>427</v>
      </c>
      <c r="B72" s="288" t="s">
        <v>88</v>
      </c>
      <c r="C72" s="288" t="s">
        <v>91</v>
      </c>
      <c r="D72" s="287">
        <v>1</v>
      </c>
    </row>
    <row r="73" spans="1:4" x14ac:dyDescent="0.3">
      <c r="A73" s="288" t="s">
        <v>429</v>
      </c>
      <c r="B73" s="288" t="s">
        <v>88</v>
      </c>
      <c r="C73" s="288" t="s">
        <v>92</v>
      </c>
      <c r="D73" s="287">
        <v>1</v>
      </c>
    </row>
    <row r="74" spans="1:4" x14ac:dyDescent="0.3">
      <c r="A74" s="288" t="s">
        <v>430</v>
      </c>
      <c r="B74" s="288" t="s">
        <v>88</v>
      </c>
      <c r="C74" s="288" t="s">
        <v>92</v>
      </c>
      <c r="D74" s="287">
        <v>2</v>
      </c>
    </row>
    <row r="75" spans="1:4" x14ac:dyDescent="0.3">
      <c r="A75" s="288" t="s">
        <v>431</v>
      </c>
      <c r="B75" s="288" t="s">
        <v>90</v>
      </c>
      <c r="C75" s="288" t="s">
        <v>93</v>
      </c>
      <c r="D75" s="287">
        <v>2</v>
      </c>
    </row>
    <row r="76" spans="1:4" x14ac:dyDescent="0.3">
      <c r="A76" s="288" t="s">
        <v>432</v>
      </c>
      <c r="B76" s="288" t="s">
        <v>90</v>
      </c>
      <c r="C76" s="288" t="s">
        <v>93</v>
      </c>
      <c r="D76" s="287">
        <v>3</v>
      </c>
    </row>
    <row r="77" spans="1:4" x14ac:dyDescent="0.3">
      <c r="A77" s="288" t="s">
        <v>433</v>
      </c>
      <c r="B77" s="288" t="s">
        <v>91</v>
      </c>
      <c r="C77" s="288" t="s">
        <v>94</v>
      </c>
      <c r="D77" s="287">
        <v>3</v>
      </c>
    </row>
    <row r="78" spans="1:4" x14ac:dyDescent="0.3">
      <c r="A78" s="288" t="s">
        <v>434</v>
      </c>
      <c r="B78" s="288" t="s">
        <v>88</v>
      </c>
      <c r="C78" s="288" t="s">
        <v>91</v>
      </c>
      <c r="D78" s="287">
        <v>1</v>
      </c>
    </row>
    <row r="79" spans="1:4" x14ac:dyDescent="0.3">
      <c r="A79" s="288" t="s">
        <v>435</v>
      </c>
      <c r="B79" s="288" t="s">
        <v>88</v>
      </c>
      <c r="C79" s="288" t="s">
        <v>92</v>
      </c>
      <c r="D79" s="287">
        <v>1</v>
      </c>
    </row>
    <row r="80" spans="1:4" x14ac:dyDescent="0.3">
      <c r="A80" s="288" t="s">
        <v>436</v>
      </c>
      <c r="B80" s="288" t="s">
        <v>88</v>
      </c>
      <c r="C80" s="288" t="s">
        <v>92</v>
      </c>
      <c r="D80" s="287">
        <v>2</v>
      </c>
    </row>
    <row r="81" spans="1:4" x14ac:dyDescent="0.3">
      <c r="A81" s="288" t="s">
        <v>437</v>
      </c>
      <c r="B81" s="288" t="s">
        <v>90</v>
      </c>
      <c r="C81" s="288" t="s">
        <v>93</v>
      </c>
      <c r="D81" s="287">
        <v>2</v>
      </c>
    </row>
    <row r="82" spans="1:4" x14ac:dyDescent="0.3">
      <c r="A82" s="288" t="s">
        <v>438</v>
      </c>
      <c r="B82" s="288" t="s">
        <v>90</v>
      </c>
      <c r="C82" s="288" t="s">
        <v>93</v>
      </c>
      <c r="D82" s="287">
        <v>3</v>
      </c>
    </row>
    <row r="83" spans="1:4" x14ac:dyDescent="0.3">
      <c r="A83" s="288" t="s">
        <v>439</v>
      </c>
      <c r="B83" s="288" t="s">
        <v>91</v>
      </c>
      <c r="C83" s="288" t="s">
        <v>94</v>
      </c>
      <c r="D83" s="28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320F-FB19-4F09-9AA7-83237622BB0B}">
  <sheetPr codeName="Sheet42"/>
  <dimension ref="A1:AC101"/>
  <sheetViews>
    <sheetView zoomScale="55" zoomScaleNormal="55" workbookViewId="0">
      <selection activeCell="D6" sqref="D6"/>
    </sheetView>
  </sheetViews>
  <sheetFormatPr defaultRowHeight="14.4" x14ac:dyDescent="0.3"/>
  <cols>
    <col min="1" max="1" width="14.5546875" bestFit="1" customWidth="1"/>
    <col min="2" max="2" width="33" bestFit="1" customWidth="1"/>
    <col min="3" max="3" width="8.33203125" customWidth="1"/>
    <col min="8" max="8" width="11.33203125" customWidth="1"/>
    <col min="13" max="13" width="2.44140625" customWidth="1"/>
    <col min="14" max="14" width="14.5546875" bestFit="1" customWidth="1"/>
  </cols>
  <sheetData>
    <row r="1" spans="1:29" ht="18.75" customHeight="1" x14ac:dyDescent="0.55000000000000004">
      <c r="A1" s="389" t="s">
        <v>510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268"/>
      <c r="N1" s="393" t="s">
        <v>454</v>
      </c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</row>
    <row r="2" spans="1:29" ht="28.8" x14ac:dyDescent="0.55000000000000004">
      <c r="A2" s="390"/>
      <c r="B2" s="390"/>
      <c r="C2" s="390"/>
      <c r="D2" s="390"/>
      <c r="E2" s="390"/>
      <c r="F2" s="390"/>
      <c r="G2" s="390"/>
      <c r="H2" s="390"/>
      <c r="I2" s="390"/>
      <c r="J2" s="390"/>
      <c r="K2" s="390"/>
      <c r="L2" s="390"/>
      <c r="M2" s="268"/>
      <c r="N2" s="394"/>
      <c r="O2" s="394"/>
      <c r="P2" s="394"/>
      <c r="Q2" s="394"/>
      <c r="R2" s="394"/>
      <c r="S2" s="394"/>
      <c r="T2" s="394"/>
      <c r="U2" s="394"/>
      <c r="V2" s="394"/>
      <c r="W2" s="394"/>
      <c r="X2" s="394"/>
      <c r="Y2" s="394"/>
    </row>
    <row r="3" spans="1:29" ht="43.2" x14ac:dyDescent="0.3">
      <c r="A3" s="147" t="s">
        <v>659</v>
      </c>
      <c r="B3" s="94" t="s">
        <v>456</v>
      </c>
      <c r="C3" s="94" t="s">
        <v>457</v>
      </c>
      <c r="D3" s="94" t="s">
        <v>458</v>
      </c>
      <c r="E3" s="94" t="s">
        <v>459</v>
      </c>
      <c r="F3" s="94" t="s">
        <v>460</v>
      </c>
      <c r="G3" s="94" t="s">
        <v>461</v>
      </c>
      <c r="H3" s="94" t="s">
        <v>462</v>
      </c>
      <c r="I3" s="94" t="s">
        <v>463</v>
      </c>
      <c r="J3" s="94" t="s">
        <v>654</v>
      </c>
      <c r="K3" s="94" t="s">
        <v>655</v>
      </c>
      <c r="L3" s="94" t="s">
        <v>509</v>
      </c>
      <c r="M3" s="262"/>
      <c r="N3" s="147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112"/>
      <c r="AA3" s="112"/>
      <c r="AB3" s="112"/>
      <c r="AC3" s="112" t="s">
        <v>508</v>
      </c>
    </row>
    <row r="4" spans="1:29" x14ac:dyDescent="0.3">
      <c r="A4" s="91" t="s">
        <v>511</v>
      </c>
      <c r="B4" s="91"/>
      <c r="C4" s="91"/>
      <c r="D4" s="91">
        <v>1</v>
      </c>
      <c r="E4" s="91"/>
      <c r="F4" s="91"/>
      <c r="G4" s="91"/>
      <c r="H4" s="91"/>
      <c r="I4" s="91"/>
      <c r="J4" s="261" t="s">
        <v>88</v>
      </c>
      <c r="K4" s="261" t="s">
        <v>86</v>
      </c>
      <c r="L4" s="91"/>
      <c r="M4" s="263"/>
      <c r="N4" s="91"/>
      <c r="O4" s="91"/>
      <c r="P4" s="91"/>
      <c r="Q4" s="91"/>
      <c r="R4" s="91"/>
      <c r="S4" s="91"/>
      <c r="T4" s="91"/>
      <c r="U4" s="91"/>
      <c r="V4" s="91"/>
      <c r="W4" s="261"/>
      <c r="X4" s="261"/>
      <c r="Y4" s="105"/>
      <c r="Z4" s="112" t="s">
        <v>455</v>
      </c>
      <c r="AA4" s="112"/>
      <c r="AB4" s="112"/>
      <c r="AC4" s="112"/>
    </row>
    <row r="5" spans="1:29" x14ac:dyDescent="0.3">
      <c r="A5" s="91" t="s">
        <v>512</v>
      </c>
      <c r="B5" s="91"/>
      <c r="C5" s="91"/>
      <c r="D5" s="91">
        <v>1</v>
      </c>
      <c r="E5" s="91"/>
      <c r="F5" s="91"/>
      <c r="G5" s="91"/>
      <c r="H5" s="91"/>
      <c r="I5" s="91"/>
      <c r="J5" s="261" t="s">
        <v>88</v>
      </c>
      <c r="K5" s="261" t="s">
        <v>86</v>
      </c>
      <c r="L5" s="91"/>
      <c r="M5" s="263"/>
      <c r="N5" s="91"/>
      <c r="O5" s="91"/>
      <c r="P5" s="91"/>
      <c r="Q5" s="91"/>
      <c r="R5" s="91"/>
      <c r="S5" s="91"/>
      <c r="T5" s="91"/>
      <c r="U5" s="91"/>
      <c r="V5" s="91"/>
      <c r="W5" s="261"/>
      <c r="X5" s="261"/>
      <c r="Y5" s="105"/>
    </row>
    <row r="6" spans="1:29" x14ac:dyDescent="0.3">
      <c r="A6" s="91" t="s">
        <v>513</v>
      </c>
      <c r="B6" s="91"/>
      <c r="C6" s="91"/>
      <c r="D6" s="91">
        <v>1</v>
      </c>
      <c r="E6" s="91"/>
      <c r="F6" s="91"/>
      <c r="G6" s="91"/>
      <c r="H6" s="91"/>
      <c r="I6" s="91"/>
      <c r="J6" s="261" t="s">
        <v>88</v>
      </c>
      <c r="K6" s="261" t="s">
        <v>86</v>
      </c>
      <c r="L6" s="91"/>
      <c r="M6" s="263"/>
      <c r="N6" s="91"/>
      <c r="O6" s="91"/>
      <c r="P6" s="91"/>
      <c r="Q6" s="91"/>
      <c r="R6" s="91"/>
      <c r="S6" s="91"/>
      <c r="T6" s="91"/>
      <c r="U6" s="91"/>
      <c r="V6" s="91"/>
      <c r="W6" s="261"/>
      <c r="X6" s="261"/>
      <c r="Y6" s="105"/>
    </row>
    <row r="7" spans="1:29" x14ac:dyDescent="0.3">
      <c r="A7" s="91" t="s">
        <v>514</v>
      </c>
      <c r="B7" s="91"/>
      <c r="C7" s="91"/>
      <c r="D7" s="91">
        <v>1</v>
      </c>
      <c r="E7" s="91"/>
      <c r="F7" s="91"/>
      <c r="G7" s="91"/>
      <c r="H7" s="91"/>
      <c r="I7" s="91"/>
      <c r="J7" s="261" t="s">
        <v>88</v>
      </c>
      <c r="K7" s="261" t="s">
        <v>86</v>
      </c>
      <c r="L7" s="91"/>
      <c r="M7" s="263"/>
      <c r="N7" s="91"/>
      <c r="O7" s="91"/>
      <c r="P7" s="91"/>
      <c r="Q7" s="91"/>
      <c r="R7" s="91"/>
      <c r="S7" s="91"/>
      <c r="T7" s="91"/>
      <c r="U7" s="91"/>
      <c r="V7" s="91"/>
      <c r="W7" s="261"/>
      <c r="X7" s="261"/>
      <c r="Y7" s="105"/>
    </row>
    <row r="8" spans="1:29" x14ac:dyDescent="0.3">
      <c r="A8" s="91" t="s">
        <v>515</v>
      </c>
      <c r="B8" s="91"/>
      <c r="C8" s="91"/>
      <c r="D8" s="91">
        <v>2</v>
      </c>
      <c r="E8" s="91"/>
      <c r="F8" s="91"/>
      <c r="G8" s="91"/>
      <c r="H8" s="91"/>
      <c r="I8" s="91"/>
      <c r="J8" s="261" t="s">
        <v>88</v>
      </c>
      <c r="K8" s="261" t="s">
        <v>86</v>
      </c>
      <c r="L8" s="91"/>
      <c r="M8" s="263"/>
      <c r="N8" s="91"/>
      <c r="O8" s="91"/>
      <c r="P8" s="91"/>
      <c r="Q8" s="91"/>
      <c r="R8" s="91"/>
      <c r="S8" s="91"/>
      <c r="T8" s="91"/>
      <c r="U8" s="91"/>
      <c r="V8" s="91"/>
      <c r="W8" s="261"/>
      <c r="X8" s="261"/>
      <c r="Y8" s="105"/>
    </row>
    <row r="9" spans="1:29" x14ac:dyDescent="0.3">
      <c r="A9" s="91" t="s">
        <v>516</v>
      </c>
      <c r="B9" s="91"/>
      <c r="C9" s="91"/>
      <c r="D9" s="91">
        <v>2</v>
      </c>
      <c r="E9" s="91"/>
      <c r="F9" s="91"/>
      <c r="G9" s="91"/>
      <c r="H9" s="91"/>
      <c r="I9" s="91"/>
      <c r="J9" s="261" t="s">
        <v>90</v>
      </c>
      <c r="K9" s="261" t="s">
        <v>86</v>
      </c>
      <c r="L9" s="91"/>
      <c r="M9" s="263"/>
      <c r="N9" s="91"/>
      <c r="O9" s="91"/>
      <c r="P9" s="91"/>
      <c r="Q9" s="91"/>
      <c r="R9" s="91"/>
      <c r="S9" s="91"/>
      <c r="T9" s="91"/>
      <c r="U9" s="91"/>
      <c r="V9" s="91"/>
      <c r="W9" s="261"/>
      <c r="X9" s="261"/>
      <c r="Y9" s="105"/>
    </row>
    <row r="10" spans="1:29" x14ac:dyDescent="0.3">
      <c r="A10" s="91" t="s">
        <v>517</v>
      </c>
      <c r="B10" s="91"/>
      <c r="C10" s="91"/>
      <c r="D10" s="91">
        <v>2</v>
      </c>
      <c r="E10" s="91"/>
      <c r="F10" s="91"/>
      <c r="G10" s="91"/>
      <c r="H10" s="91"/>
      <c r="I10" s="91"/>
      <c r="J10" s="261" t="s">
        <v>90</v>
      </c>
      <c r="K10" s="261" t="s">
        <v>86</v>
      </c>
      <c r="L10" s="91"/>
      <c r="M10" s="263"/>
      <c r="N10" s="91"/>
      <c r="O10" s="91"/>
      <c r="P10" s="91"/>
      <c r="Q10" s="91"/>
      <c r="R10" s="91"/>
      <c r="S10" s="91"/>
      <c r="T10" s="91"/>
      <c r="U10" s="91"/>
      <c r="V10" s="91"/>
      <c r="W10" s="261"/>
      <c r="X10" s="261"/>
      <c r="Y10" s="105"/>
    </row>
    <row r="11" spans="1:29" x14ac:dyDescent="0.3">
      <c r="A11" s="91" t="s">
        <v>518</v>
      </c>
      <c r="B11" s="91"/>
      <c r="C11" s="91"/>
      <c r="D11" s="91">
        <v>2</v>
      </c>
      <c r="E11" s="91"/>
      <c r="F11" s="91"/>
      <c r="G11" s="91"/>
      <c r="H11" s="91"/>
      <c r="I11" s="91"/>
      <c r="J11" s="261" t="s">
        <v>90</v>
      </c>
      <c r="K11" s="261" t="s">
        <v>86</v>
      </c>
      <c r="L11" s="91"/>
      <c r="M11" s="263"/>
      <c r="N11" s="91"/>
      <c r="O11" s="91"/>
      <c r="P11" s="91"/>
      <c r="Q11" s="91"/>
      <c r="R11" s="91"/>
      <c r="S11" s="91"/>
      <c r="T11" s="91"/>
      <c r="U11" s="91"/>
      <c r="V11" s="91"/>
      <c r="W11" s="261"/>
      <c r="X11" s="261"/>
      <c r="Y11" s="105"/>
    </row>
    <row r="12" spans="1:29" x14ac:dyDescent="0.3">
      <c r="A12" s="91" t="s">
        <v>519</v>
      </c>
      <c r="B12" s="91"/>
      <c r="C12" s="91"/>
      <c r="D12" s="91">
        <v>3</v>
      </c>
      <c r="E12" s="91"/>
      <c r="F12" s="91"/>
      <c r="G12" s="91"/>
      <c r="H12" s="91"/>
      <c r="I12" s="91"/>
      <c r="J12" s="261" t="s">
        <v>90</v>
      </c>
      <c r="K12" s="261" t="s">
        <v>86</v>
      </c>
      <c r="L12" s="91"/>
      <c r="M12" s="263"/>
      <c r="N12" s="91"/>
      <c r="O12" s="91"/>
      <c r="P12" s="91"/>
      <c r="Q12" s="91"/>
      <c r="R12" s="91"/>
      <c r="S12" s="91"/>
      <c r="T12" s="91"/>
      <c r="U12" s="91"/>
      <c r="V12" s="91"/>
      <c r="W12" s="261"/>
      <c r="X12" s="261"/>
      <c r="Y12" s="105"/>
    </row>
    <row r="13" spans="1:29" x14ac:dyDescent="0.3">
      <c r="A13" s="91" t="s">
        <v>520</v>
      </c>
      <c r="B13" s="91"/>
      <c r="C13" s="91"/>
      <c r="D13" s="91">
        <v>3</v>
      </c>
      <c r="E13" s="91"/>
      <c r="F13" s="91"/>
      <c r="G13" s="91"/>
      <c r="H13" s="91"/>
      <c r="I13" s="91"/>
      <c r="J13" s="261" t="s">
        <v>90</v>
      </c>
      <c r="K13" s="261" t="s">
        <v>86</v>
      </c>
      <c r="L13" s="91"/>
      <c r="M13" s="263"/>
      <c r="N13" s="91"/>
      <c r="O13" s="261"/>
      <c r="P13" s="91"/>
      <c r="Q13" s="91"/>
      <c r="R13" s="91"/>
      <c r="S13" s="91"/>
      <c r="T13" s="91"/>
      <c r="U13" s="91"/>
      <c r="V13" s="91"/>
      <c r="W13" s="261"/>
      <c r="X13" s="261"/>
      <c r="Y13" s="105"/>
    </row>
    <row r="14" spans="1:29" x14ac:dyDescent="0.3">
      <c r="A14" s="91" t="s">
        <v>521</v>
      </c>
      <c r="B14" s="91"/>
      <c r="C14" s="91"/>
      <c r="D14" s="91">
        <v>3</v>
      </c>
      <c r="E14" s="91"/>
      <c r="F14" s="91"/>
      <c r="G14" s="91"/>
      <c r="H14" s="91"/>
      <c r="I14" s="91"/>
      <c r="J14" s="261" t="s">
        <v>90</v>
      </c>
      <c r="K14" s="261" t="s">
        <v>86</v>
      </c>
      <c r="L14" s="91"/>
      <c r="M14" s="263"/>
      <c r="N14" s="91"/>
      <c r="O14" s="91"/>
      <c r="P14" s="91"/>
      <c r="Q14" s="91"/>
      <c r="R14" s="91"/>
      <c r="S14" s="91"/>
      <c r="T14" s="91"/>
      <c r="U14" s="91"/>
      <c r="V14" s="91"/>
      <c r="W14" s="261"/>
      <c r="X14" s="261"/>
      <c r="Y14" s="105"/>
    </row>
    <row r="15" spans="1:29" x14ac:dyDescent="0.3">
      <c r="A15" s="91" t="s">
        <v>522</v>
      </c>
      <c r="B15" s="91"/>
      <c r="C15" s="91"/>
      <c r="D15" s="91">
        <v>3</v>
      </c>
      <c r="E15" s="91"/>
      <c r="F15" s="91"/>
      <c r="G15" s="91"/>
      <c r="H15" s="91"/>
      <c r="I15" s="91"/>
      <c r="J15" s="261" t="s">
        <v>90</v>
      </c>
      <c r="K15" s="261" t="s">
        <v>86</v>
      </c>
      <c r="L15" s="91"/>
      <c r="M15" s="263"/>
      <c r="N15" s="91"/>
      <c r="O15" s="91"/>
      <c r="P15" s="91"/>
      <c r="Q15" s="91"/>
      <c r="R15" s="91"/>
      <c r="S15" s="91"/>
      <c r="T15" s="91"/>
      <c r="U15" s="91"/>
      <c r="V15" s="91"/>
      <c r="W15" s="261"/>
      <c r="X15" s="261"/>
      <c r="Y15" s="105"/>
    </row>
    <row r="16" spans="1:29" ht="25.8" x14ac:dyDescent="0.5">
      <c r="A16" s="91" t="s">
        <v>523</v>
      </c>
      <c r="B16" s="91"/>
      <c r="C16" s="91"/>
      <c r="D16" s="91">
        <v>4</v>
      </c>
      <c r="E16" s="91"/>
      <c r="F16" s="91"/>
      <c r="G16" s="91"/>
      <c r="H16" s="91"/>
      <c r="I16" s="91"/>
      <c r="J16" s="261" t="s">
        <v>90</v>
      </c>
      <c r="K16" s="261" t="s">
        <v>86</v>
      </c>
      <c r="L16" s="91"/>
      <c r="M16" s="263"/>
      <c r="N16" s="391"/>
      <c r="O16" s="392"/>
      <c r="P16" s="392"/>
      <c r="Q16" s="392"/>
      <c r="R16" s="392"/>
      <c r="S16" s="392"/>
      <c r="T16" s="392"/>
      <c r="U16" s="392"/>
      <c r="V16" s="392"/>
      <c r="W16" s="392"/>
      <c r="X16" s="392"/>
      <c r="Y16" s="392"/>
    </row>
    <row r="17" spans="1:25" x14ac:dyDescent="0.3">
      <c r="A17" s="91" t="s">
        <v>524</v>
      </c>
      <c r="B17" s="91"/>
      <c r="C17" s="91"/>
      <c r="D17" s="91">
        <v>4</v>
      </c>
      <c r="E17" s="91"/>
      <c r="F17" s="91"/>
      <c r="G17" s="91"/>
      <c r="H17" s="91"/>
      <c r="I17" s="91"/>
      <c r="J17" s="261" t="s">
        <v>90</v>
      </c>
      <c r="K17" s="261" t="s">
        <v>86</v>
      </c>
      <c r="L17" s="91"/>
      <c r="M17" s="264"/>
      <c r="N17" s="91"/>
      <c r="O17" s="91"/>
      <c r="P17" s="91"/>
      <c r="Q17" s="91"/>
      <c r="R17" s="91"/>
      <c r="S17" s="91"/>
      <c r="T17" s="91"/>
      <c r="U17" s="91"/>
      <c r="V17" s="91"/>
      <c r="W17" s="261"/>
      <c r="X17" s="261"/>
      <c r="Y17" s="91"/>
    </row>
    <row r="18" spans="1:25" x14ac:dyDescent="0.3">
      <c r="A18" s="91" t="s">
        <v>525</v>
      </c>
      <c r="B18" s="91"/>
      <c r="C18" s="91"/>
      <c r="D18" s="91">
        <v>4</v>
      </c>
      <c r="E18" s="91"/>
      <c r="F18" s="91"/>
      <c r="G18" s="91"/>
      <c r="H18" s="91"/>
      <c r="I18" s="91"/>
      <c r="J18" s="261" t="s">
        <v>90</v>
      </c>
      <c r="K18" s="261" t="s">
        <v>86</v>
      </c>
      <c r="L18" s="91"/>
      <c r="M18" s="263"/>
      <c r="N18" s="91"/>
      <c r="O18" s="91"/>
      <c r="P18" s="91"/>
      <c r="Q18" s="91"/>
      <c r="R18" s="91"/>
      <c r="S18" s="91"/>
      <c r="T18" s="91"/>
      <c r="U18" s="91"/>
      <c r="V18" s="91"/>
      <c r="W18" s="261"/>
      <c r="X18" s="261"/>
      <c r="Y18" s="91"/>
    </row>
    <row r="19" spans="1:25" x14ac:dyDescent="0.3">
      <c r="A19" s="91" t="s">
        <v>526</v>
      </c>
      <c r="B19" s="91"/>
      <c r="C19" s="91"/>
      <c r="D19" s="91">
        <v>5</v>
      </c>
      <c r="E19" s="91"/>
      <c r="F19" s="91"/>
      <c r="G19" s="91"/>
      <c r="H19" s="91"/>
      <c r="I19" s="91"/>
      <c r="J19" s="261" t="s">
        <v>91</v>
      </c>
      <c r="K19" s="261" t="s">
        <v>86</v>
      </c>
      <c r="L19" s="91"/>
      <c r="M19" s="263"/>
      <c r="N19" s="91"/>
      <c r="O19" s="91"/>
      <c r="P19" s="91"/>
      <c r="Q19" s="91"/>
      <c r="R19" s="91"/>
      <c r="S19" s="91"/>
      <c r="T19" s="91"/>
      <c r="U19" s="91"/>
      <c r="V19" s="91"/>
      <c r="W19" s="261"/>
      <c r="X19" s="261"/>
      <c r="Y19" s="91"/>
    </row>
    <row r="20" spans="1:25" x14ac:dyDescent="0.3">
      <c r="A20" s="91" t="s">
        <v>527</v>
      </c>
      <c r="B20" s="91"/>
      <c r="C20" s="91"/>
      <c r="D20" s="91">
        <v>5</v>
      </c>
      <c r="E20" s="91"/>
      <c r="F20" s="91"/>
      <c r="G20" s="91"/>
      <c r="H20" s="91"/>
      <c r="I20" s="91"/>
      <c r="J20" s="261" t="s">
        <v>91</v>
      </c>
      <c r="K20" s="261" t="s">
        <v>86</v>
      </c>
      <c r="L20" s="91"/>
      <c r="M20" s="263"/>
      <c r="N20" s="91"/>
      <c r="O20" s="91"/>
      <c r="P20" s="91"/>
      <c r="Q20" s="91"/>
      <c r="R20" s="91"/>
      <c r="S20" s="91"/>
      <c r="T20" s="91"/>
      <c r="U20" s="91"/>
      <c r="V20" s="91"/>
      <c r="W20" s="261"/>
      <c r="X20" s="261"/>
      <c r="Y20" s="91"/>
    </row>
    <row r="21" spans="1:25" x14ac:dyDescent="0.3">
      <c r="A21" s="91" t="s">
        <v>528</v>
      </c>
      <c r="B21" s="91"/>
      <c r="C21" s="91"/>
      <c r="D21" s="91">
        <v>5</v>
      </c>
      <c r="E21" s="91"/>
      <c r="F21" s="91"/>
      <c r="G21" s="91"/>
      <c r="H21" s="91"/>
      <c r="I21" s="91"/>
      <c r="J21" s="261" t="s">
        <v>91</v>
      </c>
      <c r="K21" s="261" t="s">
        <v>86</v>
      </c>
      <c r="L21" s="91"/>
      <c r="M21" s="263"/>
      <c r="N21" s="91"/>
      <c r="O21" s="91"/>
      <c r="P21" s="91"/>
      <c r="Q21" s="91"/>
      <c r="R21" s="91"/>
      <c r="S21" s="91"/>
      <c r="T21" s="91"/>
      <c r="U21" s="91"/>
      <c r="V21" s="91"/>
      <c r="W21" s="261"/>
      <c r="X21" s="261"/>
      <c r="Y21" s="91"/>
    </row>
    <row r="22" spans="1:25" ht="15" customHeight="1" x14ac:dyDescent="0.3">
      <c r="A22" s="91" t="s">
        <v>529</v>
      </c>
      <c r="B22" s="91"/>
      <c r="C22" s="91"/>
      <c r="D22" s="91">
        <v>1</v>
      </c>
      <c r="E22" s="91"/>
      <c r="F22" s="91"/>
      <c r="G22" s="91"/>
      <c r="H22" s="91"/>
      <c r="I22" s="91"/>
      <c r="J22" s="261" t="s">
        <v>88</v>
      </c>
      <c r="K22" s="261" t="s">
        <v>86</v>
      </c>
      <c r="L22" s="105"/>
      <c r="M22" s="265"/>
      <c r="N22" s="91"/>
      <c r="O22" s="91"/>
      <c r="P22" s="91"/>
      <c r="Q22" s="91"/>
      <c r="R22" s="91"/>
      <c r="S22" s="91"/>
      <c r="T22" s="91"/>
      <c r="U22" s="91"/>
      <c r="V22" s="91"/>
      <c r="W22" s="261"/>
      <c r="X22" s="261"/>
      <c r="Y22" s="91"/>
    </row>
    <row r="23" spans="1:25" x14ac:dyDescent="0.3">
      <c r="A23" s="91" t="s">
        <v>530</v>
      </c>
      <c r="B23" s="91"/>
      <c r="C23" s="91"/>
      <c r="D23" s="91">
        <v>1</v>
      </c>
      <c r="E23" s="91"/>
      <c r="F23" s="91"/>
      <c r="G23" s="91"/>
      <c r="H23" s="91"/>
      <c r="I23" s="91"/>
      <c r="J23" s="261" t="s">
        <v>88</v>
      </c>
      <c r="K23" s="261" t="s">
        <v>86</v>
      </c>
      <c r="L23" s="105"/>
      <c r="M23" s="265"/>
      <c r="N23" s="91"/>
      <c r="O23" s="91"/>
      <c r="P23" s="91"/>
      <c r="Q23" s="91"/>
      <c r="R23" s="91"/>
      <c r="S23" s="91"/>
      <c r="T23" s="91"/>
      <c r="U23" s="91"/>
      <c r="V23" s="91"/>
      <c r="W23" s="261"/>
      <c r="X23" s="261"/>
      <c r="Y23" s="91"/>
    </row>
    <row r="24" spans="1:25" x14ac:dyDescent="0.3">
      <c r="A24" s="91" t="s">
        <v>531</v>
      </c>
      <c r="B24" s="91"/>
      <c r="C24" s="91"/>
      <c r="D24" s="91">
        <v>1</v>
      </c>
      <c r="E24" s="91"/>
      <c r="F24" s="91"/>
      <c r="G24" s="91"/>
      <c r="H24" s="91"/>
      <c r="I24" s="91"/>
      <c r="J24" s="261" t="s">
        <v>88</v>
      </c>
      <c r="K24" s="261" t="s">
        <v>86</v>
      </c>
      <c r="L24" s="105"/>
      <c r="M24" s="265"/>
      <c r="N24" s="91"/>
      <c r="O24" s="91"/>
      <c r="P24" s="91"/>
      <c r="Q24" s="91"/>
      <c r="R24" s="91"/>
      <c r="S24" s="91"/>
      <c r="T24" s="91"/>
      <c r="U24" s="91"/>
      <c r="V24" s="91"/>
      <c r="W24" s="261"/>
      <c r="X24" s="261"/>
      <c r="Y24" s="91"/>
    </row>
    <row r="25" spans="1:25" x14ac:dyDescent="0.3">
      <c r="A25" s="91" t="s">
        <v>532</v>
      </c>
      <c r="B25" s="91"/>
      <c r="C25" s="91"/>
      <c r="D25" s="91">
        <v>1</v>
      </c>
      <c r="E25" s="91"/>
      <c r="F25" s="91"/>
      <c r="G25" s="91"/>
      <c r="H25" s="91"/>
      <c r="I25" s="91"/>
      <c r="J25" s="261" t="s">
        <v>88</v>
      </c>
      <c r="K25" s="261" t="s">
        <v>86</v>
      </c>
      <c r="L25" s="105"/>
      <c r="M25" s="265"/>
      <c r="N25" s="91"/>
      <c r="O25" s="91"/>
      <c r="P25" s="91"/>
      <c r="Q25" s="91"/>
      <c r="R25" s="91"/>
      <c r="S25" s="91"/>
      <c r="T25" s="91"/>
      <c r="U25" s="91"/>
      <c r="V25" s="91"/>
      <c r="W25" s="261"/>
      <c r="X25" s="261"/>
      <c r="Y25" s="91"/>
    </row>
    <row r="26" spans="1:25" x14ac:dyDescent="0.3">
      <c r="A26" s="91" t="s">
        <v>533</v>
      </c>
      <c r="B26" s="91"/>
      <c r="C26" s="91"/>
      <c r="D26" s="91">
        <v>2</v>
      </c>
      <c r="E26" s="91"/>
      <c r="F26" s="91"/>
      <c r="G26" s="91"/>
      <c r="H26" s="91"/>
      <c r="I26" s="91"/>
      <c r="J26" s="261" t="s">
        <v>88</v>
      </c>
      <c r="K26" s="261" t="s">
        <v>86</v>
      </c>
      <c r="L26" s="105"/>
      <c r="M26" s="265"/>
      <c r="N26" s="91"/>
      <c r="O26" s="91"/>
      <c r="P26" s="91"/>
      <c r="Q26" s="91"/>
      <c r="R26" s="91"/>
      <c r="S26" s="91"/>
      <c r="T26" s="91"/>
      <c r="U26" s="91"/>
      <c r="V26" s="91"/>
      <c r="W26" s="261"/>
      <c r="X26" s="261"/>
      <c r="Y26" s="91"/>
    </row>
    <row r="27" spans="1:25" ht="25.8" x14ac:dyDescent="0.5">
      <c r="A27" s="91" t="s">
        <v>534</v>
      </c>
      <c r="B27" s="91"/>
      <c r="C27" s="91"/>
      <c r="D27" s="91">
        <v>2</v>
      </c>
      <c r="E27" s="91"/>
      <c r="F27" s="91"/>
      <c r="G27" s="91"/>
      <c r="H27" s="91"/>
      <c r="I27" s="91"/>
      <c r="J27" s="261" t="s">
        <v>90</v>
      </c>
      <c r="K27" s="261" t="s">
        <v>86</v>
      </c>
      <c r="L27" s="91"/>
      <c r="M27" s="263"/>
      <c r="N27" s="391"/>
      <c r="O27" s="392"/>
      <c r="P27" s="392"/>
      <c r="Q27" s="392"/>
      <c r="R27" s="392"/>
      <c r="S27" s="392"/>
      <c r="T27" s="392"/>
      <c r="U27" s="392"/>
      <c r="V27" s="392"/>
      <c r="W27" s="392"/>
      <c r="X27" s="392"/>
      <c r="Y27" s="392"/>
    </row>
    <row r="28" spans="1:25" x14ac:dyDescent="0.3">
      <c r="A28" s="91" t="s">
        <v>535</v>
      </c>
      <c r="B28" s="91"/>
      <c r="C28" s="91"/>
      <c r="D28" s="91">
        <v>2</v>
      </c>
      <c r="E28" s="91"/>
      <c r="F28" s="91"/>
      <c r="G28" s="91"/>
      <c r="H28" s="91"/>
      <c r="I28" s="91"/>
      <c r="J28" s="261" t="s">
        <v>90</v>
      </c>
      <c r="K28" s="261" t="s">
        <v>86</v>
      </c>
      <c r="L28" s="91"/>
      <c r="M28" s="264"/>
    </row>
    <row r="29" spans="1:25" x14ac:dyDescent="0.3">
      <c r="A29" s="91" t="s">
        <v>536</v>
      </c>
      <c r="B29" s="91"/>
      <c r="C29" s="91"/>
      <c r="D29" s="91">
        <v>2</v>
      </c>
      <c r="E29" s="91"/>
      <c r="F29" s="91"/>
      <c r="G29" s="91"/>
      <c r="H29" s="91"/>
      <c r="I29" s="91"/>
      <c r="J29" s="261" t="s">
        <v>90</v>
      </c>
      <c r="K29" s="261" t="s">
        <v>86</v>
      </c>
      <c r="L29" s="91"/>
      <c r="M29" s="263"/>
    </row>
    <row r="30" spans="1:25" x14ac:dyDescent="0.3">
      <c r="A30" s="91" t="s">
        <v>537</v>
      </c>
      <c r="B30" s="91"/>
      <c r="C30" s="91"/>
      <c r="D30" s="91">
        <v>3</v>
      </c>
      <c r="E30" s="91"/>
      <c r="F30" s="91"/>
      <c r="G30" s="91"/>
      <c r="H30" s="91"/>
      <c r="I30" s="91"/>
      <c r="J30" s="261" t="s">
        <v>90</v>
      </c>
      <c r="K30" s="261" t="s">
        <v>86</v>
      </c>
      <c r="L30" s="91"/>
      <c r="M30" s="263"/>
    </row>
    <row r="31" spans="1:25" x14ac:dyDescent="0.3">
      <c r="A31" s="91" t="s">
        <v>538</v>
      </c>
      <c r="B31" s="91"/>
      <c r="C31" s="91"/>
      <c r="D31" s="91">
        <v>3</v>
      </c>
      <c r="E31" s="91"/>
      <c r="F31" s="91"/>
      <c r="G31" s="91"/>
      <c r="H31" s="91"/>
      <c r="I31" s="91"/>
      <c r="J31" s="261" t="s">
        <v>90</v>
      </c>
      <c r="K31" s="261" t="s">
        <v>86</v>
      </c>
      <c r="L31" s="91"/>
      <c r="M31" s="263"/>
    </row>
    <row r="32" spans="1:25" x14ac:dyDescent="0.3">
      <c r="A32" s="91" t="s">
        <v>539</v>
      </c>
      <c r="B32" s="91"/>
      <c r="C32" s="91"/>
      <c r="D32" s="91">
        <v>3</v>
      </c>
      <c r="E32" s="91"/>
      <c r="F32" s="91"/>
      <c r="G32" s="91"/>
      <c r="H32" s="91"/>
      <c r="I32" s="91"/>
      <c r="J32" s="261" t="s">
        <v>90</v>
      </c>
      <c r="K32" s="261" t="s">
        <v>86</v>
      </c>
      <c r="L32" s="91"/>
      <c r="M32" s="263"/>
    </row>
    <row r="33" spans="1:13" x14ac:dyDescent="0.3">
      <c r="A33" s="91" t="s">
        <v>540</v>
      </c>
      <c r="B33" s="91"/>
      <c r="C33" s="91"/>
      <c r="D33" s="91">
        <v>3</v>
      </c>
      <c r="E33" s="91"/>
      <c r="F33" s="91"/>
      <c r="G33" s="91"/>
      <c r="H33" s="91"/>
      <c r="I33" s="91"/>
      <c r="J33" s="261" t="s">
        <v>90</v>
      </c>
      <c r="K33" s="261" t="s">
        <v>86</v>
      </c>
      <c r="L33" s="91"/>
      <c r="M33" s="263"/>
    </row>
    <row r="34" spans="1:13" x14ac:dyDescent="0.3">
      <c r="A34" s="91" t="s">
        <v>541</v>
      </c>
      <c r="B34" s="91"/>
      <c r="C34" s="91"/>
      <c r="D34" s="91">
        <v>4</v>
      </c>
      <c r="E34" s="91"/>
      <c r="F34" s="91"/>
      <c r="G34" s="91"/>
      <c r="H34" s="91"/>
      <c r="I34" s="91"/>
      <c r="J34" s="261" t="s">
        <v>90</v>
      </c>
      <c r="K34" s="261" t="s">
        <v>86</v>
      </c>
      <c r="L34" s="91"/>
      <c r="M34" s="263"/>
    </row>
    <row r="35" spans="1:13" x14ac:dyDescent="0.3">
      <c r="A35" s="91" t="s">
        <v>542</v>
      </c>
      <c r="B35" s="91"/>
      <c r="C35" s="91"/>
      <c r="D35" s="91">
        <v>4</v>
      </c>
      <c r="E35" s="91"/>
      <c r="F35" s="91"/>
      <c r="G35" s="91"/>
      <c r="H35" s="91"/>
      <c r="I35" s="91"/>
      <c r="J35" s="261" t="s">
        <v>90</v>
      </c>
      <c r="K35" s="261" t="s">
        <v>86</v>
      </c>
      <c r="L35" s="91"/>
      <c r="M35" s="263"/>
    </row>
    <row r="36" spans="1:13" x14ac:dyDescent="0.3">
      <c r="A36" s="91" t="s">
        <v>543</v>
      </c>
      <c r="B36" s="91"/>
      <c r="C36" s="91"/>
      <c r="D36" s="91">
        <v>4</v>
      </c>
      <c r="E36" s="91"/>
      <c r="F36" s="91"/>
      <c r="G36" s="91"/>
      <c r="H36" s="91"/>
      <c r="I36" s="91"/>
      <c r="J36" s="261" t="s">
        <v>90</v>
      </c>
      <c r="K36" s="261" t="s">
        <v>86</v>
      </c>
      <c r="L36" s="91"/>
      <c r="M36" s="263"/>
    </row>
    <row r="37" spans="1:13" x14ac:dyDescent="0.3">
      <c r="A37" s="91" t="s">
        <v>544</v>
      </c>
      <c r="B37" s="91"/>
      <c r="C37" s="91"/>
      <c r="D37" s="91">
        <v>5</v>
      </c>
      <c r="E37" s="91"/>
      <c r="F37" s="91"/>
      <c r="G37" s="91"/>
      <c r="H37" s="91"/>
      <c r="I37" s="91"/>
      <c r="J37" s="261" t="s">
        <v>91</v>
      </c>
      <c r="K37" s="261" t="s">
        <v>86</v>
      </c>
      <c r="L37" s="91"/>
      <c r="M37" s="263"/>
    </row>
    <row r="38" spans="1:13" x14ac:dyDescent="0.3">
      <c r="A38" s="91" t="s">
        <v>545</v>
      </c>
      <c r="B38" s="91"/>
      <c r="C38" s="91"/>
      <c r="D38" s="91">
        <v>5</v>
      </c>
      <c r="E38" s="91"/>
      <c r="F38" s="91"/>
      <c r="G38" s="91"/>
      <c r="H38" s="91"/>
      <c r="I38" s="91"/>
      <c r="J38" s="261" t="s">
        <v>91</v>
      </c>
      <c r="K38" s="261" t="s">
        <v>86</v>
      </c>
      <c r="L38" s="91"/>
      <c r="M38" s="263"/>
    </row>
    <row r="39" spans="1:13" x14ac:dyDescent="0.3">
      <c r="A39" s="91" t="s">
        <v>546</v>
      </c>
      <c r="B39" s="91"/>
      <c r="C39" s="91"/>
      <c r="D39" s="91">
        <v>5</v>
      </c>
      <c r="E39" s="91"/>
      <c r="F39" s="91"/>
      <c r="G39" s="91"/>
      <c r="H39" s="91"/>
      <c r="I39" s="91"/>
      <c r="J39" s="261" t="s">
        <v>91</v>
      </c>
      <c r="K39" s="261" t="s">
        <v>86</v>
      </c>
      <c r="L39" s="91"/>
      <c r="M39" s="263"/>
    </row>
    <row r="40" spans="1:13" ht="15" customHeight="1" x14ac:dyDescent="0.3">
      <c r="A40" s="91" t="s">
        <v>547</v>
      </c>
      <c r="B40" s="105"/>
      <c r="C40" s="105"/>
      <c r="D40" s="91">
        <v>1</v>
      </c>
      <c r="E40" s="105"/>
      <c r="F40" s="105"/>
      <c r="G40" s="105"/>
      <c r="H40" s="105"/>
      <c r="I40" s="105"/>
      <c r="J40" s="261" t="s">
        <v>88</v>
      </c>
      <c r="K40" s="261" t="s">
        <v>86</v>
      </c>
      <c r="L40" s="91"/>
      <c r="M40" s="266"/>
    </row>
    <row r="41" spans="1:13" x14ac:dyDescent="0.3">
      <c r="A41" s="91" t="s">
        <v>548</v>
      </c>
      <c r="B41" s="105"/>
      <c r="C41" s="105"/>
      <c r="D41" s="91">
        <v>1</v>
      </c>
      <c r="E41" s="105"/>
      <c r="F41" s="105"/>
      <c r="G41" s="105"/>
      <c r="H41" s="105"/>
      <c r="I41" s="105"/>
      <c r="J41" s="261" t="s">
        <v>88</v>
      </c>
      <c r="K41" s="261" t="s">
        <v>86</v>
      </c>
      <c r="L41" s="91"/>
      <c r="M41" s="266"/>
    </row>
    <row r="42" spans="1:13" x14ac:dyDescent="0.3">
      <c r="A42" s="91" t="s">
        <v>549</v>
      </c>
      <c r="B42" s="105"/>
      <c r="C42" s="105"/>
      <c r="D42" s="91">
        <v>1</v>
      </c>
      <c r="E42" s="105"/>
      <c r="F42" s="105"/>
      <c r="G42" s="105"/>
      <c r="H42" s="105"/>
      <c r="I42" s="105"/>
      <c r="J42" s="261" t="s">
        <v>88</v>
      </c>
      <c r="K42" s="261" t="s">
        <v>86</v>
      </c>
      <c r="L42" s="105"/>
      <c r="M42" s="267"/>
    </row>
    <row r="43" spans="1:13" x14ac:dyDescent="0.3">
      <c r="A43" s="91" t="s">
        <v>550</v>
      </c>
      <c r="B43" s="105"/>
      <c r="C43" s="105"/>
      <c r="D43" s="91">
        <v>2</v>
      </c>
      <c r="E43" s="105"/>
      <c r="F43" s="105"/>
      <c r="G43" s="105"/>
      <c r="H43" s="105"/>
      <c r="I43" s="105"/>
      <c r="J43" s="261" t="s">
        <v>90</v>
      </c>
      <c r="K43" s="261" t="s">
        <v>86</v>
      </c>
      <c r="L43" s="105"/>
      <c r="M43" s="267"/>
    </row>
    <row r="44" spans="1:13" x14ac:dyDescent="0.3">
      <c r="A44" s="91" t="s">
        <v>551</v>
      </c>
      <c r="B44" s="105"/>
      <c r="C44" s="105"/>
      <c r="D44" s="91">
        <v>2</v>
      </c>
      <c r="E44" s="105"/>
      <c r="F44" s="105"/>
      <c r="G44" s="105"/>
      <c r="H44" s="105"/>
      <c r="I44" s="105"/>
      <c r="J44" s="261" t="s">
        <v>90</v>
      </c>
      <c r="K44" s="261" t="s">
        <v>86</v>
      </c>
      <c r="L44" s="105"/>
      <c r="M44" s="267"/>
    </row>
    <row r="45" spans="1:13" x14ac:dyDescent="0.3">
      <c r="A45" s="91" t="s">
        <v>552</v>
      </c>
      <c r="B45" s="105"/>
      <c r="C45" s="105"/>
      <c r="D45" s="91">
        <v>2</v>
      </c>
      <c r="E45" s="105"/>
      <c r="F45" s="105"/>
      <c r="G45" s="105"/>
      <c r="H45" s="105"/>
      <c r="I45" s="105"/>
      <c r="J45" s="261" t="s">
        <v>90</v>
      </c>
      <c r="K45" s="261" t="s">
        <v>86</v>
      </c>
      <c r="L45" s="105"/>
      <c r="M45" s="267"/>
    </row>
    <row r="46" spans="1:13" x14ac:dyDescent="0.3">
      <c r="A46" s="91" t="s">
        <v>553</v>
      </c>
      <c r="B46" s="105"/>
      <c r="C46" s="105"/>
      <c r="D46" s="91">
        <v>3</v>
      </c>
      <c r="E46" s="105"/>
      <c r="F46" s="105"/>
      <c r="G46" s="105"/>
      <c r="H46" s="105"/>
      <c r="I46" s="105"/>
      <c r="J46" s="261" t="s">
        <v>90</v>
      </c>
      <c r="K46" s="261" t="s">
        <v>86</v>
      </c>
      <c r="L46" s="105"/>
      <c r="M46" s="267"/>
    </row>
    <row r="47" spans="1:13" x14ac:dyDescent="0.3">
      <c r="A47" s="91" t="s">
        <v>554</v>
      </c>
      <c r="B47" s="105"/>
      <c r="C47" s="105"/>
      <c r="D47" s="91">
        <v>3</v>
      </c>
      <c r="E47" s="105"/>
      <c r="F47" s="105"/>
      <c r="G47" s="105"/>
      <c r="H47" s="105"/>
      <c r="I47" s="105"/>
      <c r="J47" s="261" t="s">
        <v>90</v>
      </c>
      <c r="K47" s="261" t="s">
        <v>86</v>
      </c>
      <c r="L47" s="105"/>
      <c r="M47" s="267"/>
    </row>
    <row r="48" spans="1:13" x14ac:dyDescent="0.3">
      <c r="A48" s="91" t="s">
        <v>555</v>
      </c>
      <c r="B48" s="105"/>
      <c r="C48" s="105"/>
      <c r="D48" s="91">
        <v>3</v>
      </c>
      <c r="E48" s="105"/>
      <c r="F48" s="105"/>
      <c r="G48" s="105"/>
      <c r="H48" s="105"/>
      <c r="I48" s="105"/>
      <c r="J48" s="261" t="s">
        <v>90</v>
      </c>
      <c r="K48" s="261" t="s">
        <v>86</v>
      </c>
      <c r="L48" s="105"/>
      <c r="M48" s="267"/>
    </row>
    <row r="49" spans="1:13" x14ac:dyDescent="0.3">
      <c r="A49" s="91" t="s">
        <v>556</v>
      </c>
      <c r="B49" s="105"/>
      <c r="C49" s="105"/>
      <c r="D49" s="91">
        <v>4</v>
      </c>
      <c r="E49" s="105"/>
      <c r="F49" s="105"/>
      <c r="G49" s="105"/>
      <c r="H49" s="105"/>
      <c r="I49" s="105"/>
      <c r="J49" s="261" t="s">
        <v>90</v>
      </c>
      <c r="K49" s="261" t="s">
        <v>86</v>
      </c>
      <c r="L49" s="105"/>
      <c r="M49" s="267"/>
    </row>
    <row r="50" spans="1:13" x14ac:dyDescent="0.3">
      <c r="A50" s="91" t="s">
        <v>557</v>
      </c>
      <c r="B50" s="105"/>
      <c r="C50" s="105"/>
      <c r="D50" s="91">
        <v>4</v>
      </c>
      <c r="E50" s="105"/>
      <c r="F50" s="105"/>
      <c r="G50" s="105"/>
      <c r="H50" s="105"/>
      <c r="I50" s="105"/>
      <c r="J50" s="261" t="s">
        <v>90</v>
      </c>
      <c r="K50" s="261" t="s">
        <v>86</v>
      </c>
      <c r="L50" s="105"/>
      <c r="M50" s="267"/>
    </row>
    <row r="51" spans="1:13" x14ac:dyDescent="0.3">
      <c r="A51" s="91" t="s">
        <v>558</v>
      </c>
      <c r="B51" s="105"/>
      <c r="C51" s="105"/>
      <c r="D51" s="91">
        <v>5</v>
      </c>
      <c r="E51" s="105"/>
      <c r="F51" s="105"/>
      <c r="G51" s="105"/>
      <c r="H51" s="105"/>
      <c r="I51" s="105"/>
      <c r="J51" s="261" t="s">
        <v>91</v>
      </c>
      <c r="K51" s="261" t="s">
        <v>86</v>
      </c>
      <c r="L51" s="105"/>
      <c r="M51" s="267"/>
    </row>
    <row r="52" spans="1:13" x14ac:dyDescent="0.3">
      <c r="A52" s="91" t="s">
        <v>559</v>
      </c>
      <c r="B52" s="105"/>
      <c r="C52" s="105"/>
      <c r="D52" s="91">
        <v>5</v>
      </c>
      <c r="E52" s="105"/>
      <c r="F52" s="105"/>
      <c r="G52" s="105"/>
      <c r="H52" s="105"/>
      <c r="I52" s="105"/>
      <c r="J52" s="261" t="s">
        <v>91</v>
      </c>
      <c r="K52" s="261" t="s">
        <v>86</v>
      </c>
      <c r="L52" s="105"/>
      <c r="M52" s="267"/>
    </row>
    <row r="53" spans="1:13" x14ac:dyDescent="0.3">
      <c r="A53" s="91" t="s">
        <v>560</v>
      </c>
      <c r="B53" s="105"/>
      <c r="C53" s="105"/>
      <c r="D53" s="91">
        <v>5</v>
      </c>
      <c r="E53" s="105"/>
      <c r="F53" s="105"/>
      <c r="G53" s="105"/>
      <c r="H53" s="105"/>
      <c r="I53" s="105"/>
      <c r="J53" s="261" t="s">
        <v>91</v>
      </c>
      <c r="K53" s="261" t="s">
        <v>86</v>
      </c>
      <c r="L53" s="105"/>
      <c r="M53" s="267"/>
    </row>
    <row r="54" spans="1:13" x14ac:dyDescent="0.3">
      <c r="A54" s="91" t="s">
        <v>464</v>
      </c>
      <c r="B54" s="91">
        <v>3.18</v>
      </c>
      <c r="C54" s="91">
        <v>3</v>
      </c>
      <c r="D54" s="91">
        <v>1</v>
      </c>
      <c r="E54" s="91">
        <v>0.75</v>
      </c>
      <c r="F54" s="91">
        <v>0.27</v>
      </c>
      <c r="G54" s="91">
        <v>2.77</v>
      </c>
      <c r="H54" s="91" t="s">
        <v>465</v>
      </c>
      <c r="I54" s="91">
        <v>2</v>
      </c>
      <c r="J54" s="261" t="s">
        <v>90</v>
      </c>
      <c r="K54" s="261" t="s">
        <v>86</v>
      </c>
      <c r="L54" s="105"/>
    </row>
    <row r="55" spans="1:13" x14ac:dyDescent="0.3">
      <c r="A55" s="91" t="s">
        <v>466</v>
      </c>
      <c r="B55" s="91">
        <v>3.8</v>
      </c>
      <c r="C55" s="91">
        <v>4</v>
      </c>
      <c r="D55" s="91">
        <v>1</v>
      </c>
      <c r="E55" s="91">
        <v>0.71</v>
      </c>
      <c r="F55" s="91">
        <v>0.27</v>
      </c>
      <c r="G55" s="91">
        <v>2.63</v>
      </c>
      <c r="H55" s="91" t="s">
        <v>465</v>
      </c>
      <c r="I55" s="91">
        <v>2</v>
      </c>
      <c r="J55" s="261" t="s">
        <v>90</v>
      </c>
      <c r="K55" s="261" t="s">
        <v>86</v>
      </c>
      <c r="L55" s="105"/>
    </row>
    <row r="56" spans="1:13" x14ac:dyDescent="0.3">
      <c r="A56" s="91" t="s">
        <v>467</v>
      </c>
      <c r="B56" s="91">
        <v>4.62</v>
      </c>
      <c r="C56" s="91">
        <v>6</v>
      </c>
      <c r="D56" s="91">
        <v>1</v>
      </c>
      <c r="E56" s="91">
        <v>0.65</v>
      </c>
      <c r="F56" s="91">
        <v>0.27</v>
      </c>
      <c r="G56" s="91">
        <v>2.4</v>
      </c>
      <c r="H56" s="91" t="s">
        <v>465</v>
      </c>
      <c r="I56" s="91">
        <v>2</v>
      </c>
      <c r="J56" s="261" t="s">
        <v>90</v>
      </c>
      <c r="K56" s="261" t="s">
        <v>86</v>
      </c>
      <c r="L56" s="105"/>
    </row>
    <row r="57" spans="1:13" x14ac:dyDescent="0.3">
      <c r="A57" s="91" t="s">
        <v>468</v>
      </c>
      <c r="B57" s="91">
        <v>6.37</v>
      </c>
      <c r="C57" s="91">
        <v>3</v>
      </c>
      <c r="D57" s="91">
        <v>2</v>
      </c>
      <c r="E57" s="91">
        <v>1.5</v>
      </c>
      <c r="F57" s="91">
        <v>0.53</v>
      </c>
      <c r="G57" s="91">
        <v>2.83</v>
      </c>
      <c r="H57" s="91" t="s">
        <v>469</v>
      </c>
      <c r="I57" s="91">
        <v>3</v>
      </c>
      <c r="J57" s="261" t="s">
        <v>91</v>
      </c>
      <c r="K57" s="261" t="s">
        <v>86</v>
      </c>
      <c r="L57" s="105"/>
    </row>
    <row r="58" spans="1:13" x14ac:dyDescent="0.3">
      <c r="A58" s="91" t="s">
        <v>470</v>
      </c>
      <c r="B58" s="91">
        <v>7.62</v>
      </c>
      <c r="C58" s="91">
        <v>4</v>
      </c>
      <c r="D58" s="91">
        <v>2</v>
      </c>
      <c r="E58" s="91">
        <v>1.42</v>
      </c>
      <c r="F58" s="91">
        <v>0.53</v>
      </c>
      <c r="G58" s="91">
        <v>2.68</v>
      </c>
      <c r="H58" s="91" t="s">
        <v>469</v>
      </c>
      <c r="I58" s="91">
        <v>3</v>
      </c>
      <c r="J58" s="261" t="s">
        <v>91</v>
      </c>
      <c r="K58" s="261" t="s">
        <v>86</v>
      </c>
      <c r="L58" s="105"/>
    </row>
    <row r="59" spans="1:13" x14ac:dyDescent="0.3">
      <c r="A59" s="91" t="s">
        <v>471</v>
      </c>
      <c r="B59" s="91">
        <v>9.25</v>
      </c>
      <c r="C59" s="91">
        <v>6</v>
      </c>
      <c r="D59" s="91">
        <v>2</v>
      </c>
      <c r="E59" s="91">
        <v>1.3</v>
      </c>
      <c r="F59" s="91">
        <v>0.53</v>
      </c>
      <c r="G59" s="91">
        <v>2.4500000000000002</v>
      </c>
      <c r="H59" s="91" t="s">
        <v>469</v>
      </c>
      <c r="I59" s="91">
        <v>4</v>
      </c>
      <c r="J59" s="261" t="s">
        <v>91</v>
      </c>
      <c r="K59" s="261" t="s">
        <v>86</v>
      </c>
      <c r="L59" s="105"/>
    </row>
    <row r="60" spans="1:13" x14ac:dyDescent="0.3">
      <c r="A60" s="91" t="s">
        <v>472</v>
      </c>
      <c r="B60" s="91">
        <v>9.5399999999999991</v>
      </c>
      <c r="C60" s="91">
        <v>3</v>
      </c>
      <c r="D60" s="91">
        <v>3</v>
      </c>
      <c r="E60" s="91">
        <v>2.25</v>
      </c>
      <c r="F60" s="91">
        <v>0.8</v>
      </c>
      <c r="G60" s="91">
        <v>2.81</v>
      </c>
      <c r="H60" s="91" t="s">
        <v>473</v>
      </c>
      <c r="I60" s="91">
        <v>4</v>
      </c>
      <c r="J60" s="261" t="s">
        <v>91</v>
      </c>
      <c r="K60" s="261" t="s">
        <v>88</v>
      </c>
      <c r="L60" s="105"/>
    </row>
    <row r="61" spans="1:13" x14ac:dyDescent="0.3">
      <c r="A61" s="91" t="s">
        <v>474</v>
      </c>
      <c r="B61" s="91">
        <v>11.43</v>
      </c>
      <c r="C61" s="91">
        <v>4</v>
      </c>
      <c r="D61" s="91">
        <v>3</v>
      </c>
      <c r="E61" s="91">
        <v>2.13</v>
      </c>
      <c r="F61" s="91">
        <v>0.8</v>
      </c>
      <c r="G61" s="91">
        <v>2.66</v>
      </c>
      <c r="H61" s="91" t="s">
        <v>473</v>
      </c>
      <c r="I61" s="91">
        <v>4</v>
      </c>
      <c r="J61" s="261" t="s">
        <v>91</v>
      </c>
      <c r="K61" s="261" t="s">
        <v>88</v>
      </c>
      <c r="L61" s="105"/>
    </row>
    <row r="62" spans="1:13" x14ac:dyDescent="0.3">
      <c r="A62" s="91" t="s">
        <v>475</v>
      </c>
      <c r="B62" s="91">
        <v>13.87</v>
      </c>
      <c r="C62" s="91">
        <v>6</v>
      </c>
      <c r="D62" s="91">
        <v>3</v>
      </c>
      <c r="E62" s="91">
        <v>1.95</v>
      </c>
      <c r="F62" s="91">
        <v>0.8</v>
      </c>
      <c r="G62" s="91">
        <v>2.44</v>
      </c>
      <c r="H62" s="91" t="s">
        <v>473</v>
      </c>
      <c r="I62" s="91">
        <v>6</v>
      </c>
      <c r="J62" s="261" t="s">
        <v>92</v>
      </c>
      <c r="K62" s="261" t="s">
        <v>88</v>
      </c>
      <c r="L62" s="105"/>
    </row>
    <row r="63" spans="1:13" x14ac:dyDescent="0.3">
      <c r="A63" s="91" t="s">
        <v>476</v>
      </c>
      <c r="B63" s="261">
        <v>12.75</v>
      </c>
      <c r="C63" s="91">
        <v>3</v>
      </c>
      <c r="D63" s="91">
        <v>4</v>
      </c>
      <c r="E63" s="91">
        <v>3</v>
      </c>
      <c r="F63" s="91">
        <v>1.0669999999999999</v>
      </c>
      <c r="G63" s="91">
        <v>2.81</v>
      </c>
      <c r="H63" s="91" t="s">
        <v>477</v>
      </c>
      <c r="I63" s="91">
        <v>6</v>
      </c>
      <c r="J63" s="261" t="s">
        <v>92</v>
      </c>
      <c r="K63" s="261" t="s">
        <v>88</v>
      </c>
      <c r="L63" s="105"/>
    </row>
    <row r="64" spans="1:13" x14ac:dyDescent="0.3">
      <c r="A64" s="91" t="s">
        <v>478</v>
      </c>
      <c r="B64" s="91">
        <v>15.24</v>
      </c>
      <c r="C64" s="91">
        <v>4</v>
      </c>
      <c r="D64" s="91">
        <v>4</v>
      </c>
      <c r="E64" s="91">
        <v>2.84</v>
      </c>
      <c r="F64" s="91">
        <v>1.0669999999999999</v>
      </c>
      <c r="G64" s="91">
        <v>2.66</v>
      </c>
      <c r="H64" s="91" t="s">
        <v>477</v>
      </c>
      <c r="I64" s="91">
        <v>8</v>
      </c>
      <c r="J64" s="261" t="s">
        <v>92</v>
      </c>
      <c r="K64" s="261" t="s">
        <v>88</v>
      </c>
      <c r="L64" s="105"/>
    </row>
    <row r="65" spans="1:12" x14ac:dyDescent="0.3">
      <c r="A65" s="91" t="s">
        <v>479</v>
      </c>
      <c r="B65" s="91">
        <v>18.5</v>
      </c>
      <c r="C65" s="91">
        <v>6</v>
      </c>
      <c r="D65" s="91">
        <v>4</v>
      </c>
      <c r="E65" s="91">
        <v>2.6</v>
      </c>
      <c r="F65" s="91">
        <v>1.0669999999999999</v>
      </c>
      <c r="G65" s="91">
        <v>2.44</v>
      </c>
      <c r="H65" s="91" t="s">
        <v>477</v>
      </c>
      <c r="I65" s="91">
        <v>8</v>
      </c>
      <c r="J65" s="261" t="s">
        <v>92</v>
      </c>
      <c r="K65" s="261" t="s">
        <v>88</v>
      </c>
      <c r="L65" s="105"/>
    </row>
    <row r="66" spans="1:12" x14ac:dyDescent="0.3">
      <c r="A66" s="91" t="s">
        <v>480</v>
      </c>
      <c r="B66" s="91">
        <v>2.8</v>
      </c>
      <c r="C66" s="91">
        <v>3</v>
      </c>
      <c r="D66" s="91">
        <v>1</v>
      </c>
      <c r="E66" s="91">
        <v>0.75</v>
      </c>
      <c r="F66" s="91">
        <v>0.27</v>
      </c>
      <c r="G66" s="91">
        <v>2.77</v>
      </c>
      <c r="H66" s="91" t="s">
        <v>465</v>
      </c>
      <c r="I66" s="91">
        <v>2</v>
      </c>
      <c r="J66" s="261" t="s">
        <v>90</v>
      </c>
      <c r="K66" s="261" t="s">
        <v>86</v>
      </c>
      <c r="L66" s="91" t="s">
        <v>481</v>
      </c>
    </row>
    <row r="67" spans="1:12" x14ac:dyDescent="0.3">
      <c r="A67" s="91" t="s">
        <v>482</v>
      </c>
      <c r="B67" s="91">
        <v>3.34</v>
      </c>
      <c r="C67" s="91">
        <v>4</v>
      </c>
      <c r="D67" s="91">
        <v>1</v>
      </c>
      <c r="E67" s="91">
        <v>0.71</v>
      </c>
      <c r="F67" s="91">
        <v>0.27</v>
      </c>
      <c r="G67" s="91">
        <v>2.63</v>
      </c>
      <c r="H67" s="91" t="s">
        <v>465</v>
      </c>
      <c r="I67" s="91">
        <v>2</v>
      </c>
      <c r="J67" s="261" t="s">
        <v>90</v>
      </c>
      <c r="K67" s="261" t="s">
        <v>86</v>
      </c>
      <c r="L67" s="91" t="s">
        <v>483</v>
      </c>
    </row>
    <row r="68" spans="1:12" x14ac:dyDescent="0.3">
      <c r="A68" s="91" t="s">
        <v>484</v>
      </c>
      <c r="B68" s="91">
        <v>4.07</v>
      </c>
      <c r="C68" s="91">
        <v>6</v>
      </c>
      <c r="D68" s="91">
        <v>1</v>
      </c>
      <c r="E68" s="91">
        <v>0.65</v>
      </c>
      <c r="F68" s="91">
        <v>0.27</v>
      </c>
      <c r="G68" s="91">
        <v>2.4</v>
      </c>
      <c r="H68" s="91" t="s">
        <v>465</v>
      </c>
      <c r="I68" s="91">
        <v>3</v>
      </c>
      <c r="J68" s="261" t="s">
        <v>90</v>
      </c>
      <c r="K68" s="261" t="s">
        <v>86</v>
      </c>
      <c r="L68" s="91" t="s">
        <v>485</v>
      </c>
    </row>
    <row r="69" spans="1:12" x14ac:dyDescent="0.3">
      <c r="A69" s="91" t="s">
        <v>486</v>
      </c>
      <c r="B69" s="91">
        <v>5.6</v>
      </c>
      <c r="C69" s="91">
        <v>3</v>
      </c>
      <c r="D69" s="91">
        <v>2</v>
      </c>
      <c r="E69" s="91">
        <v>1.5</v>
      </c>
      <c r="F69" s="91">
        <v>0.53</v>
      </c>
      <c r="G69" s="91">
        <v>2.83</v>
      </c>
      <c r="H69" s="91" t="s">
        <v>469</v>
      </c>
      <c r="I69" s="91">
        <v>3</v>
      </c>
      <c r="J69" s="261" t="s">
        <v>91</v>
      </c>
      <c r="K69" s="261" t="s">
        <v>86</v>
      </c>
      <c r="L69" s="91" t="s">
        <v>487</v>
      </c>
    </row>
    <row r="70" spans="1:12" x14ac:dyDescent="0.3">
      <c r="A70" s="91" t="s">
        <v>488</v>
      </c>
      <c r="B70" s="91">
        <v>6.7</v>
      </c>
      <c r="C70" s="91">
        <v>4</v>
      </c>
      <c r="D70" s="91">
        <v>2</v>
      </c>
      <c r="E70" s="91">
        <v>1.42</v>
      </c>
      <c r="F70" s="91">
        <v>0.53</v>
      </c>
      <c r="G70" s="91">
        <v>2.68</v>
      </c>
      <c r="H70" s="91" t="s">
        <v>469</v>
      </c>
      <c r="I70" s="91">
        <v>3</v>
      </c>
      <c r="J70" s="261" t="s">
        <v>91</v>
      </c>
      <c r="K70" s="261" t="s">
        <v>86</v>
      </c>
      <c r="L70" s="91" t="s">
        <v>489</v>
      </c>
    </row>
    <row r="71" spans="1:12" x14ac:dyDescent="0.3">
      <c r="A71" s="91" t="s">
        <v>490</v>
      </c>
      <c r="B71" s="91">
        <v>8.14</v>
      </c>
      <c r="C71" s="91">
        <v>6</v>
      </c>
      <c r="D71" s="91">
        <v>2</v>
      </c>
      <c r="E71" s="91">
        <v>1.3</v>
      </c>
      <c r="F71" s="91">
        <v>0.53</v>
      </c>
      <c r="G71" s="91">
        <v>2.4500000000000002</v>
      </c>
      <c r="H71" s="91" t="s">
        <v>469</v>
      </c>
      <c r="I71" s="91">
        <v>4</v>
      </c>
      <c r="J71" s="261" t="s">
        <v>91</v>
      </c>
      <c r="K71" s="261" t="s">
        <v>86</v>
      </c>
      <c r="L71" s="91" t="s">
        <v>491</v>
      </c>
    </row>
    <row r="72" spans="1:12" x14ac:dyDescent="0.3">
      <c r="A72" s="91" t="s">
        <v>492</v>
      </c>
      <c r="B72" s="91">
        <v>8.4</v>
      </c>
      <c r="C72" s="91">
        <v>3</v>
      </c>
      <c r="D72" s="91">
        <v>3</v>
      </c>
      <c r="E72" s="91">
        <v>2.25</v>
      </c>
      <c r="F72" s="91">
        <v>0.8</v>
      </c>
      <c r="G72" s="91">
        <v>2.81</v>
      </c>
      <c r="H72" s="91" t="s">
        <v>473</v>
      </c>
      <c r="I72" s="91">
        <v>4</v>
      </c>
      <c r="J72" s="261" t="s">
        <v>91</v>
      </c>
      <c r="K72" s="261" t="s">
        <v>88</v>
      </c>
      <c r="L72" s="91" t="s">
        <v>493</v>
      </c>
    </row>
    <row r="73" spans="1:12" x14ac:dyDescent="0.3">
      <c r="A73" s="91" t="s">
        <v>494</v>
      </c>
      <c r="B73" s="91">
        <v>10.06</v>
      </c>
      <c r="C73" s="91">
        <v>4</v>
      </c>
      <c r="D73" s="91">
        <v>3</v>
      </c>
      <c r="E73" s="91">
        <v>2.13</v>
      </c>
      <c r="F73" s="91">
        <v>0.8</v>
      </c>
      <c r="G73" s="91">
        <v>2.66</v>
      </c>
      <c r="H73" s="91" t="s">
        <v>473</v>
      </c>
      <c r="I73" s="91">
        <v>4</v>
      </c>
      <c r="J73" s="261" t="s">
        <v>91</v>
      </c>
      <c r="K73" s="261" t="s">
        <v>88</v>
      </c>
      <c r="L73" s="91" t="s">
        <v>495</v>
      </c>
    </row>
    <row r="74" spans="1:12" x14ac:dyDescent="0.3">
      <c r="A74" s="91" t="s">
        <v>496</v>
      </c>
      <c r="B74" s="91">
        <v>12.2</v>
      </c>
      <c r="C74" s="91">
        <v>6</v>
      </c>
      <c r="D74" s="91">
        <v>3</v>
      </c>
      <c r="E74" s="91">
        <v>1.95</v>
      </c>
      <c r="F74" s="91">
        <v>0.8</v>
      </c>
      <c r="G74" s="91">
        <v>2.44</v>
      </c>
      <c r="H74" s="91" t="s">
        <v>473</v>
      </c>
      <c r="I74" s="91">
        <v>6</v>
      </c>
      <c r="J74" s="261" t="s">
        <v>92</v>
      </c>
      <c r="K74" s="261" t="s">
        <v>88</v>
      </c>
      <c r="L74" s="91" t="s">
        <v>497</v>
      </c>
    </row>
    <row r="75" spans="1:12" x14ac:dyDescent="0.3">
      <c r="A75" s="91" t="s">
        <v>498</v>
      </c>
      <c r="B75" s="91">
        <v>11.2</v>
      </c>
      <c r="C75" s="91">
        <v>3</v>
      </c>
      <c r="D75" s="91">
        <v>4</v>
      </c>
      <c r="E75" s="91">
        <v>3</v>
      </c>
      <c r="F75" s="91">
        <v>1.0669999999999999</v>
      </c>
      <c r="G75" s="91">
        <v>2.81</v>
      </c>
      <c r="H75" s="91" t="s">
        <v>477</v>
      </c>
      <c r="I75" s="91">
        <v>6</v>
      </c>
      <c r="J75" s="261" t="s">
        <v>92</v>
      </c>
      <c r="K75" s="261" t="s">
        <v>88</v>
      </c>
      <c r="L75" s="91" t="s">
        <v>499</v>
      </c>
    </row>
    <row r="76" spans="1:12" x14ac:dyDescent="0.3">
      <c r="A76" s="91" t="s">
        <v>500</v>
      </c>
      <c r="B76" s="91">
        <v>13.4</v>
      </c>
      <c r="C76" s="91">
        <v>4</v>
      </c>
      <c r="D76" s="91">
        <v>4</v>
      </c>
      <c r="E76" s="91">
        <v>2.84</v>
      </c>
      <c r="F76" s="91">
        <v>1.0669999999999999</v>
      </c>
      <c r="G76" s="91">
        <v>2.66</v>
      </c>
      <c r="H76" s="91" t="s">
        <v>477</v>
      </c>
      <c r="I76" s="91">
        <v>6</v>
      </c>
      <c r="J76" s="261" t="s">
        <v>92</v>
      </c>
      <c r="K76" s="261" t="s">
        <v>88</v>
      </c>
      <c r="L76" s="91" t="s">
        <v>501</v>
      </c>
    </row>
    <row r="77" spans="1:12" x14ac:dyDescent="0.3">
      <c r="A77" s="91" t="s">
        <v>502</v>
      </c>
      <c r="B77" s="91">
        <v>16.28</v>
      </c>
      <c r="C77" s="91">
        <v>6</v>
      </c>
      <c r="D77" s="91">
        <v>4</v>
      </c>
      <c r="E77" s="91">
        <v>2.6</v>
      </c>
      <c r="F77" s="91">
        <v>1.0669999999999999</v>
      </c>
      <c r="G77" s="91">
        <v>2.44</v>
      </c>
      <c r="H77" s="91" t="s">
        <v>477</v>
      </c>
      <c r="I77" s="91">
        <v>8</v>
      </c>
      <c r="J77" s="261" t="s">
        <v>92</v>
      </c>
      <c r="K77" s="261" t="s">
        <v>88</v>
      </c>
      <c r="L77" s="91" t="s">
        <v>503</v>
      </c>
    </row>
    <row r="78" spans="1:12" x14ac:dyDescent="0.3">
      <c r="A78" s="91" t="s">
        <v>561</v>
      </c>
      <c r="B78" s="91">
        <v>2.2000000000000002</v>
      </c>
      <c r="C78" s="91">
        <v>3</v>
      </c>
      <c r="D78" s="91">
        <v>1</v>
      </c>
      <c r="E78" s="91">
        <v>0.78</v>
      </c>
      <c r="F78" s="91">
        <v>0.28000000000000003</v>
      </c>
      <c r="G78" s="260">
        <f>E78/F78</f>
        <v>2.7857142857142856</v>
      </c>
      <c r="H78" s="91" t="s">
        <v>504</v>
      </c>
      <c r="I78" s="91">
        <v>1</v>
      </c>
      <c r="J78" s="261" t="s">
        <v>90</v>
      </c>
      <c r="K78" s="261" t="s">
        <v>86</v>
      </c>
      <c r="L78" s="91" t="s">
        <v>481</v>
      </c>
    </row>
    <row r="79" spans="1:12" x14ac:dyDescent="0.3">
      <c r="A79" s="91" t="s">
        <v>562</v>
      </c>
      <c r="B79" s="91">
        <v>2.7</v>
      </c>
      <c r="C79" s="91">
        <v>4</v>
      </c>
      <c r="D79" s="91">
        <v>1</v>
      </c>
      <c r="E79" s="91">
        <v>0.75</v>
      </c>
      <c r="F79" s="91">
        <v>0.28000000000000003</v>
      </c>
      <c r="G79" s="260">
        <f t="shared" ref="G79:G89" si="0">E79/F79</f>
        <v>2.6785714285714284</v>
      </c>
      <c r="H79" s="91" t="s">
        <v>504</v>
      </c>
      <c r="I79" s="91">
        <v>2</v>
      </c>
      <c r="J79" s="261" t="s">
        <v>90</v>
      </c>
      <c r="K79" s="261" t="s">
        <v>86</v>
      </c>
      <c r="L79" s="91" t="s">
        <v>483</v>
      </c>
    </row>
    <row r="80" spans="1:12" x14ac:dyDescent="0.3">
      <c r="A80" s="91" t="s">
        <v>563</v>
      </c>
      <c r="B80" s="91">
        <v>3.5</v>
      </c>
      <c r="C80" s="91">
        <v>6</v>
      </c>
      <c r="D80" s="91">
        <v>1</v>
      </c>
      <c r="E80" s="91">
        <v>0.7</v>
      </c>
      <c r="F80" s="91">
        <v>0.28000000000000003</v>
      </c>
      <c r="G80" s="260">
        <f t="shared" si="0"/>
        <v>2.4999999999999996</v>
      </c>
      <c r="H80" s="91" t="s">
        <v>504</v>
      </c>
      <c r="I80" s="91">
        <v>2</v>
      </c>
      <c r="J80" s="261" t="s">
        <v>90</v>
      </c>
      <c r="K80" s="261" t="s">
        <v>86</v>
      </c>
      <c r="L80" s="91" t="s">
        <v>485</v>
      </c>
    </row>
    <row r="81" spans="1:12" x14ac:dyDescent="0.3">
      <c r="A81" s="91" t="s">
        <v>564</v>
      </c>
      <c r="B81" s="91">
        <v>4.4000000000000004</v>
      </c>
      <c r="C81" s="91">
        <v>3</v>
      </c>
      <c r="D81" s="91">
        <v>2</v>
      </c>
      <c r="E81" s="91">
        <v>1.56</v>
      </c>
      <c r="F81" s="91">
        <v>0.56000000000000005</v>
      </c>
      <c r="G81" s="260">
        <f t="shared" si="0"/>
        <v>2.7857142857142856</v>
      </c>
      <c r="H81" s="91" t="s">
        <v>505</v>
      </c>
      <c r="I81" s="91">
        <v>3</v>
      </c>
      <c r="J81" s="261" t="s">
        <v>91</v>
      </c>
      <c r="K81" s="261" t="s">
        <v>86</v>
      </c>
      <c r="L81" s="91" t="s">
        <v>487</v>
      </c>
    </row>
    <row r="82" spans="1:12" x14ac:dyDescent="0.3">
      <c r="A82" s="91" t="s">
        <v>565</v>
      </c>
      <c r="B82" s="91">
        <v>5.4</v>
      </c>
      <c r="C82" s="91">
        <v>4</v>
      </c>
      <c r="D82" s="91">
        <v>2</v>
      </c>
      <c r="E82" s="91">
        <v>1.5</v>
      </c>
      <c r="F82" s="91">
        <v>0.56000000000000005</v>
      </c>
      <c r="G82" s="260">
        <f t="shared" si="0"/>
        <v>2.6785714285714284</v>
      </c>
      <c r="H82" s="91" t="s">
        <v>505</v>
      </c>
      <c r="I82" s="91">
        <v>3</v>
      </c>
      <c r="J82" s="261" t="s">
        <v>91</v>
      </c>
      <c r="K82" s="261" t="s">
        <v>86</v>
      </c>
      <c r="L82" s="91" t="s">
        <v>489</v>
      </c>
    </row>
    <row r="83" spans="1:12" x14ac:dyDescent="0.3">
      <c r="A83" s="91" t="s">
        <v>566</v>
      </c>
      <c r="B83" s="91">
        <v>7</v>
      </c>
      <c r="C83" s="91">
        <v>6</v>
      </c>
      <c r="D83" s="91">
        <v>2</v>
      </c>
      <c r="E83" s="91">
        <v>1.4</v>
      </c>
      <c r="F83" s="91">
        <v>0.56000000000000005</v>
      </c>
      <c r="G83" s="260">
        <f t="shared" si="0"/>
        <v>2.4999999999999996</v>
      </c>
      <c r="H83" s="91" t="s">
        <v>505</v>
      </c>
      <c r="I83" s="91">
        <v>4</v>
      </c>
      <c r="J83" s="261" t="s">
        <v>91</v>
      </c>
      <c r="K83" s="261" t="s">
        <v>86</v>
      </c>
      <c r="L83" s="91" t="s">
        <v>491</v>
      </c>
    </row>
    <row r="84" spans="1:12" x14ac:dyDescent="0.3">
      <c r="A84" s="91" t="s">
        <v>567</v>
      </c>
      <c r="B84" s="91">
        <v>6.6</v>
      </c>
      <c r="C84" s="91">
        <v>3</v>
      </c>
      <c r="D84" s="91">
        <v>3</v>
      </c>
      <c r="E84" s="91">
        <v>2.34</v>
      </c>
      <c r="F84" s="91">
        <v>0.84</v>
      </c>
      <c r="G84" s="260">
        <f t="shared" si="0"/>
        <v>2.7857142857142856</v>
      </c>
      <c r="H84" s="91" t="s">
        <v>506</v>
      </c>
      <c r="I84" s="91">
        <v>4</v>
      </c>
      <c r="J84" s="261" t="s">
        <v>91</v>
      </c>
      <c r="K84" s="261" t="s">
        <v>88</v>
      </c>
      <c r="L84" s="91" t="s">
        <v>493</v>
      </c>
    </row>
    <row r="85" spans="1:12" x14ac:dyDescent="0.3">
      <c r="A85" s="91" t="s">
        <v>568</v>
      </c>
      <c r="B85" s="91">
        <v>8.1</v>
      </c>
      <c r="C85" s="91">
        <v>4</v>
      </c>
      <c r="D85" s="91">
        <v>3</v>
      </c>
      <c r="E85" s="91">
        <v>2.25</v>
      </c>
      <c r="F85" s="91">
        <v>0.84</v>
      </c>
      <c r="G85" s="260">
        <f t="shared" si="0"/>
        <v>2.6785714285714288</v>
      </c>
      <c r="H85" s="91" t="s">
        <v>506</v>
      </c>
      <c r="I85" s="91">
        <v>4</v>
      </c>
      <c r="J85" s="261" t="s">
        <v>91</v>
      </c>
      <c r="K85" s="261" t="s">
        <v>88</v>
      </c>
      <c r="L85" s="91" t="s">
        <v>495</v>
      </c>
    </row>
    <row r="86" spans="1:12" x14ac:dyDescent="0.3">
      <c r="A86" s="91" t="s">
        <v>569</v>
      </c>
      <c r="B86" s="91">
        <v>10.5</v>
      </c>
      <c r="C86" s="91">
        <v>6</v>
      </c>
      <c r="D86" s="91">
        <v>3</v>
      </c>
      <c r="E86" s="91">
        <v>2.1</v>
      </c>
      <c r="F86" s="91">
        <v>0.84</v>
      </c>
      <c r="G86" s="260">
        <f t="shared" si="0"/>
        <v>2.5</v>
      </c>
      <c r="H86" s="91" t="s">
        <v>506</v>
      </c>
      <c r="I86" s="91">
        <v>6</v>
      </c>
      <c r="J86" s="261" t="s">
        <v>92</v>
      </c>
      <c r="K86" s="261" t="s">
        <v>88</v>
      </c>
      <c r="L86" s="91" t="s">
        <v>497</v>
      </c>
    </row>
    <row r="87" spans="1:12" x14ac:dyDescent="0.3">
      <c r="A87" s="91" t="s">
        <v>570</v>
      </c>
      <c r="B87" s="91">
        <v>8.8000000000000007</v>
      </c>
      <c r="C87" s="91">
        <v>3</v>
      </c>
      <c r="D87" s="91">
        <v>4</v>
      </c>
      <c r="E87" s="91">
        <v>3.12</v>
      </c>
      <c r="F87" s="91">
        <v>1.1200000000000001</v>
      </c>
      <c r="G87" s="260">
        <f t="shared" si="0"/>
        <v>2.7857142857142856</v>
      </c>
      <c r="H87" s="91" t="s">
        <v>507</v>
      </c>
      <c r="I87" s="91">
        <v>6</v>
      </c>
      <c r="J87" s="261" t="s">
        <v>92</v>
      </c>
      <c r="K87" s="261" t="s">
        <v>88</v>
      </c>
      <c r="L87" s="91" t="s">
        <v>499</v>
      </c>
    </row>
    <row r="88" spans="1:12" x14ac:dyDescent="0.3">
      <c r="A88" s="91" t="s">
        <v>571</v>
      </c>
      <c r="B88" s="91">
        <v>10.8</v>
      </c>
      <c r="C88" s="91">
        <v>4</v>
      </c>
      <c r="D88" s="91">
        <v>4</v>
      </c>
      <c r="E88" s="91">
        <v>3</v>
      </c>
      <c r="F88" s="91">
        <v>1.1200000000000001</v>
      </c>
      <c r="G88" s="260">
        <f t="shared" si="0"/>
        <v>2.6785714285714284</v>
      </c>
      <c r="H88" s="91" t="s">
        <v>507</v>
      </c>
      <c r="I88" s="91">
        <v>8</v>
      </c>
      <c r="J88" s="261" t="s">
        <v>92</v>
      </c>
      <c r="K88" s="261" t="s">
        <v>88</v>
      </c>
      <c r="L88" s="91" t="s">
        <v>501</v>
      </c>
    </row>
    <row r="89" spans="1:12" x14ac:dyDescent="0.3">
      <c r="A89" s="91" t="s">
        <v>572</v>
      </c>
      <c r="B89" s="91">
        <v>14</v>
      </c>
      <c r="C89" s="91">
        <v>6</v>
      </c>
      <c r="D89" s="91">
        <v>4</v>
      </c>
      <c r="E89" s="91">
        <v>2.8</v>
      </c>
      <c r="F89" s="91">
        <v>1.1200000000000001</v>
      </c>
      <c r="G89" s="260">
        <f t="shared" si="0"/>
        <v>2.4999999999999996</v>
      </c>
      <c r="H89" s="91" t="s">
        <v>507</v>
      </c>
      <c r="I89" s="91">
        <v>8</v>
      </c>
      <c r="J89" s="261" t="s">
        <v>92</v>
      </c>
      <c r="K89" s="261" t="s">
        <v>88</v>
      </c>
      <c r="L89" s="91" t="s">
        <v>503</v>
      </c>
    </row>
    <row r="90" spans="1:12" x14ac:dyDescent="0.3">
      <c r="A90" s="91" t="s">
        <v>561</v>
      </c>
      <c r="B90" s="91">
        <v>2.2000000000000002</v>
      </c>
      <c r="C90" s="91">
        <v>3</v>
      </c>
      <c r="D90" s="91">
        <v>1</v>
      </c>
      <c r="E90" s="91">
        <v>0.78</v>
      </c>
      <c r="F90" s="91">
        <v>0.28000000000000003</v>
      </c>
      <c r="G90" s="260">
        <f>E90/F90</f>
        <v>2.7857142857142856</v>
      </c>
      <c r="H90" s="91" t="s">
        <v>504</v>
      </c>
      <c r="I90" s="91">
        <v>1</v>
      </c>
      <c r="J90" s="261" t="s">
        <v>90</v>
      </c>
      <c r="K90" s="261" t="s">
        <v>86</v>
      </c>
      <c r="L90" s="91" t="s">
        <v>481</v>
      </c>
    </row>
    <row r="91" spans="1:12" x14ac:dyDescent="0.3">
      <c r="A91" s="91" t="s">
        <v>562</v>
      </c>
      <c r="B91" s="91">
        <v>2.7</v>
      </c>
      <c r="C91" s="91">
        <v>4</v>
      </c>
      <c r="D91" s="91">
        <v>1</v>
      </c>
      <c r="E91" s="91">
        <v>0.75</v>
      </c>
      <c r="F91" s="91">
        <v>0.28000000000000003</v>
      </c>
      <c r="G91" s="260">
        <f t="shared" ref="G91:G101" si="1">E91/F91</f>
        <v>2.6785714285714284</v>
      </c>
      <c r="H91" s="91" t="s">
        <v>504</v>
      </c>
      <c r="I91" s="91">
        <v>2</v>
      </c>
      <c r="J91" s="261" t="s">
        <v>90</v>
      </c>
      <c r="K91" s="261" t="s">
        <v>86</v>
      </c>
      <c r="L91" s="91" t="s">
        <v>483</v>
      </c>
    </row>
    <row r="92" spans="1:12" x14ac:dyDescent="0.3">
      <c r="A92" s="91" t="s">
        <v>563</v>
      </c>
      <c r="B92" s="91">
        <v>3.5</v>
      </c>
      <c r="C92" s="91">
        <v>6</v>
      </c>
      <c r="D92" s="91">
        <v>1</v>
      </c>
      <c r="E92" s="91">
        <v>0.7</v>
      </c>
      <c r="F92" s="91">
        <v>0.28000000000000003</v>
      </c>
      <c r="G92" s="260">
        <f t="shared" si="1"/>
        <v>2.4999999999999996</v>
      </c>
      <c r="H92" s="91" t="s">
        <v>504</v>
      </c>
      <c r="I92" s="91">
        <v>2</v>
      </c>
      <c r="J92" s="261" t="s">
        <v>90</v>
      </c>
      <c r="K92" s="261" t="s">
        <v>86</v>
      </c>
      <c r="L92" s="91" t="s">
        <v>485</v>
      </c>
    </row>
    <row r="93" spans="1:12" x14ac:dyDescent="0.3">
      <c r="A93" s="91" t="s">
        <v>564</v>
      </c>
      <c r="B93" s="91">
        <v>4.4000000000000004</v>
      </c>
      <c r="C93" s="91">
        <v>3</v>
      </c>
      <c r="D93" s="91">
        <v>2</v>
      </c>
      <c r="E93" s="91">
        <v>1.56</v>
      </c>
      <c r="F93" s="91">
        <v>0.56000000000000005</v>
      </c>
      <c r="G93" s="260">
        <f t="shared" si="1"/>
        <v>2.7857142857142856</v>
      </c>
      <c r="H93" s="91" t="s">
        <v>505</v>
      </c>
      <c r="I93" s="91">
        <v>3</v>
      </c>
      <c r="J93" s="261" t="s">
        <v>91</v>
      </c>
      <c r="K93" s="261" t="s">
        <v>86</v>
      </c>
      <c r="L93" s="91" t="s">
        <v>487</v>
      </c>
    </row>
    <row r="94" spans="1:12" x14ac:dyDescent="0.3">
      <c r="A94" s="91" t="s">
        <v>565</v>
      </c>
      <c r="B94" s="91">
        <v>5.4</v>
      </c>
      <c r="C94" s="91">
        <v>4</v>
      </c>
      <c r="D94" s="91">
        <v>2</v>
      </c>
      <c r="E94" s="91">
        <v>1.5</v>
      </c>
      <c r="F94" s="91">
        <v>0.56000000000000005</v>
      </c>
      <c r="G94" s="260">
        <f t="shared" si="1"/>
        <v>2.6785714285714284</v>
      </c>
      <c r="H94" s="91" t="s">
        <v>505</v>
      </c>
      <c r="I94" s="91">
        <v>3</v>
      </c>
      <c r="J94" s="261" t="s">
        <v>91</v>
      </c>
      <c r="K94" s="261" t="s">
        <v>86</v>
      </c>
      <c r="L94" s="91" t="s">
        <v>489</v>
      </c>
    </row>
    <row r="95" spans="1:12" x14ac:dyDescent="0.3">
      <c r="A95" s="91" t="s">
        <v>566</v>
      </c>
      <c r="B95" s="91">
        <v>7</v>
      </c>
      <c r="C95" s="91">
        <v>6</v>
      </c>
      <c r="D95" s="91">
        <v>2</v>
      </c>
      <c r="E95" s="91">
        <v>1.4</v>
      </c>
      <c r="F95" s="91">
        <v>0.56000000000000005</v>
      </c>
      <c r="G95" s="260">
        <f t="shared" si="1"/>
        <v>2.4999999999999996</v>
      </c>
      <c r="H95" s="91" t="s">
        <v>505</v>
      </c>
      <c r="I95" s="91">
        <v>4</v>
      </c>
      <c r="J95" s="261" t="s">
        <v>91</v>
      </c>
      <c r="K95" s="261" t="s">
        <v>86</v>
      </c>
      <c r="L95" s="91" t="s">
        <v>491</v>
      </c>
    </row>
    <row r="96" spans="1:12" x14ac:dyDescent="0.3">
      <c r="A96" s="91" t="s">
        <v>567</v>
      </c>
      <c r="B96" s="91">
        <v>6.6</v>
      </c>
      <c r="C96" s="91">
        <v>3</v>
      </c>
      <c r="D96" s="91">
        <v>3</v>
      </c>
      <c r="E96" s="91">
        <v>2.34</v>
      </c>
      <c r="F96" s="91">
        <v>0.84</v>
      </c>
      <c r="G96" s="260">
        <f t="shared" si="1"/>
        <v>2.7857142857142856</v>
      </c>
      <c r="H96" s="91" t="s">
        <v>506</v>
      </c>
      <c r="I96" s="91">
        <v>4</v>
      </c>
      <c r="J96" s="261" t="s">
        <v>91</v>
      </c>
      <c r="K96" s="261" t="s">
        <v>88</v>
      </c>
      <c r="L96" s="91" t="s">
        <v>493</v>
      </c>
    </row>
    <row r="97" spans="1:12" x14ac:dyDescent="0.3">
      <c r="A97" s="91" t="s">
        <v>568</v>
      </c>
      <c r="B97" s="91">
        <v>8.1</v>
      </c>
      <c r="C97" s="91">
        <v>4</v>
      </c>
      <c r="D97" s="91">
        <v>3</v>
      </c>
      <c r="E97" s="91">
        <v>2.25</v>
      </c>
      <c r="F97" s="91">
        <v>0.84</v>
      </c>
      <c r="G97" s="260">
        <f t="shared" si="1"/>
        <v>2.6785714285714288</v>
      </c>
      <c r="H97" s="91" t="s">
        <v>506</v>
      </c>
      <c r="I97" s="91">
        <v>4</v>
      </c>
      <c r="J97" s="261" t="s">
        <v>91</v>
      </c>
      <c r="K97" s="261" t="s">
        <v>88</v>
      </c>
      <c r="L97" s="91" t="s">
        <v>495</v>
      </c>
    </row>
    <row r="98" spans="1:12" x14ac:dyDescent="0.3">
      <c r="A98" s="91" t="s">
        <v>569</v>
      </c>
      <c r="B98" s="91">
        <v>10.5</v>
      </c>
      <c r="C98" s="91">
        <v>6</v>
      </c>
      <c r="D98" s="91">
        <v>3</v>
      </c>
      <c r="E98" s="91">
        <v>2.1</v>
      </c>
      <c r="F98" s="91">
        <v>0.84</v>
      </c>
      <c r="G98" s="260">
        <f t="shared" si="1"/>
        <v>2.5</v>
      </c>
      <c r="H98" s="91" t="s">
        <v>506</v>
      </c>
      <c r="I98" s="91">
        <v>6</v>
      </c>
      <c r="J98" s="261" t="s">
        <v>92</v>
      </c>
      <c r="K98" s="261" t="s">
        <v>88</v>
      </c>
      <c r="L98" s="91" t="s">
        <v>497</v>
      </c>
    </row>
    <row r="99" spans="1:12" x14ac:dyDescent="0.3">
      <c r="A99" s="91" t="s">
        <v>570</v>
      </c>
      <c r="B99" s="91">
        <v>8.8000000000000007</v>
      </c>
      <c r="C99" s="91">
        <v>3</v>
      </c>
      <c r="D99" s="91">
        <v>4</v>
      </c>
      <c r="E99" s="91">
        <v>3.12</v>
      </c>
      <c r="F99" s="91">
        <v>1.1200000000000001</v>
      </c>
      <c r="G99" s="260">
        <f t="shared" si="1"/>
        <v>2.7857142857142856</v>
      </c>
      <c r="H99" s="91" t="s">
        <v>507</v>
      </c>
      <c r="I99" s="91">
        <v>6</v>
      </c>
      <c r="J99" s="261" t="s">
        <v>92</v>
      </c>
      <c r="K99" s="261" t="s">
        <v>88</v>
      </c>
      <c r="L99" s="91" t="s">
        <v>499</v>
      </c>
    </row>
    <row r="100" spans="1:12" x14ac:dyDescent="0.3">
      <c r="A100" s="91" t="s">
        <v>571</v>
      </c>
      <c r="B100" s="91">
        <v>10.8</v>
      </c>
      <c r="C100" s="91">
        <v>4</v>
      </c>
      <c r="D100" s="91">
        <v>4</v>
      </c>
      <c r="E100" s="91">
        <v>3</v>
      </c>
      <c r="F100" s="91">
        <v>1.1200000000000001</v>
      </c>
      <c r="G100" s="260">
        <f t="shared" si="1"/>
        <v>2.6785714285714284</v>
      </c>
      <c r="H100" s="91" t="s">
        <v>507</v>
      </c>
      <c r="I100" s="91">
        <v>8</v>
      </c>
      <c r="J100" s="261" t="s">
        <v>92</v>
      </c>
      <c r="K100" s="261" t="s">
        <v>88</v>
      </c>
      <c r="L100" s="91" t="s">
        <v>501</v>
      </c>
    </row>
    <row r="101" spans="1:12" x14ac:dyDescent="0.3">
      <c r="A101" s="91" t="s">
        <v>572</v>
      </c>
      <c r="B101" s="91">
        <v>14</v>
      </c>
      <c r="C101" s="91">
        <v>6</v>
      </c>
      <c r="D101" s="91">
        <v>4</v>
      </c>
      <c r="E101" s="91">
        <v>2.8</v>
      </c>
      <c r="F101" s="91">
        <v>1.1200000000000001</v>
      </c>
      <c r="G101" s="260">
        <f t="shared" si="1"/>
        <v>2.4999999999999996</v>
      </c>
      <c r="H101" s="91" t="s">
        <v>507</v>
      </c>
      <c r="I101" s="91">
        <v>8</v>
      </c>
      <c r="J101" s="261" t="s">
        <v>92</v>
      </c>
      <c r="K101" s="261" t="s">
        <v>88</v>
      </c>
      <c r="L101" s="91" t="s">
        <v>503</v>
      </c>
    </row>
  </sheetData>
  <mergeCells count="4">
    <mergeCell ref="N16:Y16"/>
    <mergeCell ref="N27:Y27"/>
    <mergeCell ref="A1:L2"/>
    <mergeCell ref="N1:Y2"/>
  </mergeCells>
  <phoneticPr fontId="26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AAB3-7876-48C6-9251-42353542EBB9}">
  <dimension ref="A1:C5"/>
  <sheetViews>
    <sheetView tabSelected="1" workbookViewId="0">
      <selection activeCell="A4" sqref="A4"/>
    </sheetView>
  </sheetViews>
  <sheetFormatPr defaultRowHeight="14.4" x14ac:dyDescent="0.3"/>
  <cols>
    <col min="1" max="1" width="9.77734375" bestFit="1" customWidth="1"/>
    <col min="3" max="3" width="9.88671875" customWidth="1"/>
  </cols>
  <sheetData>
    <row r="1" spans="1:3" x14ac:dyDescent="0.3">
      <c r="A1" t="s">
        <v>659</v>
      </c>
      <c r="B1" t="s">
        <v>656</v>
      </c>
      <c r="C1" t="s">
        <v>657</v>
      </c>
    </row>
    <row r="2" spans="1:3" x14ac:dyDescent="0.3">
      <c r="A2" t="s">
        <v>660</v>
      </c>
      <c r="B2" s="285" t="s">
        <v>658</v>
      </c>
      <c r="C2" s="109" t="s">
        <v>86</v>
      </c>
    </row>
    <row r="3" spans="1:3" x14ac:dyDescent="0.3">
      <c r="A3" t="s">
        <v>661</v>
      </c>
      <c r="B3" s="109" t="s">
        <v>86</v>
      </c>
      <c r="C3" s="109" t="s">
        <v>88</v>
      </c>
    </row>
    <row r="4" spans="1:3" x14ac:dyDescent="0.3">
      <c r="A4" t="s">
        <v>575</v>
      </c>
      <c r="B4" s="285" t="s">
        <v>658</v>
      </c>
      <c r="C4" s="109" t="s">
        <v>86</v>
      </c>
    </row>
    <row r="5" spans="1:3" x14ac:dyDescent="0.3">
      <c r="A5" t="s">
        <v>574</v>
      </c>
      <c r="B5" s="109" t="s">
        <v>86</v>
      </c>
      <c r="C5" s="10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46</vt:i4>
      </vt:variant>
      <vt:variant>
        <vt:lpstr>Named Ranges</vt:lpstr>
      </vt:variant>
      <vt:variant>
        <vt:i4>36</vt:i4>
      </vt:variant>
    </vt:vector>
  </HeadingPairs>
  <TitlesOfParts>
    <vt:vector size="82" baseType="lpstr">
      <vt:lpstr>COVER</vt:lpstr>
      <vt:lpstr>Data</vt:lpstr>
      <vt:lpstr>Sheet2</vt:lpstr>
      <vt:lpstr>PACKING LIST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A1</vt:lpstr>
      <vt:lpstr>B2</vt:lpstr>
      <vt:lpstr>C3</vt:lpstr>
      <vt:lpstr>D4</vt:lpstr>
      <vt:lpstr>E5</vt:lpstr>
      <vt:lpstr>F6</vt:lpstr>
      <vt:lpstr>G7</vt:lpstr>
      <vt:lpstr>H8</vt:lpstr>
      <vt:lpstr>I9</vt:lpstr>
      <vt:lpstr>J10</vt:lpstr>
      <vt:lpstr>K11</vt:lpstr>
      <vt:lpstr>L12</vt:lpstr>
      <vt:lpstr>M13</vt:lpstr>
      <vt:lpstr>N14</vt:lpstr>
      <vt:lpstr>O15</vt:lpstr>
      <vt:lpstr>Sheet1</vt:lpstr>
      <vt:lpstr>HI Data</vt:lpstr>
      <vt:lpstr>HSe</vt:lpstr>
      <vt:lpstr>HSe Data</vt:lpstr>
      <vt:lpstr>CSB Data</vt:lpstr>
      <vt:lpstr>Valve Data</vt:lpstr>
      <vt:lpstr>Data!Extract</vt:lpstr>
      <vt:lpstr>'1'!Print_Area</vt:lpstr>
      <vt:lpstr>'10'!Print_Area</vt:lpstr>
      <vt:lpstr>'11'!Print_Area</vt:lpstr>
      <vt:lpstr>'12'!Print_Area</vt:lpstr>
      <vt:lpstr>'13'!Print_Area</vt:lpstr>
      <vt:lpstr>'14'!Print_Area</vt:lpstr>
      <vt:lpstr>'16'!Print_Area</vt:lpstr>
      <vt:lpstr>'17'!Print_Area</vt:lpstr>
      <vt:lpstr>'18'!Print_Area</vt:lpstr>
      <vt:lpstr>'19'!Print_Area</vt:lpstr>
      <vt:lpstr>'2'!Print_Area</vt:lpstr>
      <vt:lpstr>'20'!Print_Area</vt:lpstr>
      <vt:lpstr>'3'!Print_Area</vt:lpstr>
      <vt:lpstr>'4'!Print_Area</vt:lpstr>
      <vt:lpstr>'6'!Print_Area</vt:lpstr>
      <vt:lpstr>'7'!Print_Area</vt:lpstr>
      <vt:lpstr>'8'!Print_Area</vt:lpstr>
      <vt:lpstr>'A1'!Print_Area</vt:lpstr>
      <vt:lpstr>'B2'!Print_Area</vt:lpstr>
      <vt:lpstr>COVER!Print_Area</vt:lpstr>
      <vt:lpstr>'D4'!Print_Area</vt:lpstr>
      <vt:lpstr>Data!Print_Area</vt:lpstr>
      <vt:lpstr>'E5'!Print_Area</vt:lpstr>
      <vt:lpstr>'F6'!Print_Area</vt:lpstr>
      <vt:lpstr>'G7'!Print_Area</vt:lpstr>
      <vt:lpstr>'H8'!Print_Area</vt:lpstr>
      <vt:lpstr>'I9'!Print_Area</vt:lpstr>
      <vt:lpstr>'J10'!Print_Area</vt:lpstr>
      <vt:lpstr>'K11'!Print_Area</vt:lpstr>
      <vt:lpstr>'L12'!Print_Area</vt:lpstr>
      <vt:lpstr>'M13'!Print_Area</vt:lpstr>
      <vt:lpstr>'N14'!Print_Area</vt:lpstr>
      <vt:lpstr>'O15'!Print_Area</vt:lpstr>
      <vt:lpstr>'PACKING LIST'!Print_Area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Van Zyl</dc:creator>
  <cp:lastModifiedBy>Stephan Redpath</cp:lastModifiedBy>
  <cp:lastPrinted>2025-04-07T12:47:16Z</cp:lastPrinted>
  <dcterms:created xsi:type="dcterms:W3CDTF">2016-02-22T07:33:04Z</dcterms:created>
  <dcterms:modified xsi:type="dcterms:W3CDTF">2025-05-14T09:06:57Z</dcterms:modified>
</cp:coreProperties>
</file>