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drawings/drawing1.xml" ContentType="application/vnd.openxmlformats-officedocument.drawing+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D:\FH\Masterarbeit\"/>
    </mc:Choice>
  </mc:AlternateContent>
  <xr:revisionPtr revIDLastSave="0" documentId="13_ncr:1_{D2E7A4F6-7DBB-4564-AB4E-E58BA71F9F01}" xr6:coauthVersionLast="47" xr6:coauthVersionMax="47" xr10:uidLastSave="{00000000-0000-0000-0000-000000000000}"/>
  <bookViews>
    <workbookView xWindow="-120" yWindow="-120" windowWidth="38640" windowHeight="21240" firstSheet="10" activeTab="25" xr2:uid="{E0FA730E-A373-4CE9-8122-47FE3C7F0D05}"/>
  </bookViews>
  <sheets>
    <sheet name="temp24" sheetId="25" r:id="rId1"/>
    <sheet name="temp23" sheetId="24" r:id="rId2"/>
    <sheet name="temp22" sheetId="23" r:id="rId3"/>
    <sheet name="temp21" sheetId="22" r:id="rId4"/>
    <sheet name="temp20" sheetId="21" r:id="rId5"/>
    <sheet name="temp19" sheetId="20" r:id="rId6"/>
    <sheet name="temp18" sheetId="19" r:id="rId7"/>
    <sheet name="temp17" sheetId="18" r:id="rId8"/>
    <sheet name="temp16" sheetId="17" r:id="rId9"/>
    <sheet name="temp15" sheetId="16" r:id="rId10"/>
    <sheet name="temp14" sheetId="15" r:id="rId11"/>
    <sheet name="temp13" sheetId="14" r:id="rId12"/>
    <sheet name="temp12" sheetId="13" r:id="rId13"/>
    <sheet name="temp11" sheetId="12" r:id="rId14"/>
    <sheet name="temp10" sheetId="11" r:id="rId15"/>
    <sheet name="temp9" sheetId="10" r:id="rId16"/>
    <sheet name="temp8" sheetId="9" r:id="rId17"/>
    <sheet name="temp7" sheetId="8" r:id="rId18"/>
    <sheet name="temp6" sheetId="7" r:id="rId19"/>
    <sheet name="temp5" sheetId="6" r:id="rId20"/>
    <sheet name="temp4" sheetId="5" r:id="rId21"/>
    <sheet name="temp3" sheetId="4" r:id="rId22"/>
    <sheet name="temp2" sheetId="3" r:id="rId23"/>
    <sheet name="temp1" sheetId="2" r:id="rId24"/>
    <sheet name="data" sheetId="26" r:id="rId25"/>
    <sheet name="Main" sheetId="27" r:id="rId26"/>
    <sheet name="Survey" sheetId="28" r:id="rId27"/>
  </sheets>
  <definedNames>
    <definedName name="ExternalData_1" localSheetId="24" hidden="1">data!$A$1:$M$457</definedName>
    <definedName name="ExternalData_1" localSheetId="25" hidden="1">Main!$A$1:$M$457</definedName>
    <definedName name="ExternalData_1" localSheetId="23" hidden="1">temp1!$A$1:$L$20</definedName>
    <definedName name="ExternalData_10" localSheetId="14" hidden="1">temp10!$A$1:$L$20</definedName>
    <definedName name="ExternalData_11" localSheetId="13" hidden="1">temp11!$A$1:$L$20</definedName>
    <definedName name="ExternalData_12" localSheetId="12" hidden="1">temp12!$A$1:$L$20</definedName>
    <definedName name="ExternalData_13" localSheetId="11" hidden="1">temp13!$A$1:$L$20</definedName>
    <definedName name="ExternalData_14" localSheetId="10" hidden="1">temp14!$A$1:$L$20</definedName>
    <definedName name="ExternalData_15" localSheetId="9" hidden="1">temp15!$A$1:$L$20</definedName>
    <definedName name="ExternalData_16" localSheetId="8" hidden="1">temp16!$A$1:$L$20</definedName>
    <definedName name="ExternalData_17" localSheetId="7" hidden="1">temp17!$A$1:$L$20</definedName>
    <definedName name="ExternalData_18" localSheetId="6" hidden="1">temp18!$A$1:$L$20</definedName>
    <definedName name="ExternalData_19" localSheetId="5" hidden="1">temp19!$A$1:$L$20</definedName>
    <definedName name="ExternalData_2" localSheetId="22" hidden="1">temp2!$A$1:$L$20</definedName>
    <definedName name="ExternalData_20" localSheetId="4" hidden="1">temp20!$A$1:$L$20</definedName>
    <definedName name="ExternalData_21" localSheetId="3" hidden="1">temp21!$A$1:$L$20</definedName>
    <definedName name="ExternalData_22" localSheetId="2" hidden="1">temp22!$A$1:$L$20</definedName>
    <definedName name="ExternalData_23" localSheetId="1" hidden="1">temp23!$A$1:$L$20</definedName>
    <definedName name="ExternalData_24" localSheetId="0" hidden="1">temp24!$A$1:$L$20</definedName>
    <definedName name="ExternalData_3" localSheetId="21" hidden="1">temp3!$A$1:$L$20</definedName>
    <definedName name="ExternalData_4" localSheetId="20" hidden="1">temp4!$A$1:$L$20</definedName>
    <definedName name="ExternalData_5" localSheetId="19" hidden="1">temp5!$A$1:$L$20</definedName>
    <definedName name="ExternalData_6" localSheetId="18" hidden="1">temp6!$A$1:$L$20</definedName>
    <definedName name="ExternalData_7" localSheetId="17" hidden="1">temp7!$A$1:$L$20</definedName>
    <definedName name="ExternalData_8" localSheetId="16" hidden="1">temp8!$A$1:$L$20</definedName>
    <definedName name="ExternalData_9" localSheetId="15" hidden="1">temp9!$A$1:$L$20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34" i="27" l="1"/>
  <c r="G458" i="27"/>
  <c r="P489" i="27"/>
  <c r="P493" i="27"/>
  <c r="P499" i="27"/>
  <c r="P498" i="27"/>
  <c r="P497" i="27"/>
  <c r="P496" i="27"/>
  <c r="P495" i="27"/>
  <c r="P494" i="27"/>
  <c r="P492" i="27"/>
  <c r="P491" i="27"/>
  <c r="P490" i="27"/>
  <c r="AA140" i="28"/>
  <c r="Y140" i="28"/>
  <c r="X140" i="28"/>
  <c r="W140" i="28"/>
  <c r="AC547" i="27"/>
  <c r="AD547" i="27"/>
  <c r="AE547" i="27"/>
  <c r="AF547" i="27"/>
  <c r="AG547" i="27"/>
  <c r="AH547" i="27"/>
  <c r="AI547" i="27"/>
  <c r="AJ547" i="27"/>
  <c r="AK547" i="27"/>
  <c r="AL547" i="27"/>
  <c r="AM547" i="27"/>
  <c r="AN547" i="27"/>
  <c r="AC534" i="27"/>
  <c r="AD534" i="27"/>
  <c r="AE534" i="27"/>
  <c r="AF534" i="27"/>
  <c r="AG534" i="27"/>
  <c r="AI534" i="27"/>
  <c r="AJ534" i="27"/>
  <c r="AK534" i="27"/>
  <c r="AL534" i="27"/>
  <c r="AM534" i="27"/>
  <c r="AN534" i="27"/>
  <c r="AC529" i="27"/>
  <c r="AD529" i="27"/>
  <c r="AE529" i="27"/>
  <c r="AF529" i="27"/>
  <c r="AG529" i="27"/>
  <c r="AH529" i="27"/>
  <c r="AI529" i="27"/>
  <c r="AJ529" i="27"/>
  <c r="AK529" i="27"/>
  <c r="AL529" i="27"/>
  <c r="AM529" i="27"/>
  <c r="AN529" i="27"/>
  <c r="P104" i="27"/>
  <c r="Q104" i="27"/>
  <c r="R104" i="27"/>
  <c r="S104" i="27"/>
  <c r="T104" i="27"/>
  <c r="U104" i="27"/>
  <c r="V104" i="27"/>
  <c r="W104" i="27"/>
  <c r="X104" i="27"/>
  <c r="Y104" i="27"/>
  <c r="Z104" i="27"/>
  <c r="AA104" i="27"/>
  <c r="P129" i="27"/>
  <c r="Q129" i="27"/>
  <c r="R129" i="27"/>
  <c r="S129" i="27"/>
  <c r="T129" i="27"/>
  <c r="U129" i="27"/>
  <c r="V129" i="27"/>
  <c r="W129" i="27"/>
  <c r="X129" i="27"/>
  <c r="Y129" i="27"/>
  <c r="Z129" i="27"/>
  <c r="AA129" i="27"/>
  <c r="P154" i="27"/>
  <c r="Q154" i="27"/>
  <c r="R154" i="27"/>
  <c r="S154" i="27"/>
  <c r="T154" i="27"/>
  <c r="U154" i="27"/>
  <c r="V154" i="27"/>
  <c r="W154" i="27"/>
  <c r="X154" i="27"/>
  <c r="Y154" i="27"/>
  <c r="Z154" i="27"/>
  <c r="AA154" i="27"/>
  <c r="P179" i="27"/>
  <c r="Q179" i="27"/>
  <c r="R179" i="27"/>
  <c r="S179" i="27"/>
  <c r="T179" i="27"/>
  <c r="U179" i="27"/>
  <c r="V179" i="27"/>
  <c r="W179" i="27"/>
  <c r="X179" i="27"/>
  <c r="Y179" i="27"/>
  <c r="Z179" i="27"/>
  <c r="AA179" i="27"/>
  <c r="P204" i="27"/>
  <c r="Q204" i="27"/>
  <c r="R204" i="27"/>
  <c r="S204" i="27"/>
  <c r="T204" i="27"/>
  <c r="U204" i="27"/>
  <c r="V204" i="27"/>
  <c r="W204" i="27"/>
  <c r="X204" i="27"/>
  <c r="Y204" i="27"/>
  <c r="Z204" i="27"/>
  <c r="AA204" i="27"/>
  <c r="P229" i="27"/>
  <c r="Q229" i="27"/>
  <c r="R229" i="27"/>
  <c r="S229" i="27"/>
  <c r="T229" i="27"/>
  <c r="U229" i="27"/>
  <c r="V229" i="27"/>
  <c r="W229" i="27"/>
  <c r="X229" i="27"/>
  <c r="Y229" i="27"/>
  <c r="Z229" i="27"/>
  <c r="AA229" i="27"/>
  <c r="P254" i="27"/>
  <c r="Q254" i="27"/>
  <c r="R254" i="27"/>
  <c r="S254" i="27"/>
  <c r="T254" i="27"/>
  <c r="U254" i="27"/>
  <c r="V254" i="27"/>
  <c r="W254" i="27"/>
  <c r="X254" i="27"/>
  <c r="Y254" i="27"/>
  <c r="Z254" i="27"/>
  <c r="AA254" i="27"/>
  <c r="P279" i="27"/>
  <c r="Q279" i="27"/>
  <c r="R279" i="27"/>
  <c r="S279" i="27"/>
  <c r="T279" i="27"/>
  <c r="U279" i="27"/>
  <c r="V279" i="27"/>
  <c r="W279" i="27"/>
  <c r="X279" i="27"/>
  <c r="Y279" i="27"/>
  <c r="Z279" i="27"/>
  <c r="AA279" i="27"/>
  <c r="P304" i="27"/>
  <c r="Q304" i="27"/>
  <c r="R304" i="27"/>
  <c r="S304" i="27"/>
  <c r="T304" i="27"/>
  <c r="U304" i="27"/>
  <c r="V304" i="27"/>
  <c r="W304" i="27"/>
  <c r="X304" i="27"/>
  <c r="Y304" i="27"/>
  <c r="Z304" i="27"/>
  <c r="AA304" i="27"/>
  <c r="P329" i="27"/>
  <c r="Q329" i="27"/>
  <c r="R329" i="27"/>
  <c r="S329" i="27"/>
  <c r="T329" i="27"/>
  <c r="U329" i="27"/>
  <c r="V329" i="27"/>
  <c r="W329" i="27"/>
  <c r="X329" i="27"/>
  <c r="Y329" i="27"/>
  <c r="Z329" i="27"/>
  <c r="AA329" i="27"/>
  <c r="P354" i="27"/>
  <c r="Q354" i="27"/>
  <c r="R354" i="27"/>
  <c r="S354" i="27"/>
  <c r="T354" i="27"/>
  <c r="U354" i="27"/>
  <c r="V354" i="27"/>
  <c r="W354" i="27"/>
  <c r="X354" i="27"/>
  <c r="Y354" i="27"/>
  <c r="Z354" i="27"/>
  <c r="AA354" i="27"/>
  <c r="P379" i="27"/>
  <c r="Q379" i="27"/>
  <c r="R379" i="27"/>
  <c r="S379" i="27"/>
  <c r="T379" i="27"/>
  <c r="U379" i="27"/>
  <c r="V379" i="27"/>
  <c r="W379" i="27"/>
  <c r="X379" i="27"/>
  <c r="Y379" i="27"/>
  <c r="Z379" i="27"/>
  <c r="AA379" i="27"/>
  <c r="P404" i="27"/>
  <c r="Q404" i="27"/>
  <c r="R404" i="27"/>
  <c r="S404" i="27"/>
  <c r="T404" i="27"/>
  <c r="U404" i="27"/>
  <c r="V404" i="27"/>
  <c r="W404" i="27"/>
  <c r="X404" i="27"/>
  <c r="Y404" i="27"/>
  <c r="Z404" i="27"/>
  <c r="AA404" i="27"/>
  <c r="P429" i="27"/>
  <c r="Q429" i="27"/>
  <c r="R429" i="27"/>
  <c r="S429" i="27"/>
  <c r="T429" i="27"/>
  <c r="U429" i="27"/>
  <c r="V429" i="27"/>
  <c r="W429" i="27"/>
  <c r="X429" i="27"/>
  <c r="Y429" i="27"/>
  <c r="Z429" i="27"/>
  <c r="AA429" i="27"/>
  <c r="P454" i="27"/>
  <c r="Q454" i="27"/>
  <c r="R454" i="27"/>
  <c r="S454" i="27"/>
  <c r="T454" i="27"/>
  <c r="U454" i="27"/>
  <c r="V454" i="27"/>
  <c r="W454" i="27"/>
  <c r="X454" i="27"/>
  <c r="Y454" i="27"/>
  <c r="Z454" i="27"/>
  <c r="AA454" i="27"/>
  <c r="P479" i="27"/>
  <c r="Q479" i="27"/>
  <c r="R479" i="27"/>
  <c r="S479" i="27"/>
  <c r="T479" i="27"/>
  <c r="U479" i="27"/>
  <c r="V479" i="27"/>
  <c r="W479" i="27"/>
  <c r="X479" i="27"/>
  <c r="Y479" i="27"/>
  <c r="Z479" i="27"/>
  <c r="AA479" i="27"/>
  <c r="P78" i="27"/>
  <c r="Q78" i="27"/>
  <c r="R78" i="27"/>
  <c r="S78" i="27"/>
  <c r="T78" i="27"/>
  <c r="U78" i="27"/>
  <c r="V78" i="27"/>
  <c r="W78" i="27"/>
  <c r="X78" i="27"/>
  <c r="Y78" i="27"/>
  <c r="Z78" i="27"/>
  <c r="AA78" i="27"/>
  <c r="P52" i="27"/>
  <c r="Q52" i="27"/>
  <c r="R52" i="27"/>
  <c r="S52" i="27"/>
  <c r="T52" i="27"/>
  <c r="U52" i="27"/>
  <c r="V52" i="27"/>
  <c r="W52" i="27"/>
  <c r="X52" i="27"/>
  <c r="Y52" i="27"/>
  <c r="Z52" i="27"/>
  <c r="AA52" i="27"/>
  <c r="P26" i="27"/>
  <c r="Q26" i="27"/>
  <c r="R26" i="27"/>
  <c r="S26" i="27"/>
  <c r="T26" i="27"/>
  <c r="U26" i="27"/>
  <c r="V26" i="27"/>
  <c r="W26" i="27"/>
  <c r="X26" i="27"/>
  <c r="Y26" i="27"/>
  <c r="Z26" i="27"/>
  <c r="AA26" i="27"/>
  <c r="B458" i="27"/>
  <c r="C458" i="27"/>
  <c r="D458" i="27"/>
  <c r="E458" i="27"/>
  <c r="F458" i="27"/>
  <c r="H458" i="27"/>
  <c r="I458" i="27"/>
  <c r="J458" i="27"/>
  <c r="K458" i="27"/>
  <c r="L458" i="27"/>
  <c r="M458" i="27"/>
  <c r="B458" i="26"/>
  <c r="C458" i="26"/>
  <c r="D458" i="26"/>
  <c r="E458" i="26"/>
  <c r="F458" i="26"/>
  <c r="G458" i="26"/>
  <c r="H458" i="26"/>
  <c r="I458" i="26"/>
  <c r="J458" i="26"/>
  <c r="K458" i="26"/>
  <c r="L458" i="26"/>
  <c r="M458" i="26"/>
  <c r="A21" i="25"/>
  <c r="B21" i="25"/>
  <c r="C21" i="25"/>
  <c r="D21" i="25"/>
  <c r="E21" i="25"/>
  <c r="F21" i="25"/>
  <c r="G21" i="25"/>
  <c r="H21" i="25"/>
  <c r="I21" i="25"/>
  <c r="J21" i="25"/>
  <c r="K21" i="25"/>
  <c r="L21" i="25"/>
  <c r="A21" i="24"/>
  <c r="B21" i="24"/>
  <c r="C21" i="24"/>
  <c r="D21" i="24"/>
  <c r="E21" i="24"/>
  <c r="F21" i="24"/>
  <c r="G21" i="24"/>
  <c r="H21" i="24"/>
  <c r="I21" i="24"/>
  <c r="J21" i="24"/>
  <c r="K21" i="24"/>
  <c r="L21" i="24"/>
  <c r="A21" i="23"/>
  <c r="B21" i="23"/>
  <c r="C21" i="23"/>
  <c r="D21" i="23"/>
  <c r="E21" i="23"/>
  <c r="F21" i="23"/>
  <c r="G21" i="23"/>
  <c r="H21" i="23"/>
  <c r="I21" i="23"/>
  <c r="J21" i="23"/>
  <c r="K21" i="23"/>
  <c r="L21" i="23"/>
  <c r="A21" i="22"/>
  <c r="B21" i="22"/>
  <c r="C21" i="22"/>
  <c r="D21" i="22"/>
  <c r="E21" i="22"/>
  <c r="F21" i="22"/>
  <c r="G21" i="22"/>
  <c r="H21" i="22"/>
  <c r="I21" i="22"/>
  <c r="J21" i="22"/>
  <c r="K21" i="22"/>
  <c r="L21" i="22"/>
  <c r="A21" i="21"/>
  <c r="B21" i="21"/>
  <c r="C21" i="21"/>
  <c r="D21" i="21"/>
  <c r="E21" i="21"/>
  <c r="F21" i="21"/>
  <c r="G21" i="21"/>
  <c r="H21" i="21"/>
  <c r="I21" i="21"/>
  <c r="J21" i="21"/>
  <c r="K21" i="21"/>
  <c r="L21" i="21"/>
  <c r="A21" i="20"/>
  <c r="B21" i="20"/>
  <c r="C21" i="20"/>
  <c r="D21" i="20"/>
  <c r="E21" i="20"/>
  <c r="F21" i="20"/>
  <c r="G21" i="20"/>
  <c r="H21" i="20"/>
  <c r="I21" i="20"/>
  <c r="J21" i="20"/>
  <c r="K21" i="20"/>
  <c r="L21" i="20"/>
  <c r="A21" i="19"/>
  <c r="B21" i="19"/>
  <c r="C21" i="19"/>
  <c r="D21" i="19"/>
  <c r="E21" i="19"/>
  <c r="F21" i="19"/>
  <c r="G21" i="19"/>
  <c r="H21" i="19"/>
  <c r="I21" i="19"/>
  <c r="J21" i="19"/>
  <c r="K21" i="19"/>
  <c r="L21" i="19"/>
  <c r="A21" i="18"/>
  <c r="B21" i="18"/>
  <c r="C21" i="18"/>
  <c r="D21" i="18"/>
  <c r="E21" i="18"/>
  <c r="F21" i="18"/>
  <c r="G21" i="18"/>
  <c r="H21" i="18"/>
  <c r="I21" i="18"/>
  <c r="J21" i="18"/>
  <c r="K21" i="18"/>
  <c r="L21" i="18"/>
  <c r="A21" i="17"/>
  <c r="B21" i="17"/>
  <c r="C21" i="17"/>
  <c r="D21" i="17"/>
  <c r="E21" i="17"/>
  <c r="F21" i="17"/>
  <c r="G21" i="17"/>
  <c r="H21" i="17"/>
  <c r="I21" i="17"/>
  <c r="J21" i="17"/>
  <c r="K21" i="17"/>
  <c r="L21" i="17"/>
  <c r="A21" i="16"/>
  <c r="B21" i="16"/>
  <c r="C21" i="16"/>
  <c r="D21" i="16"/>
  <c r="E21" i="16"/>
  <c r="F21" i="16"/>
  <c r="G21" i="16"/>
  <c r="H21" i="16"/>
  <c r="I21" i="16"/>
  <c r="J21" i="16"/>
  <c r="K21" i="16"/>
  <c r="L21" i="16"/>
  <c r="A21" i="15"/>
  <c r="B21" i="15"/>
  <c r="C21" i="15"/>
  <c r="D21" i="15"/>
  <c r="E21" i="15"/>
  <c r="F21" i="15"/>
  <c r="G21" i="15"/>
  <c r="H21" i="15"/>
  <c r="I21" i="15"/>
  <c r="J21" i="15"/>
  <c r="K21" i="15"/>
  <c r="L21" i="15"/>
  <c r="A21" i="14"/>
  <c r="B21" i="14"/>
  <c r="C21" i="14"/>
  <c r="D21" i="14"/>
  <c r="E21" i="14"/>
  <c r="F21" i="14"/>
  <c r="G21" i="14"/>
  <c r="H21" i="14"/>
  <c r="I21" i="14"/>
  <c r="J21" i="14"/>
  <c r="K21" i="14"/>
  <c r="L21" i="14"/>
  <c r="A21" i="13"/>
  <c r="B21" i="13"/>
  <c r="C21" i="13"/>
  <c r="D21" i="13"/>
  <c r="E21" i="13"/>
  <c r="F21" i="13"/>
  <c r="G21" i="13"/>
  <c r="H21" i="13"/>
  <c r="I21" i="13"/>
  <c r="J21" i="13"/>
  <c r="K21" i="13"/>
  <c r="L21" i="13"/>
  <c r="A21" i="12"/>
  <c r="B21" i="12"/>
  <c r="C21" i="12"/>
  <c r="D21" i="12"/>
  <c r="E21" i="12"/>
  <c r="F21" i="12"/>
  <c r="G21" i="12"/>
  <c r="H21" i="12"/>
  <c r="I21" i="12"/>
  <c r="J21" i="12"/>
  <c r="K21" i="12"/>
  <c r="L21" i="12"/>
  <c r="A21" i="11"/>
  <c r="B21" i="11"/>
  <c r="C21" i="11"/>
  <c r="D21" i="11"/>
  <c r="E21" i="11"/>
  <c r="F21" i="11"/>
  <c r="G21" i="11"/>
  <c r="H21" i="11"/>
  <c r="I21" i="11"/>
  <c r="J21" i="11"/>
  <c r="K21" i="11"/>
  <c r="L21" i="11"/>
  <c r="A21" i="10"/>
  <c r="B21" i="10"/>
  <c r="C21" i="10"/>
  <c r="D21" i="10"/>
  <c r="E21" i="10"/>
  <c r="F21" i="10"/>
  <c r="G21" i="10"/>
  <c r="H21" i="10"/>
  <c r="I21" i="10"/>
  <c r="J21" i="10"/>
  <c r="K21" i="10"/>
  <c r="L21" i="10"/>
  <c r="A21" i="9"/>
  <c r="B21" i="9"/>
  <c r="C21" i="9"/>
  <c r="D21" i="9"/>
  <c r="E21" i="9"/>
  <c r="F21" i="9"/>
  <c r="G21" i="9"/>
  <c r="H21" i="9"/>
  <c r="I21" i="9"/>
  <c r="J21" i="9"/>
  <c r="K21" i="9"/>
  <c r="L21" i="9"/>
  <c r="A21" i="8"/>
  <c r="B21" i="8"/>
  <c r="C21" i="8"/>
  <c r="D21" i="8"/>
  <c r="E21" i="8"/>
  <c r="F21" i="8"/>
  <c r="G21" i="8"/>
  <c r="H21" i="8"/>
  <c r="I21" i="8"/>
  <c r="J21" i="8"/>
  <c r="K21" i="8"/>
  <c r="L21" i="8"/>
  <c r="A21" i="7"/>
  <c r="B21" i="7"/>
  <c r="C21" i="7"/>
  <c r="D21" i="7"/>
  <c r="E21" i="7"/>
  <c r="F21" i="7"/>
  <c r="G21" i="7"/>
  <c r="H21" i="7"/>
  <c r="I21" i="7"/>
  <c r="J21" i="7"/>
  <c r="K21" i="7"/>
  <c r="L21" i="7"/>
  <c r="A21" i="6"/>
  <c r="B21" i="6"/>
  <c r="C21" i="6"/>
  <c r="D21" i="6"/>
  <c r="E21" i="6"/>
  <c r="F21" i="6"/>
  <c r="G21" i="6"/>
  <c r="H21" i="6"/>
  <c r="I21" i="6"/>
  <c r="J21" i="6"/>
  <c r="K21" i="6"/>
  <c r="L21" i="6"/>
  <c r="A21" i="5"/>
  <c r="B21" i="5"/>
  <c r="C21" i="5"/>
  <c r="D21" i="5"/>
  <c r="E21" i="5"/>
  <c r="F21" i="5"/>
  <c r="G21" i="5"/>
  <c r="H21" i="5"/>
  <c r="I21" i="5"/>
  <c r="J21" i="5"/>
  <c r="K21" i="5"/>
  <c r="L21" i="5"/>
  <c r="A21" i="4"/>
  <c r="B21" i="4"/>
  <c r="C21" i="4"/>
  <c r="D21" i="4"/>
  <c r="E21" i="4"/>
  <c r="F21" i="4"/>
  <c r="G21" i="4"/>
  <c r="H21" i="4"/>
  <c r="I21" i="4"/>
  <c r="J21" i="4"/>
  <c r="K21" i="4"/>
  <c r="L21" i="4"/>
  <c r="A21" i="3"/>
  <c r="B21" i="3"/>
  <c r="C21" i="3"/>
  <c r="D21" i="3"/>
  <c r="E21" i="3"/>
  <c r="F21" i="3"/>
  <c r="G21" i="3"/>
  <c r="H21" i="3"/>
  <c r="I21" i="3"/>
  <c r="J21" i="3"/>
  <c r="K21" i="3"/>
  <c r="L2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90B028-D460-4F79-97CB-94EC47D8DB2A}"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4F15810E-3FB5-47FF-B036-471D23E9F3FC}" keepAlive="1" name="Query - drive-download-20240415T144529Z-001" description="Connection to the 'drive-download-20240415T144529Z-001' query in the workbook." type="5" refreshedVersion="8" background="1" saveData="1">
    <dbPr connection="Provider=Microsoft.Mashup.OleDb.1;Data Source=$Workbook$;Location=drive-download-20240415T144529Z-001;Extended Properties=&quot;&quot;" command="SELECT * FROM [drive-download-20240415T144529Z-001]"/>
  </connection>
  <connection id="3" xr16:uid="{33E7CB0F-FB58-45E5-9BBA-EA440BF9CF4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018177CE-E06B-48DD-959A-4D7D6C14BB32}"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5" xr16:uid="{8F453246-6EF9-4295-89CC-40D01C4430B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968E6AEC-D0EC-48A2-B8EB-DC1469890390}"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7" xr16:uid="{C91D9160-F15F-4F7E-80B3-7441268EB313}" keepAlive="1" name="Query - temp1" description="Connection to the 'temp1' query in the workbook." type="5" refreshedVersion="8" background="1" saveData="1">
    <dbPr connection="Provider=Microsoft.Mashup.OleDb.1;Data Source=$Workbook$;Location=temp1;Extended Properties=&quot;&quot;" command="SELECT * FROM [temp1]"/>
  </connection>
  <connection id="8" xr16:uid="{A4FCC820-6E3E-4114-8FDB-C6DC0B4A8665}" keepAlive="1" name="Query - temp10" description="Connection to the 'temp10' query in the workbook." type="5" refreshedVersion="8" background="1" saveData="1">
    <dbPr connection="Provider=Microsoft.Mashup.OleDb.1;Data Source=$Workbook$;Location=temp10;Extended Properties=&quot;&quot;" command="SELECT * FROM [temp10]"/>
  </connection>
  <connection id="9" xr16:uid="{4EFF01A4-8757-4977-9A0D-BC8431B5EF7A}" keepAlive="1" name="Query - temp11" description="Connection to the 'temp11' query in the workbook." type="5" refreshedVersion="8" background="1" saveData="1">
    <dbPr connection="Provider=Microsoft.Mashup.OleDb.1;Data Source=$Workbook$;Location=temp11;Extended Properties=&quot;&quot;" command="SELECT * FROM [temp11]"/>
  </connection>
  <connection id="10" xr16:uid="{B810FC98-2471-4C61-BA57-2DEE63D6A1EA}" keepAlive="1" name="Query - temp12" description="Connection to the 'temp12' query in the workbook." type="5" refreshedVersion="8" background="1" saveData="1">
    <dbPr connection="Provider=Microsoft.Mashup.OleDb.1;Data Source=$Workbook$;Location=temp12;Extended Properties=&quot;&quot;" command="SELECT * FROM [temp12]"/>
  </connection>
  <connection id="11" xr16:uid="{5745633D-6680-41EE-8BCB-575A23981263}" keepAlive="1" name="Query - temp13" description="Connection to the 'temp13' query in the workbook." type="5" refreshedVersion="8" background="1" saveData="1">
    <dbPr connection="Provider=Microsoft.Mashup.OleDb.1;Data Source=$Workbook$;Location=temp13;Extended Properties=&quot;&quot;" command="SELECT * FROM [temp13]"/>
  </connection>
  <connection id="12" xr16:uid="{496E54C8-F79C-4DF5-8845-0B3CC9735422}" keepAlive="1" name="Query - temp14" description="Connection to the 'temp14' query in the workbook." type="5" refreshedVersion="8" background="1" saveData="1">
    <dbPr connection="Provider=Microsoft.Mashup.OleDb.1;Data Source=$Workbook$;Location=temp14;Extended Properties=&quot;&quot;" command="SELECT * FROM [temp14]"/>
  </connection>
  <connection id="13" xr16:uid="{FC6460A2-4DC7-4ABA-8429-8FDB5690C207}" keepAlive="1" name="Query - temp15" description="Connection to the 'temp15' query in the workbook." type="5" refreshedVersion="8" background="1" saveData="1">
    <dbPr connection="Provider=Microsoft.Mashup.OleDb.1;Data Source=$Workbook$;Location=temp15;Extended Properties=&quot;&quot;" command="SELECT * FROM [temp15]"/>
  </connection>
  <connection id="14" xr16:uid="{BFB5999E-FBDC-49A4-95AA-35B604A12BA5}" keepAlive="1" name="Query - temp16" description="Connection to the 'temp16' query in the workbook." type="5" refreshedVersion="8" background="1" saveData="1">
    <dbPr connection="Provider=Microsoft.Mashup.OleDb.1;Data Source=$Workbook$;Location=temp16;Extended Properties=&quot;&quot;" command="SELECT * FROM [temp16]"/>
  </connection>
  <connection id="15" xr16:uid="{E0EB8570-0984-474F-9636-AFD6C89D734B}" keepAlive="1" name="Query - temp17" description="Connection to the 'temp17' query in the workbook." type="5" refreshedVersion="8" background="1" saveData="1">
    <dbPr connection="Provider=Microsoft.Mashup.OleDb.1;Data Source=$Workbook$;Location=temp17;Extended Properties=&quot;&quot;" command="SELECT * FROM [temp17]"/>
  </connection>
  <connection id="16" xr16:uid="{3E9C7C58-1FDF-4F1D-98BC-D8D80D10F728}" keepAlive="1" name="Query - temp18" description="Connection to the 'temp18' query in the workbook." type="5" refreshedVersion="8" background="1" saveData="1">
    <dbPr connection="Provider=Microsoft.Mashup.OleDb.1;Data Source=$Workbook$;Location=temp18;Extended Properties=&quot;&quot;" command="SELECT * FROM [temp18]"/>
  </connection>
  <connection id="17" xr16:uid="{E434C74D-1BE7-495C-94F7-F898749406FD}" keepAlive="1" name="Query - temp19" description="Connection to the 'temp19' query in the workbook." type="5" refreshedVersion="8" background="1" saveData="1">
    <dbPr connection="Provider=Microsoft.Mashup.OleDb.1;Data Source=$Workbook$;Location=temp19;Extended Properties=&quot;&quot;" command="SELECT * FROM [temp19]"/>
  </connection>
  <connection id="18" xr16:uid="{0280D22E-587F-4C6A-974D-FDA5EDD19FFA}" keepAlive="1" name="Query - temp2" description="Connection to the 'temp2' query in the workbook." type="5" refreshedVersion="8" background="1" saveData="1">
    <dbPr connection="Provider=Microsoft.Mashup.OleDb.1;Data Source=$Workbook$;Location=temp2;Extended Properties=&quot;&quot;" command="SELECT * FROM [temp2]"/>
  </connection>
  <connection id="19" xr16:uid="{41517198-A886-4A62-B11F-09070B59D381}" keepAlive="1" name="Query - temp20" description="Connection to the 'temp20' query in the workbook." type="5" refreshedVersion="8" background="1" saveData="1">
    <dbPr connection="Provider=Microsoft.Mashup.OleDb.1;Data Source=$Workbook$;Location=temp20;Extended Properties=&quot;&quot;" command="SELECT * FROM [temp20]"/>
  </connection>
  <connection id="20" xr16:uid="{7BBA9022-CD79-4C19-ABB4-B5B38310967B}" keepAlive="1" name="Query - temp21" description="Connection to the 'temp21' query in the workbook." type="5" refreshedVersion="8" background="1" saveData="1">
    <dbPr connection="Provider=Microsoft.Mashup.OleDb.1;Data Source=$Workbook$;Location=temp21;Extended Properties=&quot;&quot;" command="SELECT * FROM [temp21]"/>
  </connection>
  <connection id="21" xr16:uid="{5A9F752B-83CF-4E40-8C78-4C35D12E8FE5}" keepAlive="1" name="Query - temp22" description="Connection to the 'temp22' query in the workbook." type="5" refreshedVersion="8" background="1" saveData="1">
    <dbPr connection="Provider=Microsoft.Mashup.OleDb.1;Data Source=$Workbook$;Location=temp22;Extended Properties=&quot;&quot;" command="SELECT * FROM [temp22]"/>
  </connection>
  <connection id="22" xr16:uid="{B57A32DB-A042-43E8-82B3-B6E648CBFF00}" keepAlive="1" name="Query - temp23" description="Connection to the 'temp23' query in the workbook." type="5" refreshedVersion="8" background="1" saveData="1">
    <dbPr connection="Provider=Microsoft.Mashup.OleDb.1;Data Source=$Workbook$;Location=temp23;Extended Properties=&quot;&quot;" command="SELECT * FROM [temp23]"/>
  </connection>
  <connection id="23" xr16:uid="{1D9B2257-19D8-40D9-A500-CD9FDD0CDA6A}" keepAlive="1" name="Query - temp24" description="Connection to the 'temp24' query in the workbook." type="5" refreshedVersion="8" background="1" saveData="1">
    <dbPr connection="Provider=Microsoft.Mashup.OleDb.1;Data Source=$Workbook$;Location=temp24;Extended Properties=&quot;&quot;" command="SELECT * FROM [temp24]"/>
  </connection>
  <connection id="24" xr16:uid="{E219D5CD-2032-4593-98FE-2AD603DC31D2}" keepAlive="1" name="Query - temp3" description="Connection to the 'temp3' query in the workbook." type="5" refreshedVersion="8" background="1" saveData="1">
    <dbPr connection="Provider=Microsoft.Mashup.OleDb.1;Data Source=$Workbook$;Location=temp3;Extended Properties=&quot;&quot;" command="SELECT * FROM [temp3]"/>
  </connection>
  <connection id="25" xr16:uid="{0D45C462-BB9B-4750-BC49-8B34EAEACA3E}" keepAlive="1" name="Query - temp4" description="Connection to the 'temp4' query in the workbook." type="5" refreshedVersion="8" background="1" saveData="1">
    <dbPr connection="Provider=Microsoft.Mashup.OleDb.1;Data Source=$Workbook$;Location=temp4;Extended Properties=&quot;&quot;" command="SELECT * FROM [temp4]"/>
  </connection>
  <connection id="26" xr16:uid="{15B72D84-F098-4C43-BC8C-816E5A6F7305}" keepAlive="1" name="Query - temp5" description="Connection to the 'temp5' query in the workbook." type="5" refreshedVersion="8" background="1" saveData="1">
    <dbPr connection="Provider=Microsoft.Mashup.OleDb.1;Data Source=$Workbook$;Location=temp5;Extended Properties=&quot;&quot;" command="SELECT * FROM [temp5]"/>
  </connection>
  <connection id="27" xr16:uid="{8A50D7CF-E3B9-41AE-A3AB-1D891C772B85}" keepAlive="1" name="Query - temp6" description="Connection to the 'temp6' query in the workbook." type="5" refreshedVersion="8" background="1" saveData="1">
    <dbPr connection="Provider=Microsoft.Mashup.OleDb.1;Data Source=$Workbook$;Location=temp6;Extended Properties=&quot;&quot;" command="SELECT * FROM [temp6]"/>
  </connection>
  <connection id="28" xr16:uid="{C4B5A0EC-56D0-4CEF-9EB7-A3EF5F6EB98D}" keepAlive="1" name="Query - temp7" description="Connection to the 'temp7' query in the workbook." type="5" refreshedVersion="8" background="1" saveData="1">
    <dbPr connection="Provider=Microsoft.Mashup.OleDb.1;Data Source=$Workbook$;Location=temp7;Extended Properties=&quot;&quot;" command="SELECT * FROM [temp7]"/>
  </connection>
  <connection id="29" xr16:uid="{D55FAC44-3E90-4B21-9828-17C1FD598582}" keepAlive="1" name="Query - temp8" description="Connection to the 'temp8' query in the workbook." type="5" refreshedVersion="8" background="1" saveData="1">
    <dbPr connection="Provider=Microsoft.Mashup.OleDb.1;Data Source=$Workbook$;Location=temp8;Extended Properties=&quot;&quot;" command="SELECT * FROM [temp8]"/>
  </connection>
  <connection id="30" xr16:uid="{567FD6A4-3788-481D-9BE4-5AEA712531EE}" keepAlive="1" name="Query - temp9" description="Connection to the 'temp9' query in the workbook." type="5" refreshedVersion="8" background="1" saveData="1">
    <dbPr connection="Provider=Microsoft.Mashup.OleDb.1;Data Source=$Workbook$;Location=temp9;Extended Properties=&quot;&quot;" command="SELECT * FROM [temp9]"/>
  </connection>
  <connection id="31" xr16:uid="{0B667CD0-738D-4AAC-86F6-7ACD7D2D436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32" xr16:uid="{183346F7-326F-4E09-BD23-708781B282F4}"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33" xr16:uid="{20AD5175-BB3B-4360-82B9-9C64E17B46E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34" xr16:uid="{ED7A38EA-6EA7-42BC-BFBA-F54839F185DD}"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<sst xmlns="http://schemas.openxmlformats.org/spreadsheetml/2006/main" count="2119" uniqueCount="309">
  <si>
    <t>Column1</t>
  </si>
  <si>
    <t>Column2</t>
  </si>
  <si>
    <t>Column3</t>
  </si>
  <si>
    <t>Column4</t>
  </si>
  <si>
    <t>Column5</t>
  </si>
  <si>
    <t>Column6</t>
  </si>
  <si>
    <t>Column7</t>
  </si>
  <si>
    <t>Column8</t>
  </si>
  <si>
    <t>Column9</t>
  </si>
  <si>
    <t>Column10</t>
  </si>
  <si>
    <t>Column11</t>
  </si>
  <si>
    <t>Column12</t>
  </si>
  <si>
    <t>Average</t>
  </si>
  <si>
    <t>Source.Name</t>
  </si>
  <si>
    <t>temp1.txt</t>
  </si>
  <si>
    <t>temp10.txt</t>
  </si>
  <si>
    <t>temp11.txt</t>
  </si>
  <si>
    <t>temp12.txt</t>
  </si>
  <si>
    <t>temp13.txt</t>
  </si>
  <si>
    <t>temp14.txt</t>
  </si>
  <si>
    <t>temp15.txt</t>
  </si>
  <si>
    <t>temp16.txt</t>
  </si>
  <si>
    <t>temp17.txt</t>
  </si>
  <si>
    <t>temp18.txt</t>
  </si>
  <si>
    <t>temp19.txt</t>
  </si>
  <si>
    <t>temp2.txt</t>
  </si>
  <si>
    <t>temp20.txt</t>
  </si>
  <si>
    <t>temp21.txt</t>
  </si>
  <si>
    <t>temp22.txt</t>
  </si>
  <si>
    <t>temp23.txt</t>
  </si>
  <si>
    <t>temp24.txt</t>
  </si>
  <si>
    <t>temp3.txt</t>
  </si>
  <si>
    <t>temp4.txt</t>
  </si>
  <si>
    <t>temp5.txt</t>
  </si>
  <si>
    <t>temp6.txt</t>
  </si>
  <si>
    <t>temp7.txt</t>
  </si>
  <si>
    <t>temp8.txt</t>
  </si>
  <si>
    <t>temp9.txt</t>
  </si>
  <si>
    <t>NewFile1 - Alfred Emsenhuber (Fredi100).txt</t>
  </si>
  <si>
    <t>NewFile1 - Botond Nemeth.txt</t>
  </si>
  <si>
    <t>NewFile1 - Christoph Draxler.txt</t>
  </si>
  <si>
    <t>NewFile1 - D S.txt</t>
  </si>
  <si>
    <t>NewFile1 - filip.o@gmx.at.txt</t>
  </si>
  <si>
    <t>NewFile1 - Hans Peter(1).txt</t>
  </si>
  <si>
    <t>NewFile1 - Hans Peter(2).txt</t>
  </si>
  <si>
    <t>NewFile1 - Hans Peter(3).txt</t>
  </si>
  <si>
    <t>NewFile1 - Hans Peter.txt</t>
  </si>
  <si>
    <t>NewFile1 - Julian Zeilinger.txt</t>
  </si>
  <si>
    <t>NewFile1 - Lado J.txt</t>
  </si>
  <si>
    <t>NewFile1 - Laurenz Larcher.txt</t>
  </si>
  <si>
    <t>NewFile1 - Make “Schiggy” Love.txt</t>
  </si>
  <si>
    <t>NewFile1 - Oli Steidl.txt</t>
  </si>
  <si>
    <t>NewFile1 - Philip Ewert.txt</t>
  </si>
  <si>
    <t>NewFile1 - Philipp.txt</t>
  </si>
  <si>
    <t>NewFile1 - PowerSlaveAlfons.txt</t>
  </si>
  <si>
    <t>NewFile1 - Samuel Seiser.txt</t>
  </si>
  <si>
    <t>NewFile1 - Viktor Szuesz.txt</t>
  </si>
  <si>
    <t>Zeitstempel</t>
  </si>
  <si>
    <t>Laden sie hier die generierte Datei aus dem Spiel hoch</t>
  </si>
  <si>
    <t>Wie viel Erfahrung haben Sie in Souls-like spielen?</t>
  </si>
  <si>
    <t>Welche anderen Arten von Videospielen spielen Sie?</t>
  </si>
  <si>
    <t>Welche Aspekte der Soulslike-Spiele machen Ihnen am meisten Spaß?</t>
  </si>
  <si>
    <t>Gibt es bestimmte Features oder Mechaniken, die Ihnen in Soulslike-Spielen nicht gefallen?</t>
  </si>
  <si>
    <t>Wie würden Sie den Schwierigkeitsgrad des Soulslike-Genres im Vergleich zu anderen Arten von Videospielen einschätzen?</t>
  </si>
  <si>
    <t>Was motiviert Sie, Soulslike-Spiele zu spielen?</t>
  </si>
  <si>
    <t>Haben Sie Spaß daran, herausfordernde Hindernisse in Videospielen zu überwinden?</t>
  </si>
  <si>
    <t>Neigen Sie dazu, Pausen einzulegen, wenn sie frustriert sind, oder ziehen sie es vor, durchzuhalten, bis sie die Herausforderung überwunden haben?</t>
  </si>
  <si>
    <t>Würden Sie gerne mehr Optionen zum Anpassen des Schwierigkeitsgrads in Soulslike-Spielen sehen?</t>
  </si>
  <si>
    <t>Welche ist Ihre Spieleplattform der Wahl?</t>
  </si>
  <si>
    <t>Wie Alt sind Sie?</t>
  </si>
  <si>
    <t>Welcher Test hatte den höchsten Frustrationsgrad?</t>
  </si>
  <si>
    <t>Gibt es bestimmte Mechaniken oder Features im Prototyp, die Ihnen besonders frustrierend vorgekommen sind?</t>
  </si>
  <si>
    <t>Gab es bei den Tests etwas das Ihnen besonders gefallen hat?</t>
  </si>
  <si>
    <t>Haben Sie irgendwelche Vorschläge, um das Spielerlebnis im Prototyp zu verbessern?</t>
  </si>
  <si>
    <t>Auf einer Skala von 1 bis 10, wie zufrieden sind Sie mit dem Spielerlebnis im Prototyp?</t>
  </si>
  <si>
    <t>Zusätzliches Feedback</t>
  </si>
  <si>
    <t>Viel</t>
  </si>
  <si>
    <t>Shooter, Racing Games</t>
  </si>
  <si>
    <t>Das Combat, die Athmosphäre und die gut gemachten Bossfights</t>
  </si>
  <si>
    <t>Das laufen zum Boss</t>
  </si>
  <si>
    <t>schwieriger</t>
  </si>
  <si>
    <t>Die Herausvorderung und das bewusst sein müssen eines jedes angriffes</t>
  </si>
  <si>
    <t>Ja</t>
  </si>
  <si>
    <t>Pausen einlegen</t>
  </si>
  <si>
    <t>Nein</t>
  </si>
  <si>
    <t>PC</t>
  </si>
  <si>
    <t>26-30</t>
  </si>
  <si>
    <t>Gegner hat viel Leben</t>
  </si>
  <si>
    <t>Das Rollen</t>
  </si>
  <si>
    <t>Die Angriffe des Spielers</t>
  </si>
  <si>
    <t>Rollen fixen, das laufen vom Boss anpassen das es nicht glitched, mehr behaviour</t>
  </si>
  <si>
    <t>Etwas</t>
  </si>
  <si>
    <t>Strategie</t>
  </si>
  <si>
    <t>das Ausweichen und attackieren</t>
  </si>
  <si>
    <t>Schwierigkeitsgrad von manchen Bossen</t>
  </si>
  <si>
    <t>Ästhetik und Story</t>
  </si>
  <si>
    <t>Manchmal</t>
  </si>
  <si>
    <t>Durchziehen</t>
  </si>
  <si>
    <t>Nintendo Consolen</t>
  </si>
  <si>
    <t>19-25</t>
  </si>
  <si>
    <t>Spieler hat wenig Leben</t>
  </si>
  <si>
    <t>Kamera</t>
  </si>
  <si>
    <t>Parieren</t>
  </si>
  <si>
    <t>Kamera verbessern und vielleicht das Ausweichen</t>
  </si>
  <si>
    <t>Mostly: Rouge-like, OpenWorld, Shooter, Building Games like Minecraft/Animal Crossing</t>
  </si>
  <si>
    <t>Wenn ich mir klar ist das ich nicht wegen den game versage oder aauf es sauer bin sondern auf mich wegen meinem Versagen.</t>
  </si>
  <si>
    <t>Zu lange Wiederholende Gegner und wenn ich durch die Umgebung Schaden nehme den ich egal was ich mache nicht ausweichen kann, aber nur bei Umgebungen nicht Gegnern.</t>
  </si>
  <si>
    <t>Soulslikes sind dafür gemacht mich zu quelen und meine Gedult aufs spiel zu setzen, in einem Ausmaße das bei anderen Games nie der Fall ist bzw nicht verglichen werden kann.</t>
  </si>
  <si>
    <t>Die Herausvorderung meine Können verbessern zu MÜSSEN.</t>
  </si>
  <si>
    <t>Das mein Mose Curser nicht am Game gefixt war und es gab keine Musik.</t>
  </si>
  <si>
    <t>AM MEISTEN: Ich liebe es dass man währen dem gehen sich healen kann. Da es auch nicht OP ist in diesem Prototypen.
Dass das Spieler AttackWindow auf 2 Attacken beschränkt war. Also nachdem der Gegner angegriffen hatte es immer Zeit für im Durchschnitt 2 Attacken gab. Da dies bei JEDEM Rouge,Soulslike das ich je gespielt habe der Fall ist und es mich sehr immersed hat.</t>
  </si>
  <si>
    <t>Musik dazu tun. Mouse muss im Game sein, am Anfang hätte ich gesagt die Sensitivity muss besser sein aber es geht auch mit dem Q Gegnerlock wenn man die Rückspring Mechanik nicht benutzt oder gleich entfernt.</t>
  </si>
  <si>
    <t>RPG, Open-World, Sport, Shooter</t>
  </si>
  <si>
    <t>Gameplay, Erkundung</t>
  </si>
  <si>
    <t>Ausdauer(-Anzeige)</t>
  </si>
  <si>
    <t>viel schwieriger</t>
  </si>
  <si>
    <t>Trotz</t>
  </si>
  <si>
    <t>Gegner heilt sich</t>
  </si>
  <si>
    <t>Keine klaren Damagezones bei Spieler und Gegner</t>
  </si>
  <si>
    <t>Gameplay-Varianz, Kampfarena, Boss-Design (und Name)</t>
  </si>
  <si>
    <t>Controller-Kompatibilität</t>
  </si>
  <si>
    <t>Wenig</t>
  </si>
  <si>
    <t>FPS (large-scale, sandboxy); city-building games; cooperative survival horror games</t>
  </si>
  <si>
    <t>Story und World-Building</t>
  </si>
  <si>
    <t>Die etwas lange Anreise zu Bossen, nachdem man gegen sie verliert.</t>
  </si>
  <si>
    <t>Am ehesten Story und World-Building, zurzeit aber bin ich nicht von Soulslike-Spielen angezogen.</t>
  </si>
  <si>
    <t>Gegner ist sehr klein</t>
  </si>
  <si>
    <t>Zielen/sich drehen über Mausbewegung fast nicht vorhanden bzw. extrem entkoppelt. Letztendlich auf Maussteuerung verzichtet und nur Fokussieren mit "Q" verwendet.</t>
  </si>
  <si>
    <t>Animation vom eigenen Charakter und vom Gegner.</t>
  </si>
  <si>
    <t>Zielen/sich drehen über Mausbewegung.</t>
  </si>
  <si>
    <t>Keine</t>
  </si>
  <si>
    <t>Strategie, 4X, Aufbau</t>
  </si>
  <si>
    <t>Grind... 100 mal versuchen - verzweifeln, Bruder um Hilfe fragen - verzweifeln, Mama um Hilfe fragen - weinen. Und dann auf 10 Redbull und Schnee reinschwitzen mit dem most satisfying win</t>
  </si>
  <si>
    <t>zu einfache Gegner, Bugs, unnötige Nerfs des Spielers um zwanghaft einen Boss schwerer zu machen</t>
  </si>
  <si>
    <t>Depressionen</t>
  </si>
  <si>
    <t>Good luck mit Rayman auf MsDOS, wurde nie gestestet, Jump n run und das schwerste Spiel ever.</t>
  </si>
  <si>
    <t>Siehe Doom. es gibt baby mode, easy, schwer (standard), nightmare und ultra nightmare</t>
  </si>
  <si>
    <t>wenn der Gegner keinen dmg macht</t>
  </si>
  <si>
    <t>es gibt eine Meta</t>
  </si>
  <si>
    <t>Female Character mods. mehr verschiedene Bosse und Angriffe. verschiedene Waffentypen, Blocken muss gebuffed werden</t>
  </si>
  <si>
    <t>YEET</t>
  </si>
  <si>
    <t>FPS, Singleplayer (Star Wars: Jedi), Horror, Rocket League</t>
  </si>
  <si>
    <t>Die Timing Fenster beim Blocken/Ausweichen zu perfektionieren. Am besten, wenn es noch kleine Visual- oder Audio-Keys gibt. Mehrere Phasen in einem Kampf sind auch gut.</t>
  </si>
  <si>
    <t>Bosse, die einen One-hitten. Und noch dazu, wenn sie viel Leben haben.</t>
  </si>
  <si>
    <t>Die Challenge</t>
  </si>
  <si>
    <t>Gegner macht viel Schaden</t>
  </si>
  <si>
    <t>Auch wenn das Spiel viele FPS hat wirkt es etwas ruckelnd, als ob die Kamera oder die Umgebung zu wenige Update Ticks hat beim Rotieren der Kamera.</t>
  </si>
  <si>
    <t>Gute Animationen, mehrere Möglichkeiten zum Ausweichen.</t>
  </si>
  <si>
    <t>Abgesehen von Bug Fixes, Character Design Choices oder Waffenauswahl.</t>
  </si>
  <si>
    <t>Nya</t>
  </si>
  <si>
    <t>RPG, Strategie, Simulation, Rocket-League-like, Coop-Shooter, Aufbau</t>
  </si>
  <si>
    <t>wenn ein Gegner verreckt</t>
  </si>
  <si>
    <t>repetetiv</t>
  </si>
  <si>
    <t>nichts</t>
  </si>
  <si>
    <t>Lags, grässliche Steuerung, buggy Mausumsicht</t>
  </si>
  <si>
    <t>den Gegner aus die Map zu glitchen</t>
  </si>
  <si>
    <t>bugfixes, custom Steuerung, bessere Performance</t>
  </si>
  <si>
    <t>Game of the Year 2024</t>
  </si>
  <si>
    <t>MMORPGs, FPS, Platformer</t>
  </si>
  <si>
    <t>Combat Variety (Waffen, Moves, etc.)</t>
  </si>
  <si>
    <t>Wenn Bosskämpfe nicht schnell wiederholt werden können (lange Runs zur Arena)</t>
  </si>
  <si>
    <t>Sich im Kampf gegen Bosse zu "proven"</t>
  </si>
  <si>
    <t>Starke size differences</t>
  </si>
  <si>
    <t>Halbwegs konsistente Kämpfe (selber Core Boss), macht Spaß, wenn man in den Rhytmus kommt</t>
  </si>
  <si>
    <t>Mehr Moves vom Boss!</t>
  </si>
  <si>
    <t>FPS, Rogue-like, Dungeon Crawler</t>
  </si>
  <si>
    <t>Nix besonderes</t>
  </si>
  <si>
    <t>In Bloodborne die heilmechanik</t>
  </si>
  <si>
    <t>Die Herausforderung</t>
  </si>
  <si>
    <t>Attackenanimation reflektieren manchmal nicht den Input von Hitbox</t>
  </si>
  <si>
    <t>Die Variation</t>
  </si>
  <si>
    <t>Mach heller</t>
  </si>
  <si>
    <t>Good gaem :)</t>
  </si>
  <si>
    <t>Handyspilele</t>
  </si>
  <si>
    <t>open world</t>
  </si>
  <si>
    <t>kämpfen</t>
  </si>
  <si>
    <t>landschaft</t>
  </si>
  <si>
    <t>Spieler ist sehr klein</t>
  </si>
  <si>
    <t>nein</t>
  </si>
  <si>
    <t>ja, die Spielfiguren</t>
  </si>
  <si>
    <t>mehr Landschaften</t>
  </si>
  <si>
    <t>alles super</t>
  </si>
  <si>
    <t>keine</t>
  </si>
  <si>
    <t>kann angriffe nicht abbrechen</t>
  </si>
  <si>
    <t>die wissenschaft</t>
  </si>
  <si>
    <t>aufhören</t>
  </si>
  <si>
    <t>30+</t>
  </si>
  <si>
    <t>Spieler ist sehr groß</t>
  </si>
  <si>
    <t>wenn der spieler sehr langsam ist</t>
  </si>
  <si>
    <t>der Pirouetten-Angriff</t>
  </si>
  <si>
    <t>coole Sache</t>
  </si>
  <si>
    <t>Alle möglichen</t>
  </si>
  <si>
    <t>Boss-Kämpfe</t>
  </si>
  <si>
    <t>Bonfires</t>
  </si>
  <si>
    <t>Bossfights, fun</t>
  </si>
  <si>
    <t>Stamina auf Standard-Speed is generell ein bisschen zu langsam.</t>
  </si>
  <si>
    <t>Die Basics vom Combat ... stimmen einfach. Es ist alles da.</t>
  </si>
  <si>
    <t>Mehr Licht.</t>
  </si>
  <si>
    <t>Good Job für den Combat!</t>
  </si>
  <si>
    <t>Assasins Creed, Last Of Us, Spider Man, RDR-2 etc.</t>
  </si>
  <si>
    <t>Kommt auf das Spiel an. Immer recht unterschiedlich, aber eher durchziehen.</t>
  </si>
  <si>
    <t>Habe nicht wirklich genug Erfahrung mit dieser Art von Spielen.</t>
  </si>
  <si>
    <t>Playstation</t>
  </si>
  <si>
    <t>Gegner hat hohe Angriffsgeschwindigkeit</t>
  </si>
  <si>
    <t>Springen des Gegners, Wenig Schaden bei starken Angriffen</t>
  </si>
  <si>
    <t>Versteckmöglichkeiten</t>
  </si>
  <si>
    <t>Schön gemacht, viel Erfolg!</t>
  </si>
  <si>
    <t>Alle</t>
  </si>
  <si>
    <t>Parry, Progression</t>
  </si>
  <si>
    <t>Gift, Sumpflevel, Ganking</t>
  </si>
  <si>
    <t>Besser zu sein (Git-Gud)</t>
  </si>
  <si>
    <t>Optionen sind immer nice, aber ich verstehe, wenn eine Intention exitiert.</t>
  </si>
  <si>
    <t>Wenn sich ein Angriff nicht unterscheidet, dann sollte der Schaden auch der selbe sein. Nur wenn irgendwie telegraphed wird, dass der nächste Angriff jetzt mehr oder weniger Schaden macht is es okay. Aber die selbe Angriffsanimation sollte nicht unterschiedlich Schaden machen können ohne eine Begründung innerhalb des Spiels mit einer Mechanik.</t>
  </si>
  <si>
    <t>Parrying hat sich eigentlich sehr gut angefühlt (Abgesehen von den Bugs die hin und wieder aufgetreten sind)</t>
  </si>
  <si>
    <t>Die derzeit vorhandenen Bugs haben das Spielerlebnis sehr stark beeinflusst, was es schwierig gestaltet hat, die einzelnen Gegner objektiv zu bewerten. Abgesehen davon könnte man die Verschiedenen Animationen etwas besser tweaken um es zum Beispiel zu ermöglichen nach einem Parry eine Angriffskombo rauszukriegen, bevor der Gegner wieder angreift.</t>
  </si>
  <si>
    <t>Mit mehr Zeit könnte daraus ein actually Interessanter Prototyp werden, aber mit den Bugs und dem fehlenden polish wird das Spielerlebnis schon sehr stark getrübt.</t>
  </si>
  <si>
    <t>Spiele so ziemlich jede Art von Videospielen</t>
  </si>
  <si>
    <t>Erkunden</t>
  </si>
  <si>
    <t>zu langsame kämpfe, allgemein das Kampf-Gefühl (träge)</t>
  </si>
  <si>
    <t>Leider gar nichts, habe es mehrmals versucht. Werde mit dem Genre nicht warm</t>
  </si>
  <si>
    <t>Spieler hat langsame Beweggeschwindigkeit</t>
  </si>
  <si>
    <t>Parieren mit dem Schild</t>
  </si>
  <si>
    <t>Bewegung des Charakters (W,A,S,D)</t>
  </si>
  <si>
    <t>Steuerungslayout im Pause Menü anzeigen</t>
  </si>
  <si>
    <t>RTS, Aufbau-Strategie, Runden-Strategie, Singleplayer-Story, Racing</t>
  </si>
  <si>
    <t>Besiegen von Bossen indem man als Spieler besser wird und nicht indem man tolle Waffen oder Buffs erhält.</t>
  </si>
  <si>
    <t>Lange Laufwege bei jedem Boss Try, Wenn die Healing-Items Consumables sind welcheman farmen muss (looking at you Deamon's Souls!)</t>
  </si>
  <si>
    <t>Es ist motivierend, wenn der eigene Skill besser wird und man seiner Frustation trotzen kann.</t>
  </si>
  <si>
    <t>Gegner hat starke Varianz im Schaden</t>
  </si>
  <si>
    <t>Steuerung war etwas clunky. Es gab oft den Moment, wo Boss und Avatar ineinander geglitched sind und nicht mehr lösen konnten.</t>
  </si>
  <si>
    <t>Dass man Parry spammen konnte, hat die Kämpfe sehr viel einfacher und schaffbarer gemacht.</t>
  </si>
  <si>
    <t>Input-Queue, Animation-Blending, Mehr Treffer-Feedback sowohl für Boss als auch Avatar</t>
  </si>
  <si>
    <t>alle</t>
  </si>
  <si>
    <t>timing</t>
  </si>
  <si>
    <t>zum boss laufen</t>
  </si>
  <si>
    <t>herausforderung</t>
  </si>
  <si>
    <t>stecken im gegner, animation blends fehlen, mehr variaty in attacks und models</t>
  </si>
  <si>
    <t>das es funktioniert hat</t>
  </si>
  <si>
    <t>ganz nett</t>
  </si>
  <si>
    <t>hans peter</t>
  </si>
  <si>
    <t>ds</t>
  </si>
  <si>
    <t>lado j</t>
  </si>
  <si>
    <t>viktor</t>
  </si>
  <si>
    <t>botond</t>
  </si>
  <si>
    <t>cristoph</t>
  </si>
  <si>
    <t>laurenz</t>
  </si>
  <si>
    <t>samuel</t>
  </si>
  <si>
    <t>philipp</t>
  </si>
  <si>
    <t>shiggy</t>
  </si>
  <si>
    <t>oli</t>
  </si>
  <si>
    <t>hans peter 1</t>
  </si>
  <si>
    <t>powerslave alfons</t>
  </si>
  <si>
    <t>julian</t>
  </si>
  <si>
    <t>alfred</t>
  </si>
  <si>
    <t>filip</t>
  </si>
  <si>
    <t>philip ewert</t>
  </si>
  <si>
    <t>hans peter 2</t>
  </si>
  <si>
    <t>hans peter 3</t>
  </si>
  <si>
    <t>Erfahrung</t>
  </si>
  <si>
    <t>viel</t>
  </si>
  <si>
    <t>etwas</t>
  </si>
  <si>
    <t>wenig</t>
  </si>
  <si>
    <t>deaths</t>
  </si>
  <si>
    <t>testSkipped</t>
  </si>
  <si>
    <t>dodges</t>
  </si>
  <si>
    <t>sprints</t>
  </si>
  <si>
    <t>ttk</t>
  </si>
  <si>
    <t>damageTotal</t>
  </si>
  <si>
    <t>twoHanded</t>
  </si>
  <si>
    <t>lockOns</t>
  </si>
  <si>
    <t>consumables</t>
  </si>
  <si>
    <t>lightAttacks</t>
  </si>
  <si>
    <t>heavyAttacks</t>
  </si>
  <si>
    <t>frustlevel</t>
  </si>
  <si>
    <t>skipped</t>
  </si>
  <si>
    <t>sprintes</t>
  </si>
  <si>
    <t>damagetotal</t>
  </si>
  <si>
    <t>twohandend</t>
  </si>
  <si>
    <t>lockons</t>
  </si>
  <si>
    <t>consumeable</t>
  </si>
  <si>
    <t>light</t>
  </si>
  <si>
    <t>heavy</t>
  </si>
  <si>
    <t>Korelationskoeffizeint</t>
  </si>
  <si>
    <t>column</t>
  </si>
  <si>
    <t>–0.30. A weak negative (downhill sloping) linear relationship</t>
  </si>
  <si>
    <t>0. No linear relationship</t>
  </si>
  <si>
    <t>+0.30. A weak positive (upward sloping) linear relationship</t>
  </si>
  <si>
    <t>+0.50. A moderate positive (upward sloping) linear relationship</t>
  </si>
  <si>
    <t>Viktor</t>
  </si>
  <si>
    <t>Sam</t>
  </si>
  <si>
    <t>Alfons</t>
  </si>
  <si>
    <t>Philipp</t>
  </si>
  <si>
    <t>Philipp E</t>
  </si>
  <si>
    <t>Oli</t>
  </si>
  <si>
    <t>Shiggy</t>
  </si>
  <si>
    <t>Laurenz</t>
  </si>
  <si>
    <t>Lado</t>
  </si>
  <si>
    <t>Julian</t>
  </si>
  <si>
    <t>HP</t>
  </si>
  <si>
    <t>HP3</t>
  </si>
  <si>
    <t>HP2</t>
  </si>
  <si>
    <t>HP1</t>
  </si>
  <si>
    <t>Filip</t>
  </si>
  <si>
    <t>Dave</t>
  </si>
  <si>
    <t>Chris</t>
  </si>
  <si>
    <t>Botond</t>
  </si>
  <si>
    <t>Fredi</t>
  </si>
  <si>
    <t>Name</t>
  </si>
  <si>
    <t>R²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</si>
</sst>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2"/>
      <color rgb="FF1E1E1E"/>
      <name val="Segoe UI"/>
      <family val="2"/>
    </font>
    <font>
      <sz val="10"/>
      <color theme="1"/>
      <name val="JetBrains Mono"/>
      <family val="3"/>
    </font>
    <font>
      <b/>
      <sz val="11"/>
      <color theme="0"/>
      <name val="Aptos Narrow"/>
      <family val="2"/>
      <scheme val="minor"/>
    </font>
    <font>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22" fontId="0" fillId="0" borderId="0" xfId="0" applyNumberFormat="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2" borderId="1" xfId="0" applyFill="1" applyBorder="1"/>
    <xf numFmtId="0" fontId="0" fillId="2" borderId="2" xfId="0" applyFill="1" applyBorder="1"/>
    <xf numFmtId="0" fontId="0" fillId="2" borderId="3" xfId="0" applyFill="1" applyBorder="1"/>
    <xf numFmtId="0" fontId="1" fillId="0" borderId="0" xfId="0" applyFont="1"/>
    <xf numFmtId="0" fontId="1" fillId="2" borderId="4" xfId="0" applyFont="1" applyFill="1" applyBorder="1"/>
    <xf numFmtId="0" fontId="2" fillId="0" borderId="0" xfId="0" applyFont="1"/>
    <xf numFmtId="0" fontId="3" fillId="0" borderId="0" xfId="0" applyFont="1" applyAlignment="1">
      <alignment vertical="center"/>
    </xf>
    <xf numFmtId="0" fontId="0" fillId="0" borderId="5" xfId="0" applyBorder="1"/>
    <xf numFmtId="0" fontId="4" fillId="4" borderId="5" xfId="0" applyFont="1" applyFill="1" applyBorder="1"/>
    <xf numFmtId="0" fontId="5" fillId="0" borderId="0" xfId="0" applyFont="1"/>
    <xf numFmtId="0" fontId="3" fillId="3" borderId="5" xfId="0" applyFont="1" applyFill="1" applyBorder="1" applyAlignment="1">
      <alignment vertical="center"/>
    </xf>
    <xf numFmtId="0" fontId="3" fillId="0" borderId="5" xfId="0" applyFont="1" applyBorder="1" applyAlignment="1">
      <alignment vertical="center"/>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JetBrains Mono"/>
        <family val="3"/>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dxf>
    <dxf>
      <font>
        <b val="0"/>
        <i val="0"/>
        <strike val="0"/>
        <condense val="0"/>
        <extend val="0"/>
        <outline val="0"/>
        <shadow val="0"/>
        <u val="none"/>
        <vertAlign val="baseline"/>
        <sz val="10"/>
        <color theme="1"/>
        <name val="JetBrains Mono"/>
        <family val="3"/>
        <scheme val="none"/>
      </font>
      <alignment horizontal="general" vertical="center"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Main!$C$1</c:f>
              <c:strCache>
                <c:ptCount val="1"/>
                <c:pt idx="0">
                  <c:v>frustlevel</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406387403738749"/>
                  <c:y val="-1.4331902809079245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Main!$B$2:$B$506</c:f>
              <c:numCache>
                <c:formatCode>General</c:formatCode>
                <c:ptCount val="505"/>
                <c:pt idx="0">
                  <c:v>14</c:v>
                </c:pt>
                <c:pt idx="1">
                  <c:v>6</c:v>
                </c:pt>
                <c:pt idx="2">
                  <c:v>7</c:v>
                </c:pt>
                <c:pt idx="3">
                  <c:v>4</c:v>
                </c:pt>
                <c:pt idx="4">
                  <c:v>3</c:v>
                </c:pt>
                <c:pt idx="5">
                  <c:v>3</c:v>
                </c:pt>
                <c:pt idx="6">
                  <c:v>4</c:v>
                </c:pt>
                <c:pt idx="7">
                  <c:v>3</c:v>
                </c:pt>
                <c:pt idx="8">
                  <c:v>2</c:v>
                </c:pt>
                <c:pt idx="9">
                  <c:v>8</c:v>
                </c:pt>
                <c:pt idx="10">
                  <c:v>4</c:v>
                </c:pt>
                <c:pt idx="11">
                  <c:v>0</c:v>
                </c:pt>
                <c:pt idx="12">
                  <c:v>1</c:v>
                </c:pt>
                <c:pt idx="13">
                  <c:v>5</c:v>
                </c:pt>
                <c:pt idx="14">
                  <c:v>4</c:v>
                </c:pt>
                <c:pt idx="15">
                  <c:v>1</c:v>
                </c:pt>
                <c:pt idx="16">
                  <c:v>4</c:v>
                </c:pt>
                <c:pt idx="17">
                  <c:v>1</c:v>
                </c:pt>
                <c:pt idx="18">
                  <c:v>3</c:v>
                </c:pt>
                <c:pt idx="19">
                  <c:v>2</c:v>
                </c:pt>
                <c:pt idx="20">
                  <c:v>1</c:v>
                </c:pt>
                <c:pt idx="21">
                  <c:v>0</c:v>
                </c:pt>
                <c:pt idx="22">
                  <c:v>13</c:v>
                </c:pt>
                <c:pt idx="23">
                  <c:v>4</c:v>
                </c:pt>
                <c:pt idx="24">
                  <c:v>7</c:v>
                </c:pt>
                <c:pt idx="25">
                  <c:v>6</c:v>
                </c:pt>
                <c:pt idx="26">
                  <c:v>0</c:v>
                </c:pt>
                <c:pt idx="27">
                  <c:v>1</c:v>
                </c:pt>
                <c:pt idx="28">
                  <c:v>0</c:v>
                </c:pt>
                <c:pt idx="29">
                  <c:v>0</c:v>
                </c:pt>
                <c:pt idx="30">
                  <c:v>3</c:v>
                </c:pt>
                <c:pt idx="31">
                  <c:v>2</c:v>
                </c:pt>
                <c:pt idx="32">
                  <c:v>4</c:v>
                </c:pt>
                <c:pt idx="33">
                  <c:v>2</c:v>
                </c:pt>
                <c:pt idx="34">
                  <c:v>1</c:v>
                </c:pt>
                <c:pt idx="35">
                  <c:v>0</c:v>
                </c:pt>
                <c:pt idx="36">
                  <c:v>0</c:v>
                </c:pt>
                <c:pt idx="37">
                  <c:v>0</c:v>
                </c:pt>
                <c:pt idx="38">
                  <c:v>1</c:v>
                </c:pt>
                <c:pt idx="39">
                  <c:v>0</c:v>
                </c:pt>
                <c:pt idx="40">
                  <c:v>1</c:v>
                </c:pt>
                <c:pt idx="41">
                  <c:v>0</c:v>
                </c:pt>
                <c:pt idx="42">
                  <c:v>1</c:v>
                </c:pt>
                <c:pt idx="43">
                  <c:v>0</c:v>
                </c:pt>
                <c:pt idx="44">
                  <c:v>0</c:v>
                </c:pt>
                <c:pt idx="45">
                  <c:v>0</c:v>
                </c:pt>
                <c:pt idx="46">
                  <c:v>0</c:v>
                </c:pt>
                <c:pt idx="47">
                  <c:v>3</c:v>
                </c:pt>
                <c:pt idx="48">
                  <c:v>6</c:v>
                </c:pt>
                <c:pt idx="49">
                  <c:v>1</c:v>
                </c:pt>
                <c:pt idx="50">
                  <c:v>0</c:v>
                </c:pt>
                <c:pt idx="51">
                  <c:v>0</c:v>
                </c:pt>
                <c:pt idx="52">
                  <c:v>0</c:v>
                </c:pt>
                <c:pt idx="53">
                  <c:v>0</c:v>
                </c:pt>
                <c:pt idx="54">
                  <c:v>2</c:v>
                </c:pt>
                <c:pt idx="55">
                  <c:v>0</c:v>
                </c:pt>
                <c:pt idx="56">
                  <c:v>1</c:v>
                </c:pt>
                <c:pt idx="57">
                  <c:v>0</c:v>
                </c:pt>
                <c:pt idx="58">
                  <c:v>0</c:v>
                </c:pt>
                <c:pt idx="59">
                  <c:v>0</c:v>
                </c:pt>
                <c:pt idx="60">
                  <c:v>0</c:v>
                </c:pt>
                <c:pt idx="61">
                  <c:v>1</c:v>
                </c:pt>
                <c:pt idx="62">
                  <c:v>1</c:v>
                </c:pt>
                <c:pt idx="63">
                  <c:v>0</c:v>
                </c:pt>
                <c:pt idx="64">
                  <c:v>2</c:v>
                </c:pt>
                <c:pt idx="65">
                  <c:v>0</c:v>
                </c:pt>
                <c:pt idx="66">
                  <c:v>2</c:v>
                </c:pt>
                <c:pt idx="67">
                  <c:v>0</c:v>
                </c:pt>
                <c:pt idx="68">
                  <c:v>0</c:v>
                </c:pt>
                <c:pt idx="69">
                  <c:v>0</c:v>
                </c:pt>
                <c:pt idx="70">
                  <c:v>0</c:v>
                </c:pt>
                <c:pt idx="71">
                  <c:v>1</c:v>
                </c:pt>
                <c:pt idx="72">
                  <c:v>10</c:v>
                </c:pt>
                <c:pt idx="73">
                  <c:v>1</c:v>
                </c:pt>
                <c:pt idx="74">
                  <c:v>0</c:v>
                </c:pt>
                <c:pt idx="75">
                  <c:v>1</c:v>
                </c:pt>
                <c:pt idx="76">
                  <c:v>0</c:v>
                </c:pt>
                <c:pt idx="77">
                  <c:v>0</c:v>
                </c:pt>
                <c:pt idx="78">
                  <c:v>4</c:v>
                </c:pt>
                <c:pt idx="79">
                  <c:v>7</c:v>
                </c:pt>
                <c:pt idx="80">
                  <c:v>1</c:v>
                </c:pt>
                <c:pt idx="81">
                  <c:v>3</c:v>
                </c:pt>
                <c:pt idx="82">
                  <c:v>8</c:v>
                </c:pt>
                <c:pt idx="83">
                  <c:v>0</c:v>
                </c:pt>
                <c:pt idx="84">
                  <c:v>2</c:v>
                </c:pt>
                <c:pt idx="85">
                  <c:v>0</c:v>
                </c:pt>
                <c:pt idx="86">
                  <c:v>0</c:v>
                </c:pt>
                <c:pt idx="87">
                  <c:v>0</c:v>
                </c:pt>
                <c:pt idx="88">
                  <c:v>2</c:v>
                </c:pt>
                <c:pt idx="89">
                  <c:v>0</c:v>
                </c:pt>
                <c:pt idx="90">
                  <c:v>0</c:v>
                </c:pt>
                <c:pt idx="91">
                  <c:v>0</c:v>
                </c:pt>
                <c:pt idx="92">
                  <c:v>0</c:v>
                </c:pt>
                <c:pt idx="93">
                  <c:v>0</c:v>
                </c:pt>
                <c:pt idx="94">
                  <c:v>4</c:v>
                </c:pt>
                <c:pt idx="95">
                  <c:v>3</c:v>
                </c:pt>
                <c:pt idx="96">
                  <c:v>2</c:v>
                </c:pt>
                <c:pt idx="97">
                  <c:v>11</c:v>
                </c:pt>
                <c:pt idx="98">
                  <c:v>5</c:v>
                </c:pt>
                <c:pt idx="99">
                  <c:v>4</c:v>
                </c:pt>
                <c:pt idx="100">
                  <c:v>0</c:v>
                </c:pt>
                <c:pt idx="101">
                  <c:v>2</c:v>
                </c:pt>
                <c:pt idx="102">
                  <c:v>2</c:v>
                </c:pt>
                <c:pt idx="103">
                  <c:v>1</c:v>
                </c:pt>
                <c:pt idx="104">
                  <c:v>2</c:v>
                </c:pt>
                <c:pt idx="105">
                  <c:v>1</c:v>
                </c:pt>
                <c:pt idx="106">
                  <c:v>1</c:v>
                </c:pt>
                <c:pt idx="107">
                  <c:v>0</c:v>
                </c:pt>
                <c:pt idx="108">
                  <c:v>2</c:v>
                </c:pt>
                <c:pt idx="109">
                  <c:v>1</c:v>
                </c:pt>
                <c:pt idx="110">
                  <c:v>2</c:v>
                </c:pt>
                <c:pt idx="111">
                  <c:v>1</c:v>
                </c:pt>
                <c:pt idx="112">
                  <c:v>0</c:v>
                </c:pt>
                <c:pt idx="113">
                  <c:v>1</c:v>
                </c:pt>
                <c:pt idx="114">
                  <c:v>1</c:v>
                </c:pt>
                <c:pt idx="115">
                  <c:v>1</c:v>
                </c:pt>
                <c:pt idx="116">
                  <c:v>0</c:v>
                </c:pt>
                <c:pt idx="117">
                  <c:v>0</c:v>
                </c:pt>
                <c:pt idx="118">
                  <c:v>1</c:v>
                </c:pt>
                <c:pt idx="119">
                  <c:v>1</c:v>
                </c:pt>
                <c:pt idx="120">
                  <c:v>6</c:v>
                </c:pt>
                <c:pt idx="121">
                  <c:v>2</c:v>
                </c:pt>
                <c:pt idx="122">
                  <c:v>6</c:v>
                </c:pt>
                <c:pt idx="123">
                  <c:v>8</c:v>
                </c:pt>
                <c:pt idx="124">
                  <c:v>0</c:v>
                </c:pt>
                <c:pt idx="125">
                  <c:v>5</c:v>
                </c:pt>
                <c:pt idx="126">
                  <c:v>6</c:v>
                </c:pt>
                <c:pt idx="127">
                  <c:v>0</c:v>
                </c:pt>
                <c:pt idx="128">
                  <c:v>1</c:v>
                </c:pt>
                <c:pt idx="129">
                  <c:v>1</c:v>
                </c:pt>
                <c:pt idx="130">
                  <c:v>3</c:v>
                </c:pt>
                <c:pt idx="131">
                  <c:v>0</c:v>
                </c:pt>
                <c:pt idx="132">
                  <c:v>4</c:v>
                </c:pt>
                <c:pt idx="133">
                  <c:v>2</c:v>
                </c:pt>
                <c:pt idx="134">
                  <c:v>1</c:v>
                </c:pt>
                <c:pt idx="135">
                  <c:v>0</c:v>
                </c:pt>
                <c:pt idx="136">
                  <c:v>2</c:v>
                </c:pt>
                <c:pt idx="137">
                  <c:v>1</c:v>
                </c:pt>
                <c:pt idx="138">
                  <c:v>3</c:v>
                </c:pt>
                <c:pt idx="139">
                  <c:v>2</c:v>
                </c:pt>
                <c:pt idx="140">
                  <c:v>4</c:v>
                </c:pt>
                <c:pt idx="141">
                  <c:v>0</c:v>
                </c:pt>
                <c:pt idx="142">
                  <c:v>2</c:v>
                </c:pt>
                <c:pt idx="143">
                  <c:v>1</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12</c:v>
                </c:pt>
                <c:pt idx="169">
                  <c:v>8</c:v>
                </c:pt>
                <c:pt idx="170">
                  <c:v>9</c:v>
                </c:pt>
                <c:pt idx="171">
                  <c:v>0</c:v>
                </c:pt>
                <c:pt idx="172">
                  <c:v>0</c:v>
                </c:pt>
                <c:pt idx="173">
                  <c:v>6</c:v>
                </c:pt>
                <c:pt idx="174">
                  <c:v>3</c:v>
                </c:pt>
                <c:pt idx="175">
                  <c:v>6</c:v>
                </c:pt>
                <c:pt idx="176">
                  <c:v>4</c:v>
                </c:pt>
                <c:pt idx="177">
                  <c:v>10</c:v>
                </c:pt>
                <c:pt idx="178">
                  <c:v>12</c:v>
                </c:pt>
                <c:pt idx="179">
                  <c:v>0</c:v>
                </c:pt>
                <c:pt idx="180">
                  <c:v>11</c:v>
                </c:pt>
                <c:pt idx="181">
                  <c:v>6</c:v>
                </c:pt>
                <c:pt idx="182">
                  <c:v>2</c:v>
                </c:pt>
                <c:pt idx="183">
                  <c:v>2</c:v>
                </c:pt>
                <c:pt idx="184">
                  <c:v>9</c:v>
                </c:pt>
                <c:pt idx="185">
                  <c:v>0</c:v>
                </c:pt>
                <c:pt idx="186">
                  <c:v>7</c:v>
                </c:pt>
                <c:pt idx="187">
                  <c:v>6</c:v>
                </c:pt>
                <c:pt idx="188">
                  <c:v>0</c:v>
                </c:pt>
                <c:pt idx="189">
                  <c:v>3</c:v>
                </c:pt>
                <c:pt idx="190">
                  <c:v>4</c:v>
                </c:pt>
                <c:pt idx="191">
                  <c:v>5</c:v>
                </c:pt>
                <c:pt idx="192">
                  <c:v>0</c:v>
                </c:pt>
                <c:pt idx="193">
                  <c:v>0</c:v>
                </c:pt>
                <c:pt idx="194">
                  <c:v>0</c:v>
                </c:pt>
                <c:pt idx="195">
                  <c:v>0</c:v>
                </c:pt>
                <c:pt idx="196">
                  <c:v>0</c:v>
                </c:pt>
                <c:pt idx="197">
                  <c:v>0</c:v>
                </c:pt>
                <c:pt idx="198">
                  <c:v>2</c:v>
                </c:pt>
                <c:pt idx="199">
                  <c:v>1</c:v>
                </c:pt>
                <c:pt idx="200">
                  <c:v>0</c:v>
                </c:pt>
                <c:pt idx="201">
                  <c:v>0</c:v>
                </c:pt>
                <c:pt idx="202">
                  <c:v>1</c:v>
                </c:pt>
                <c:pt idx="203">
                  <c:v>0</c:v>
                </c:pt>
                <c:pt idx="204">
                  <c:v>1</c:v>
                </c:pt>
                <c:pt idx="205">
                  <c:v>0</c:v>
                </c:pt>
                <c:pt idx="206">
                  <c:v>0</c:v>
                </c:pt>
                <c:pt idx="207">
                  <c:v>0</c:v>
                </c:pt>
                <c:pt idx="208">
                  <c:v>0</c:v>
                </c:pt>
                <c:pt idx="209">
                  <c:v>0</c:v>
                </c:pt>
                <c:pt idx="210">
                  <c:v>0</c:v>
                </c:pt>
                <c:pt idx="211">
                  <c:v>3</c:v>
                </c:pt>
                <c:pt idx="212">
                  <c:v>0</c:v>
                </c:pt>
                <c:pt idx="213">
                  <c:v>0</c:v>
                </c:pt>
                <c:pt idx="214">
                  <c:v>1</c:v>
                </c:pt>
                <c:pt idx="215">
                  <c:v>1</c:v>
                </c:pt>
                <c:pt idx="216">
                  <c:v>17</c:v>
                </c:pt>
                <c:pt idx="217">
                  <c:v>9</c:v>
                </c:pt>
                <c:pt idx="218">
                  <c:v>8</c:v>
                </c:pt>
                <c:pt idx="219">
                  <c:v>2</c:v>
                </c:pt>
                <c:pt idx="220">
                  <c:v>1</c:v>
                </c:pt>
                <c:pt idx="221">
                  <c:v>3</c:v>
                </c:pt>
                <c:pt idx="222">
                  <c:v>2</c:v>
                </c:pt>
                <c:pt idx="223">
                  <c:v>5</c:v>
                </c:pt>
                <c:pt idx="224">
                  <c:v>2</c:v>
                </c:pt>
                <c:pt idx="225">
                  <c:v>1</c:v>
                </c:pt>
                <c:pt idx="226">
                  <c:v>4</c:v>
                </c:pt>
                <c:pt idx="227">
                  <c:v>0</c:v>
                </c:pt>
                <c:pt idx="228">
                  <c:v>3</c:v>
                </c:pt>
                <c:pt idx="229">
                  <c:v>1</c:v>
                </c:pt>
                <c:pt idx="230">
                  <c:v>2</c:v>
                </c:pt>
                <c:pt idx="231">
                  <c:v>2</c:v>
                </c:pt>
                <c:pt idx="232">
                  <c:v>3</c:v>
                </c:pt>
                <c:pt idx="233">
                  <c:v>1</c:v>
                </c:pt>
                <c:pt idx="234">
                  <c:v>1</c:v>
                </c:pt>
                <c:pt idx="235">
                  <c:v>1</c:v>
                </c:pt>
                <c:pt idx="236">
                  <c:v>3</c:v>
                </c:pt>
                <c:pt idx="237">
                  <c:v>2</c:v>
                </c:pt>
                <c:pt idx="238">
                  <c:v>3</c:v>
                </c:pt>
                <c:pt idx="239">
                  <c:v>3</c:v>
                </c:pt>
                <c:pt idx="240">
                  <c:v>5</c:v>
                </c:pt>
                <c:pt idx="241">
                  <c:v>29</c:v>
                </c:pt>
                <c:pt idx="242">
                  <c:v>1</c:v>
                </c:pt>
                <c:pt idx="243">
                  <c:v>1</c:v>
                </c:pt>
                <c:pt idx="244">
                  <c:v>0</c:v>
                </c:pt>
                <c:pt idx="245">
                  <c:v>1</c:v>
                </c:pt>
                <c:pt idx="246">
                  <c:v>7</c:v>
                </c:pt>
                <c:pt idx="247">
                  <c:v>0</c:v>
                </c:pt>
                <c:pt idx="248">
                  <c:v>14</c:v>
                </c:pt>
                <c:pt idx="249">
                  <c:v>2</c:v>
                </c:pt>
                <c:pt idx="250">
                  <c:v>0</c:v>
                </c:pt>
                <c:pt idx="251">
                  <c:v>0</c:v>
                </c:pt>
                <c:pt idx="252">
                  <c:v>0</c:v>
                </c:pt>
                <c:pt idx="253">
                  <c:v>0</c:v>
                </c:pt>
                <c:pt idx="254">
                  <c:v>1</c:v>
                </c:pt>
                <c:pt idx="255">
                  <c:v>0</c:v>
                </c:pt>
                <c:pt idx="256">
                  <c:v>20</c:v>
                </c:pt>
                <c:pt idx="257">
                  <c:v>1</c:v>
                </c:pt>
                <c:pt idx="258">
                  <c:v>3</c:v>
                </c:pt>
                <c:pt idx="259">
                  <c:v>1</c:v>
                </c:pt>
                <c:pt idx="260">
                  <c:v>0</c:v>
                </c:pt>
                <c:pt idx="261">
                  <c:v>0</c:v>
                </c:pt>
                <c:pt idx="262">
                  <c:v>0</c:v>
                </c:pt>
                <c:pt idx="263">
                  <c:v>0</c:v>
                </c:pt>
                <c:pt idx="264">
                  <c:v>2</c:v>
                </c:pt>
                <c:pt idx="265">
                  <c:v>5</c:v>
                </c:pt>
                <c:pt idx="266">
                  <c:v>1</c:v>
                </c:pt>
                <c:pt idx="267">
                  <c:v>0</c:v>
                </c:pt>
                <c:pt idx="268">
                  <c:v>0</c:v>
                </c:pt>
                <c:pt idx="269">
                  <c:v>1</c:v>
                </c:pt>
                <c:pt idx="270">
                  <c:v>2</c:v>
                </c:pt>
                <c:pt idx="271">
                  <c:v>0</c:v>
                </c:pt>
                <c:pt idx="272">
                  <c:v>0</c:v>
                </c:pt>
                <c:pt idx="273">
                  <c:v>2</c:v>
                </c:pt>
                <c:pt idx="274">
                  <c:v>1</c:v>
                </c:pt>
                <c:pt idx="275">
                  <c:v>0</c:v>
                </c:pt>
                <c:pt idx="276">
                  <c:v>1</c:v>
                </c:pt>
                <c:pt idx="277">
                  <c:v>0</c:v>
                </c:pt>
                <c:pt idx="278">
                  <c:v>0</c:v>
                </c:pt>
                <c:pt idx="279">
                  <c:v>0</c:v>
                </c:pt>
                <c:pt idx="280">
                  <c:v>2</c:v>
                </c:pt>
                <c:pt idx="281">
                  <c:v>0</c:v>
                </c:pt>
                <c:pt idx="282">
                  <c:v>2</c:v>
                </c:pt>
                <c:pt idx="283">
                  <c:v>1</c:v>
                </c:pt>
                <c:pt idx="284">
                  <c:v>1</c:v>
                </c:pt>
                <c:pt idx="285">
                  <c:v>1</c:v>
                </c:pt>
                <c:pt idx="286">
                  <c:v>1</c:v>
                </c:pt>
                <c:pt idx="287">
                  <c:v>2</c:v>
                </c:pt>
                <c:pt idx="288">
                  <c:v>1</c:v>
                </c:pt>
                <c:pt idx="289">
                  <c:v>1</c:v>
                </c:pt>
                <c:pt idx="290">
                  <c:v>0</c:v>
                </c:pt>
                <c:pt idx="291">
                  <c:v>1</c:v>
                </c:pt>
                <c:pt idx="292">
                  <c:v>0</c:v>
                </c:pt>
                <c:pt idx="293">
                  <c:v>0</c:v>
                </c:pt>
                <c:pt idx="294">
                  <c:v>0</c:v>
                </c:pt>
                <c:pt idx="295">
                  <c:v>17</c:v>
                </c:pt>
                <c:pt idx="296">
                  <c:v>1</c:v>
                </c:pt>
                <c:pt idx="297">
                  <c:v>0</c:v>
                </c:pt>
                <c:pt idx="298">
                  <c:v>1</c:v>
                </c:pt>
                <c:pt idx="299">
                  <c:v>0</c:v>
                </c:pt>
                <c:pt idx="300">
                  <c:v>0</c:v>
                </c:pt>
                <c:pt idx="301">
                  <c:v>1</c:v>
                </c:pt>
                <c:pt idx="302">
                  <c:v>0</c:v>
                </c:pt>
                <c:pt idx="303">
                  <c:v>0</c:v>
                </c:pt>
                <c:pt idx="304">
                  <c:v>0</c:v>
                </c:pt>
                <c:pt idx="305">
                  <c:v>0</c:v>
                </c:pt>
                <c:pt idx="306">
                  <c:v>2</c:v>
                </c:pt>
                <c:pt idx="307">
                  <c:v>0</c:v>
                </c:pt>
                <c:pt idx="308">
                  <c:v>0</c:v>
                </c:pt>
                <c:pt idx="309">
                  <c:v>0</c:v>
                </c:pt>
                <c:pt idx="310">
                  <c:v>2</c:v>
                </c:pt>
                <c:pt idx="311">
                  <c:v>2</c:v>
                </c:pt>
                <c:pt idx="312">
                  <c:v>4</c:v>
                </c:pt>
                <c:pt idx="313">
                  <c:v>6</c:v>
                </c:pt>
                <c:pt idx="314">
                  <c:v>5</c:v>
                </c:pt>
                <c:pt idx="315">
                  <c:v>8</c:v>
                </c:pt>
                <c:pt idx="316">
                  <c:v>1</c:v>
                </c:pt>
                <c:pt idx="317">
                  <c:v>5</c:v>
                </c:pt>
                <c:pt idx="318">
                  <c:v>0</c:v>
                </c:pt>
                <c:pt idx="319">
                  <c:v>1</c:v>
                </c:pt>
                <c:pt idx="320">
                  <c:v>2</c:v>
                </c:pt>
                <c:pt idx="321">
                  <c:v>2</c:v>
                </c:pt>
                <c:pt idx="322">
                  <c:v>2</c:v>
                </c:pt>
                <c:pt idx="323">
                  <c:v>0</c:v>
                </c:pt>
                <c:pt idx="324">
                  <c:v>3</c:v>
                </c:pt>
                <c:pt idx="325">
                  <c:v>2</c:v>
                </c:pt>
                <c:pt idx="326">
                  <c:v>2</c:v>
                </c:pt>
                <c:pt idx="327">
                  <c:v>1</c:v>
                </c:pt>
                <c:pt idx="328">
                  <c:v>1</c:v>
                </c:pt>
                <c:pt idx="329">
                  <c:v>1</c:v>
                </c:pt>
                <c:pt idx="330">
                  <c:v>1</c:v>
                </c:pt>
                <c:pt idx="331">
                  <c:v>2</c:v>
                </c:pt>
                <c:pt idx="332">
                  <c:v>2</c:v>
                </c:pt>
                <c:pt idx="333">
                  <c:v>0</c:v>
                </c:pt>
                <c:pt idx="334">
                  <c:v>1</c:v>
                </c:pt>
                <c:pt idx="335">
                  <c:v>2</c:v>
                </c:pt>
                <c:pt idx="336">
                  <c:v>7</c:v>
                </c:pt>
                <c:pt idx="337">
                  <c:v>10</c:v>
                </c:pt>
                <c:pt idx="338">
                  <c:v>3</c:v>
                </c:pt>
                <c:pt idx="339">
                  <c:v>0</c:v>
                </c:pt>
                <c:pt idx="340">
                  <c:v>1</c:v>
                </c:pt>
                <c:pt idx="341">
                  <c:v>1</c:v>
                </c:pt>
                <c:pt idx="342">
                  <c:v>0</c:v>
                </c:pt>
                <c:pt idx="343">
                  <c:v>0</c:v>
                </c:pt>
                <c:pt idx="344">
                  <c:v>1</c:v>
                </c:pt>
                <c:pt idx="345">
                  <c:v>0</c:v>
                </c:pt>
                <c:pt idx="346">
                  <c:v>1</c:v>
                </c:pt>
                <c:pt idx="347">
                  <c:v>0</c:v>
                </c:pt>
                <c:pt idx="348">
                  <c:v>2</c:v>
                </c:pt>
                <c:pt idx="349">
                  <c:v>0</c:v>
                </c:pt>
                <c:pt idx="350">
                  <c:v>1</c:v>
                </c:pt>
                <c:pt idx="351">
                  <c:v>0</c:v>
                </c:pt>
                <c:pt idx="352">
                  <c:v>2</c:v>
                </c:pt>
                <c:pt idx="353">
                  <c:v>0</c:v>
                </c:pt>
                <c:pt idx="354">
                  <c:v>1</c:v>
                </c:pt>
                <c:pt idx="355">
                  <c:v>2</c:v>
                </c:pt>
                <c:pt idx="356">
                  <c:v>0</c:v>
                </c:pt>
                <c:pt idx="357">
                  <c:v>0</c:v>
                </c:pt>
                <c:pt idx="358">
                  <c:v>0</c:v>
                </c:pt>
                <c:pt idx="359">
                  <c:v>1</c:v>
                </c:pt>
                <c:pt idx="360">
                  <c:v>10</c:v>
                </c:pt>
                <c:pt idx="361">
                  <c:v>6</c:v>
                </c:pt>
                <c:pt idx="362">
                  <c:v>0</c:v>
                </c:pt>
                <c:pt idx="363">
                  <c:v>1</c:v>
                </c:pt>
                <c:pt idx="364">
                  <c:v>1</c:v>
                </c:pt>
                <c:pt idx="365">
                  <c:v>0</c:v>
                </c:pt>
                <c:pt idx="366">
                  <c:v>0</c:v>
                </c:pt>
                <c:pt idx="367">
                  <c:v>0</c:v>
                </c:pt>
                <c:pt idx="368">
                  <c:v>0</c:v>
                </c:pt>
                <c:pt idx="369">
                  <c:v>0</c:v>
                </c:pt>
                <c:pt idx="370">
                  <c:v>0</c:v>
                </c:pt>
                <c:pt idx="371">
                  <c:v>0</c:v>
                </c:pt>
                <c:pt idx="372">
                  <c:v>4</c:v>
                </c:pt>
                <c:pt idx="373">
                  <c:v>0</c:v>
                </c:pt>
                <c:pt idx="374">
                  <c:v>0</c:v>
                </c:pt>
                <c:pt idx="375">
                  <c:v>0</c:v>
                </c:pt>
                <c:pt idx="376">
                  <c:v>0</c:v>
                </c:pt>
                <c:pt idx="377">
                  <c:v>0</c:v>
                </c:pt>
                <c:pt idx="378">
                  <c:v>0</c:v>
                </c:pt>
                <c:pt idx="379">
                  <c:v>0</c:v>
                </c:pt>
                <c:pt idx="380">
                  <c:v>0</c:v>
                </c:pt>
                <c:pt idx="381">
                  <c:v>0</c:v>
                </c:pt>
                <c:pt idx="382">
                  <c:v>1</c:v>
                </c:pt>
                <c:pt idx="383">
                  <c:v>0</c:v>
                </c:pt>
                <c:pt idx="384">
                  <c:v>3</c:v>
                </c:pt>
                <c:pt idx="385">
                  <c:v>3</c:v>
                </c:pt>
                <c:pt idx="386">
                  <c:v>0</c:v>
                </c:pt>
                <c:pt idx="387">
                  <c:v>0</c:v>
                </c:pt>
                <c:pt idx="388">
                  <c:v>0</c:v>
                </c:pt>
                <c:pt idx="389">
                  <c:v>0</c:v>
                </c:pt>
                <c:pt idx="390">
                  <c:v>0</c:v>
                </c:pt>
                <c:pt idx="391">
                  <c:v>4</c:v>
                </c:pt>
                <c:pt idx="392">
                  <c:v>0</c:v>
                </c:pt>
                <c:pt idx="393">
                  <c:v>0</c:v>
                </c:pt>
                <c:pt idx="394">
                  <c:v>1</c:v>
                </c:pt>
                <c:pt idx="395">
                  <c:v>0</c:v>
                </c:pt>
                <c:pt idx="396">
                  <c:v>2</c:v>
                </c:pt>
                <c:pt idx="397">
                  <c:v>1</c:v>
                </c:pt>
                <c:pt idx="398">
                  <c:v>1</c:v>
                </c:pt>
                <c:pt idx="399">
                  <c:v>0</c:v>
                </c:pt>
                <c:pt idx="400">
                  <c:v>1</c:v>
                </c:pt>
                <c:pt idx="401">
                  <c:v>0</c:v>
                </c:pt>
                <c:pt idx="402">
                  <c:v>2</c:v>
                </c:pt>
                <c:pt idx="403">
                  <c:v>1</c:v>
                </c:pt>
                <c:pt idx="404">
                  <c:v>0</c:v>
                </c:pt>
                <c:pt idx="405">
                  <c:v>2</c:v>
                </c:pt>
                <c:pt idx="406">
                  <c:v>1</c:v>
                </c:pt>
                <c:pt idx="407">
                  <c:v>0</c:v>
                </c:pt>
                <c:pt idx="408">
                  <c:v>0</c:v>
                </c:pt>
                <c:pt idx="409">
                  <c:v>4</c:v>
                </c:pt>
                <c:pt idx="410">
                  <c:v>5</c:v>
                </c:pt>
                <c:pt idx="411">
                  <c:v>0</c:v>
                </c:pt>
                <c:pt idx="412">
                  <c:v>0</c:v>
                </c:pt>
                <c:pt idx="413">
                  <c:v>1</c:v>
                </c:pt>
                <c:pt idx="414">
                  <c:v>0</c:v>
                </c:pt>
                <c:pt idx="415">
                  <c:v>0</c:v>
                </c:pt>
                <c:pt idx="416">
                  <c:v>0</c:v>
                </c:pt>
                <c:pt idx="417">
                  <c:v>0</c:v>
                </c:pt>
                <c:pt idx="418">
                  <c:v>1</c:v>
                </c:pt>
                <c:pt idx="419">
                  <c:v>0</c:v>
                </c:pt>
                <c:pt idx="420">
                  <c:v>3</c:v>
                </c:pt>
                <c:pt idx="421">
                  <c:v>2</c:v>
                </c:pt>
                <c:pt idx="422">
                  <c:v>0</c:v>
                </c:pt>
                <c:pt idx="423">
                  <c:v>0</c:v>
                </c:pt>
                <c:pt idx="424">
                  <c:v>2</c:v>
                </c:pt>
                <c:pt idx="425">
                  <c:v>2</c:v>
                </c:pt>
                <c:pt idx="426">
                  <c:v>0</c:v>
                </c:pt>
                <c:pt idx="427">
                  <c:v>2</c:v>
                </c:pt>
                <c:pt idx="428">
                  <c:v>1</c:v>
                </c:pt>
                <c:pt idx="429">
                  <c:v>0</c:v>
                </c:pt>
                <c:pt idx="430">
                  <c:v>2</c:v>
                </c:pt>
                <c:pt idx="431">
                  <c:v>7</c:v>
                </c:pt>
                <c:pt idx="432">
                  <c:v>0</c:v>
                </c:pt>
                <c:pt idx="433">
                  <c:v>12</c:v>
                </c:pt>
                <c:pt idx="434">
                  <c:v>0</c:v>
                </c:pt>
                <c:pt idx="435">
                  <c:v>0</c:v>
                </c:pt>
                <c:pt idx="436">
                  <c:v>1</c:v>
                </c:pt>
                <c:pt idx="437">
                  <c:v>2</c:v>
                </c:pt>
                <c:pt idx="438">
                  <c:v>0</c:v>
                </c:pt>
                <c:pt idx="439">
                  <c:v>4</c:v>
                </c:pt>
                <c:pt idx="440">
                  <c:v>0</c:v>
                </c:pt>
                <c:pt idx="441">
                  <c:v>3</c:v>
                </c:pt>
                <c:pt idx="442">
                  <c:v>0</c:v>
                </c:pt>
                <c:pt idx="443">
                  <c:v>0</c:v>
                </c:pt>
                <c:pt idx="444">
                  <c:v>5</c:v>
                </c:pt>
                <c:pt idx="445">
                  <c:v>1</c:v>
                </c:pt>
                <c:pt idx="446">
                  <c:v>0</c:v>
                </c:pt>
                <c:pt idx="447">
                  <c:v>0</c:v>
                </c:pt>
                <c:pt idx="448">
                  <c:v>0</c:v>
                </c:pt>
                <c:pt idx="449">
                  <c:v>0</c:v>
                </c:pt>
                <c:pt idx="450">
                  <c:v>2</c:v>
                </c:pt>
                <c:pt idx="451">
                  <c:v>0</c:v>
                </c:pt>
                <c:pt idx="452">
                  <c:v>0</c:v>
                </c:pt>
                <c:pt idx="453">
                  <c:v>0</c:v>
                </c:pt>
                <c:pt idx="454">
                  <c:v>0</c:v>
                </c:pt>
                <c:pt idx="455">
                  <c:v>4</c:v>
                </c:pt>
                <c:pt idx="456">
                  <c:v>1.8552631578947369</c:v>
                </c:pt>
              </c:numCache>
            </c:numRef>
          </c:xVal>
          <c:yVal>
            <c:numRef>
              <c:f>Main!$C$2:$C$506</c:f>
              <c:numCache>
                <c:formatCode>General</c:formatCode>
                <c:ptCount val="505"/>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yVal>
          <c:smooth val="0"/>
          <c:extLst>
            <c:ext xmlns:c16="http://schemas.microsoft.com/office/drawing/2014/chart" uri="{C3380CC4-5D6E-409C-BE32-E72D297353CC}">
              <c16:uniqueId val="{00000000-F866-496F-95B9-E3DE9B42F9C1}"/>
            </c:ext>
          </c:extLst>
        </c:ser>
        <c:dLbls>
          <c:showLegendKey val="0"/>
          <c:showVal val="0"/>
          <c:showCatName val="0"/>
          <c:showSerName val="0"/>
          <c:showPercent val="0"/>
          <c:showBubbleSize val="0"/>
        </c:dLbls>
        <c:axId val="948141744"/>
        <c:axId val="948136944"/>
      </c:scatterChart>
      <c:valAx>
        <c:axId val="948141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36944"/>
        <c:crosses val="autoZero"/>
        <c:crossBetween val="midCat"/>
      </c:valAx>
      <c:valAx>
        <c:axId val="9481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4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Main!$L$1</c:f>
              <c:strCache>
                <c:ptCount val="1"/>
                <c:pt idx="0">
                  <c:v>light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6086276624780576"/>
                  <c:y val="-0.56279709827938174"/>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Main!$L$2:$L$507</c:f>
              <c:numCache>
                <c:formatCode>General</c:formatCode>
                <c:ptCount val="506"/>
                <c:pt idx="0">
                  <c:v>367</c:v>
                </c:pt>
                <c:pt idx="1">
                  <c:v>151</c:v>
                </c:pt>
                <c:pt idx="2">
                  <c:v>78</c:v>
                </c:pt>
                <c:pt idx="3">
                  <c:v>51</c:v>
                </c:pt>
                <c:pt idx="4">
                  <c:v>35</c:v>
                </c:pt>
                <c:pt idx="5">
                  <c:v>58</c:v>
                </c:pt>
                <c:pt idx="6">
                  <c:v>38</c:v>
                </c:pt>
                <c:pt idx="7">
                  <c:v>61</c:v>
                </c:pt>
                <c:pt idx="8">
                  <c:v>27</c:v>
                </c:pt>
                <c:pt idx="9">
                  <c:v>71</c:v>
                </c:pt>
                <c:pt idx="10">
                  <c:v>48</c:v>
                </c:pt>
                <c:pt idx="11">
                  <c:v>36</c:v>
                </c:pt>
                <c:pt idx="12">
                  <c:v>3</c:v>
                </c:pt>
                <c:pt idx="13">
                  <c:v>21</c:v>
                </c:pt>
                <c:pt idx="14">
                  <c:v>40</c:v>
                </c:pt>
                <c:pt idx="15">
                  <c:v>27</c:v>
                </c:pt>
                <c:pt idx="16">
                  <c:v>44</c:v>
                </c:pt>
                <c:pt idx="17">
                  <c:v>21</c:v>
                </c:pt>
                <c:pt idx="18">
                  <c:v>39</c:v>
                </c:pt>
                <c:pt idx="19">
                  <c:v>44</c:v>
                </c:pt>
                <c:pt idx="20">
                  <c:v>40</c:v>
                </c:pt>
                <c:pt idx="21">
                  <c:v>6</c:v>
                </c:pt>
                <c:pt idx="22">
                  <c:v>83</c:v>
                </c:pt>
                <c:pt idx="23">
                  <c:v>217</c:v>
                </c:pt>
                <c:pt idx="24">
                  <c:v>137</c:v>
                </c:pt>
                <c:pt idx="25">
                  <c:v>164</c:v>
                </c:pt>
                <c:pt idx="26">
                  <c:v>106</c:v>
                </c:pt>
                <c:pt idx="27">
                  <c:v>156</c:v>
                </c:pt>
                <c:pt idx="28">
                  <c:v>63</c:v>
                </c:pt>
                <c:pt idx="29">
                  <c:v>64</c:v>
                </c:pt>
                <c:pt idx="30">
                  <c:v>102</c:v>
                </c:pt>
                <c:pt idx="31">
                  <c:v>153</c:v>
                </c:pt>
                <c:pt idx="32">
                  <c:v>213</c:v>
                </c:pt>
                <c:pt idx="33">
                  <c:v>146</c:v>
                </c:pt>
                <c:pt idx="34">
                  <c:v>53</c:v>
                </c:pt>
                <c:pt idx="35">
                  <c:v>41</c:v>
                </c:pt>
                <c:pt idx="36">
                  <c:v>45</c:v>
                </c:pt>
                <c:pt idx="37">
                  <c:v>68</c:v>
                </c:pt>
                <c:pt idx="38">
                  <c:v>50</c:v>
                </c:pt>
                <c:pt idx="39">
                  <c:v>55</c:v>
                </c:pt>
                <c:pt idx="40">
                  <c:v>53</c:v>
                </c:pt>
                <c:pt idx="41">
                  <c:v>45</c:v>
                </c:pt>
                <c:pt idx="42">
                  <c:v>76</c:v>
                </c:pt>
                <c:pt idx="43">
                  <c:v>41</c:v>
                </c:pt>
                <c:pt idx="44">
                  <c:v>42</c:v>
                </c:pt>
                <c:pt idx="45">
                  <c:v>46</c:v>
                </c:pt>
                <c:pt idx="46">
                  <c:v>36</c:v>
                </c:pt>
                <c:pt idx="47">
                  <c:v>147</c:v>
                </c:pt>
                <c:pt idx="48">
                  <c:v>245</c:v>
                </c:pt>
                <c:pt idx="49">
                  <c:v>40</c:v>
                </c:pt>
                <c:pt idx="50">
                  <c:v>62</c:v>
                </c:pt>
                <c:pt idx="51">
                  <c:v>55</c:v>
                </c:pt>
                <c:pt idx="52">
                  <c:v>39</c:v>
                </c:pt>
                <c:pt idx="53">
                  <c:v>55</c:v>
                </c:pt>
                <c:pt idx="54">
                  <c:v>131</c:v>
                </c:pt>
                <c:pt idx="55">
                  <c:v>107</c:v>
                </c:pt>
                <c:pt idx="56">
                  <c:v>70</c:v>
                </c:pt>
                <c:pt idx="57">
                  <c:v>56</c:v>
                </c:pt>
                <c:pt idx="58">
                  <c:v>79</c:v>
                </c:pt>
                <c:pt idx="59">
                  <c:v>107</c:v>
                </c:pt>
                <c:pt idx="60">
                  <c:v>42</c:v>
                </c:pt>
                <c:pt idx="61">
                  <c:v>97</c:v>
                </c:pt>
                <c:pt idx="62">
                  <c:v>73</c:v>
                </c:pt>
                <c:pt idx="63">
                  <c:v>57</c:v>
                </c:pt>
                <c:pt idx="64">
                  <c:v>183</c:v>
                </c:pt>
                <c:pt idx="65">
                  <c:v>63</c:v>
                </c:pt>
                <c:pt idx="66">
                  <c:v>113</c:v>
                </c:pt>
                <c:pt idx="67">
                  <c:v>55</c:v>
                </c:pt>
                <c:pt idx="68">
                  <c:v>53</c:v>
                </c:pt>
                <c:pt idx="69">
                  <c:v>115</c:v>
                </c:pt>
                <c:pt idx="70">
                  <c:v>77</c:v>
                </c:pt>
                <c:pt idx="71">
                  <c:v>271</c:v>
                </c:pt>
                <c:pt idx="72">
                  <c:v>242</c:v>
                </c:pt>
                <c:pt idx="73">
                  <c:v>142</c:v>
                </c:pt>
                <c:pt idx="74">
                  <c:v>146</c:v>
                </c:pt>
                <c:pt idx="75">
                  <c:v>173</c:v>
                </c:pt>
                <c:pt idx="76">
                  <c:v>35</c:v>
                </c:pt>
                <c:pt idx="77">
                  <c:v>133</c:v>
                </c:pt>
                <c:pt idx="78">
                  <c:v>357</c:v>
                </c:pt>
                <c:pt idx="79">
                  <c:v>367</c:v>
                </c:pt>
                <c:pt idx="80">
                  <c:v>195</c:v>
                </c:pt>
                <c:pt idx="81">
                  <c:v>264</c:v>
                </c:pt>
                <c:pt idx="82">
                  <c:v>469</c:v>
                </c:pt>
                <c:pt idx="83">
                  <c:v>342</c:v>
                </c:pt>
                <c:pt idx="84">
                  <c:v>92</c:v>
                </c:pt>
                <c:pt idx="85">
                  <c:v>106</c:v>
                </c:pt>
                <c:pt idx="86">
                  <c:v>65</c:v>
                </c:pt>
                <c:pt idx="87">
                  <c:v>100</c:v>
                </c:pt>
                <c:pt idx="88">
                  <c:v>166</c:v>
                </c:pt>
                <c:pt idx="89">
                  <c:v>107</c:v>
                </c:pt>
                <c:pt idx="90">
                  <c:v>79</c:v>
                </c:pt>
                <c:pt idx="91">
                  <c:v>70</c:v>
                </c:pt>
                <c:pt idx="92">
                  <c:v>60</c:v>
                </c:pt>
                <c:pt idx="93">
                  <c:v>89</c:v>
                </c:pt>
                <c:pt idx="94">
                  <c:v>138</c:v>
                </c:pt>
                <c:pt idx="95">
                  <c:v>283</c:v>
                </c:pt>
                <c:pt idx="96">
                  <c:v>158</c:v>
                </c:pt>
                <c:pt idx="97">
                  <c:v>65</c:v>
                </c:pt>
                <c:pt idx="98">
                  <c:v>92</c:v>
                </c:pt>
                <c:pt idx="99">
                  <c:v>90</c:v>
                </c:pt>
                <c:pt idx="100">
                  <c:v>24</c:v>
                </c:pt>
                <c:pt idx="101">
                  <c:v>52</c:v>
                </c:pt>
                <c:pt idx="102">
                  <c:v>7</c:v>
                </c:pt>
                <c:pt idx="103">
                  <c:v>30</c:v>
                </c:pt>
                <c:pt idx="104">
                  <c:v>70</c:v>
                </c:pt>
                <c:pt idx="105">
                  <c:v>13</c:v>
                </c:pt>
                <c:pt idx="106">
                  <c:v>100</c:v>
                </c:pt>
                <c:pt idx="107">
                  <c:v>156</c:v>
                </c:pt>
                <c:pt idx="108">
                  <c:v>49</c:v>
                </c:pt>
                <c:pt idx="109">
                  <c:v>37</c:v>
                </c:pt>
                <c:pt idx="110">
                  <c:v>43</c:v>
                </c:pt>
                <c:pt idx="111">
                  <c:v>11</c:v>
                </c:pt>
                <c:pt idx="112">
                  <c:v>5</c:v>
                </c:pt>
                <c:pt idx="113">
                  <c:v>50</c:v>
                </c:pt>
                <c:pt idx="114">
                  <c:v>41</c:v>
                </c:pt>
                <c:pt idx="115">
                  <c:v>46</c:v>
                </c:pt>
                <c:pt idx="116">
                  <c:v>15</c:v>
                </c:pt>
                <c:pt idx="117">
                  <c:v>98</c:v>
                </c:pt>
                <c:pt idx="118">
                  <c:v>73</c:v>
                </c:pt>
                <c:pt idx="119">
                  <c:v>27</c:v>
                </c:pt>
                <c:pt idx="120">
                  <c:v>175</c:v>
                </c:pt>
                <c:pt idx="121">
                  <c:v>17</c:v>
                </c:pt>
                <c:pt idx="122">
                  <c:v>39</c:v>
                </c:pt>
                <c:pt idx="123">
                  <c:v>80</c:v>
                </c:pt>
                <c:pt idx="124">
                  <c:v>20</c:v>
                </c:pt>
                <c:pt idx="125">
                  <c:v>70</c:v>
                </c:pt>
                <c:pt idx="126">
                  <c:v>74</c:v>
                </c:pt>
                <c:pt idx="127">
                  <c:v>38</c:v>
                </c:pt>
                <c:pt idx="128">
                  <c:v>12</c:v>
                </c:pt>
                <c:pt idx="129">
                  <c:v>59</c:v>
                </c:pt>
                <c:pt idx="130">
                  <c:v>40</c:v>
                </c:pt>
                <c:pt idx="131">
                  <c:v>34</c:v>
                </c:pt>
                <c:pt idx="132">
                  <c:v>23</c:v>
                </c:pt>
                <c:pt idx="133">
                  <c:v>18</c:v>
                </c:pt>
                <c:pt idx="134">
                  <c:v>16</c:v>
                </c:pt>
                <c:pt idx="135">
                  <c:v>35</c:v>
                </c:pt>
                <c:pt idx="136">
                  <c:v>26</c:v>
                </c:pt>
                <c:pt idx="137">
                  <c:v>47</c:v>
                </c:pt>
                <c:pt idx="138">
                  <c:v>11</c:v>
                </c:pt>
                <c:pt idx="139">
                  <c:v>10</c:v>
                </c:pt>
                <c:pt idx="140">
                  <c:v>50</c:v>
                </c:pt>
                <c:pt idx="141">
                  <c:v>32</c:v>
                </c:pt>
                <c:pt idx="142">
                  <c:v>44</c:v>
                </c:pt>
                <c:pt idx="143">
                  <c:v>55</c:v>
                </c:pt>
                <c:pt idx="144">
                  <c:v>1</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c:v>
                </c:pt>
                <c:pt idx="161">
                  <c:v>0</c:v>
                </c:pt>
                <c:pt idx="162">
                  <c:v>0</c:v>
                </c:pt>
                <c:pt idx="163">
                  <c:v>1</c:v>
                </c:pt>
                <c:pt idx="164">
                  <c:v>0</c:v>
                </c:pt>
                <c:pt idx="165">
                  <c:v>0</c:v>
                </c:pt>
                <c:pt idx="166">
                  <c:v>0</c:v>
                </c:pt>
                <c:pt idx="167">
                  <c:v>1</c:v>
                </c:pt>
                <c:pt idx="168">
                  <c:v>155</c:v>
                </c:pt>
                <c:pt idx="169">
                  <c:v>80</c:v>
                </c:pt>
                <c:pt idx="170">
                  <c:v>120</c:v>
                </c:pt>
                <c:pt idx="171">
                  <c:v>10</c:v>
                </c:pt>
                <c:pt idx="172">
                  <c:v>7</c:v>
                </c:pt>
                <c:pt idx="173">
                  <c:v>75</c:v>
                </c:pt>
                <c:pt idx="174">
                  <c:v>42</c:v>
                </c:pt>
                <c:pt idx="175">
                  <c:v>63</c:v>
                </c:pt>
                <c:pt idx="176">
                  <c:v>50</c:v>
                </c:pt>
                <c:pt idx="177">
                  <c:v>117</c:v>
                </c:pt>
                <c:pt idx="178">
                  <c:v>130</c:v>
                </c:pt>
                <c:pt idx="179">
                  <c:v>73</c:v>
                </c:pt>
                <c:pt idx="180">
                  <c:v>105</c:v>
                </c:pt>
                <c:pt idx="181">
                  <c:v>52</c:v>
                </c:pt>
                <c:pt idx="182">
                  <c:v>38</c:v>
                </c:pt>
                <c:pt idx="183">
                  <c:v>57</c:v>
                </c:pt>
                <c:pt idx="184">
                  <c:v>51</c:v>
                </c:pt>
                <c:pt idx="185">
                  <c:v>35</c:v>
                </c:pt>
                <c:pt idx="186">
                  <c:v>37</c:v>
                </c:pt>
                <c:pt idx="187">
                  <c:v>84</c:v>
                </c:pt>
                <c:pt idx="188">
                  <c:v>27</c:v>
                </c:pt>
                <c:pt idx="189">
                  <c:v>42</c:v>
                </c:pt>
                <c:pt idx="190">
                  <c:v>20</c:v>
                </c:pt>
                <c:pt idx="191">
                  <c:v>28</c:v>
                </c:pt>
                <c:pt idx="192">
                  <c:v>11</c:v>
                </c:pt>
                <c:pt idx="193">
                  <c:v>12</c:v>
                </c:pt>
                <c:pt idx="194">
                  <c:v>15</c:v>
                </c:pt>
                <c:pt idx="195">
                  <c:v>11</c:v>
                </c:pt>
                <c:pt idx="196">
                  <c:v>6</c:v>
                </c:pt>
                <c:pt idx="197">
                  <c:v>13</c:v>
                </c:pt>
                <c:pt idx="198">
                  <c:v>39</c:v>
                </c:pt>
                <c:pt idx="199">
                  <c:v>40</c:v>
                </c:pt>
                <c:pt idx="200">
                  <c:v>20</c:v>
                </c:pt>
                <c:pt idx="201">
                  <c:v>17</c:v>
                </c:pt>
                <c:pt idx="202">
                  <c:v>28</c:v>
                </c:pt>
                <c:pt idx="203">
                  <c:v>22</c:v>
                </c:pt>
                <c:pt idx="204">
                  <c:v>41</c:v>
                </c:pt>
                <c:pt idx="205">
                  <c:v>39</c:v>
                </c:pt>
                <c:pt idx="206">
                  <c:v>13</c:v>
                </c:pt>
                <c:pt idx="207">
                  <c:v>27</c:v>
                </c:pt>
                <c:pt idx="208">
                  <c:v>23</c:v>
                </c:pt>
                <c:pt idx="209">
                  <c:v>14</c:v>
                </c:pt>
                <c:pt idx="210">
                  <c:v>23</c:v>
                </c:pt>
                <c:pt idx="211">
                  <c:v>34</c:v>
                </c:pt>
                <c:pt idx="212">
                  <c:v>19</c:v>
                </c:pt>
                <c:pt idx="213">
                  <c:v>82</c:v>
                </c:pt>
                <c:pt idx="214">
                  <c:v>33</c:v>
                </c:pt>
                <c:pt idx="215">
                  <c:v>56</c:v>
                </c:pt>
                <c:pt idx="216">
                  <c:v>720</c:v>
                </c:pt>
                <c:pt idx="217">
                  <c:v>519</c:v>
                </c:pt>
                <c:pt idx="218">
                  <c:v>535</c:v>
                </c:pt>
                <c:pt idx="219">
                  <c:v>102</c:v>
                </c:pt>
                <c:pt idx="220">
                  <c:v>83</c:v>
                </c:pt>
                <c:pt idx="221">
                  <c:v>155</c:v>
                </c:pt>
                <c:pt idx="222">
                  <c:v>153</c:v>
                </c:pt>
                <c:pt idx="223">
                  <c:v>138</c:v>
                </c:pt>
                <c:pt idx="224">
                  <c:v>89</c:v>
                </c:pt>
                <c:pt idx="225">
                  <c:v>98</c:v>
                </c:pt>
                <c:pt idx="226">
                  <c:v>127</c:v>
                </c:pt>
                <c:pt idx="227">
                  <c:v>537</c:v>
                </c:pt>
                <c:pt idx="228">
                  <c:v>59</c:v>
                </c:pt>
                <c:pt idx="229">
                  <c:v>207</c:v>
                </c:pt>
                <c:pt idx="230">
                  <c:v>76</c:v>
                </c:pt>
                <c:pt idx="231">
                  <c:v>258</c:v>
                </c:pt>
                <c:pt idx="232">
                  <c:v>121</c:v>
                </c:pt>
                <c:pt idx="233">
                  <c:v>77</c:v>
                </c:pt>
                <c:pt idx="234">
                  <c:v>14</c:v>
                </c:pt>
                <c:pt idx="235">
                  <c:v>90</c:v>
                </c:pt>
                <c:pt idx="236">
                  <c:v>222</c:v>
                </c:pt>
                <c:pt idx="237">
                  <c:v>92</c:v>
                </c:pt>
                <c:pt idx="238">
                  <c:v>197</c:v>
                </c:pt>
                <c:pt idx="239">
                  <c:v>162</c:v>
                </c:pt>
                <c:pt idx="240">
                  <c:v>392</c:v>
                </c:pt>
                <c:pt idx="241">
                  <c:v>711</c:v>
                </c:pt>
                <c:pt idx="242">
                  <c:v>127</c:v>
                </c:pt>
                <c:pt idx="243">
                  <c:v>192</c:v>
                </c:pt>
                <c:pt idx="244">
                  <c:v>30</c:v>
                </c:pt>
                <c:pt idx="245">
                  <c:v>144</c:v>
                </c:pt>
                <c:pt idx="246">
                  <c:v>129</c:v>
                </c:pt>
                <c:pt idx="247">
                  <c:v>44</c:v>
                </c:pt>
                <c:pt idx="248">
                  <c:v>671</c:v>
                </c:pt>
                <c:pt idx="249">
                  <c:v>131</c:v>
                </c:pt>
                <c:pt idx="250">
                  <c:v>83</c:v>
                </c:pt>
                <c:pt idx="251">
                  <c:v>131</c:v>
                </c:pt>
                <c:pt idx="252">
                  <c:v>93</c:v>
                </c:pt>
                <c:pt idx="253">
                  <c:v>96</c:v>
                </c:pt>
                <c:pt idx="254">
                  <c:v>75</c:v>
                </c:pt>
                <c:pt idx="255">
                  <c:v>94</c:v>
                </c:pt>
                <c:pt idx="256">
                  <c:v>493</c:v>
                </c:pt>
                <c:pt idx="257">
                  <c:v>209</c:v>
                </c:pt>
                <c:pt idx="258">
                  <c:v>101</c:v>
                </c:pt>
                <c:pt idx="259">
                  <c:v>81</c:v>
                </c:pt>
                <c:pt idx="260">
                  <c:v>55</c:v>
                </c:pt>
                <c:pt idx="261">
                  <c:v>55</c:v>
                </c:pt>
                <c:pt idx="262">
                  <c:v>57</c:v>
                </c:pt>
                <c:pt idx="263">
                  <c:v>71</c:v>
                </c:pt>
                <c:pt idx="264">
                  <c:v>235</c:v>
                </c:pt>
                <c:pt idx="265">
                  <c:v>275</c:v>
                </c:pt>
                <c:pt idx="266">
                  <c:v>124</c:v>
                </c:pt>
                <c:pt idx="267">
                  <c:v>0</c:v>
                </c:pt>
                <c:pt idx="268">
                  <c:v>96</c:v>
                </c:pt>
                <c:pt idx="269">
                  <c:v>99</c:v>
                </c:pt>
                <c:pt idx="270">
                  <c:v>107</c:v>
                </c:pt>
                <c:pt idx="271">
                  <c:v>0</c:v>
                </c:pt>
                <c:pt idx="272">
                  <c:v>0</c:v>
                </c:pt>
                <c:pt idx="273">
                  <c:v>142</c:v>
                </c:pt>
                <c:pt idx="274">
                  <c:v>27</c:v>
                </c:pt>
                <c:pt idx="275">
                  <c:v>180</c:v>
                </c:pt>
                <c:pt idx="276">
                  <c:v>100</c:v>
                </c:pt>
                <c:pt idx="277">
                  <c:v>83</c:v>
                </c:pt>
                <c:pt idx="278">
                  <c:v>46</c:v>
                </c:pt>
                <c:pt idx="279">
                  <c:v>97</c:v>
                </c:pt>
                <c:pt idx="280">
                  <c:v>1</c:v>
                </c:pt>
                <c:pt idx="281">
                  <c:v>110</c:v>
                </c:pt>
                <c:pt idx="282">
                  <c:v>96</c:v>
                </c:pt>
                <c:pt idx="283">
                  <c:v>58</c:v>
                </c:pt>
                <c:pt idx="284">
                  <c:v>70</c:v>
                </c:pt>
                <c:pt idx="285">
                  <c:v>111</c:v>
                </c:pt>
                <c:pt idx="286">
                  <c:v>91</c:v>
                </c:pt>
                <c:pt idx="287">
                  <c:v>69</c:v>
                </c:pt>
                <c:pt idx="288">
                  <c:v>57</c:v>
                </c:pt>
                <c:pt idx="289">
                  <c:v>78</c:v>
                </c:pt>
                <c:pt idx="290">
                  <c:v>43</c:v>
                </c:pt>
                <c:pt idx="291">
                  <c:v>90</c:v>
                </c:pt>
                <c:pt idx="292">
                  <c:v>31</c:v>
                </c:pt>
                <c:pt idx="293">
                  <c:v>67</c:v>
                </c:pt>
                <c:pt idx="294">
                  <c:v>57</c:v>
                </c:pt>
                <c:pt idx="295">
                  <c:v>1074</c:v>
                </c:pt>
                <c:pt idx="296">
                  <c:v>95</c:v>
                </c:pt>
                <c:pt idx="297">
                  <c:v>49</c:v>
                </c:pt>
                <c:pt idx="298">
                  <c:v>72</c:v>
                </c:pt>
                <c:pt idx="299">
                  <c:v>55</c:v>
                </c:pt>
                <c:pt idx="300">
                  <c:v>47</c:v>
                </c:pt>
                <c:pt idx="301">
                  <c:v>137</c:v>
                </c:pt>
                <c:pt idx="302">
                  <c:v>26</c:v>
                </c:pt>
                <c:pt idx="303">
                  <c:v>48</c:v>
                </c:pt>
                <c:pt idx="304">
                  <c:v>56</c:v>
                </c:pt>
                <c:pt idx="305">
                  <c:v>50</c:v>
                </c:pt>
                <c:pt idx="306">
                  <c:v>144</c:v>
                </c:pt>
                <c:pt idx="307">
                  <c:v>45</c:v>
                </c:pt>
                <c:pt idx="308">
                  <c:v>51</c:v>
                </c:pt>
                <c:pt idx="309">
                  <c:v>48</c:v>
                </c:pt>
                <c:pt idx="310">
                  <c:v>112</c:v>
                </c:pt>
                <c:pt idx="311">
                  <c:v>207</c:v>
                </c:pt>
                <c:pt idx="312">
                  <c:v>99</c:v>
                </c:pt>
                <c:pt idx="313">
                  <c:v>113</c:v>
                </c:pt>
                <c:pt idx="314">
                  <c:v>256</c:v>
                </c:pt>
                <c:pt idx="315">
                  <c:v>379</c:v>
                </c:pt>
                <c:pt idx="316">
                  <c:v>40</c:v>
                </c:pt>
                <c:pt idx="317">
                  <c:v>294</c:v>
                </c:pt>
                <c:pt idx="318">
                  <c:v>8</c:v>
                </c:pt>
                <c:pt idx="319">
                  <c:v>28</c:v>
                </c:pt>
                <c:pt idx="320">
                  <c:v>69</c:v>
                </c:pt>
                <c:pt idx="321">
                  <c:v>122</c:v>
                </c:pt>
                <c:pt idx="322">
                  <c:v>121</c:v>
                </c:pt>
                <c:pt idx="323">
                  <c:v>416</c:v>
                </c:pt>
                <c:pt idx="324">
                  <c:v>142</c:v>
                </c:pt>
                <c:pt idx="325">
                  <c:v>68</c:v>
                </c:pt>
                <c:pt idx="326">
                  <c:v>84</c:v>
                </c:pt>
                <c:pt idx="327">
                  <c:v>121</c:v>
                </c:pt>
                <c:pt idx="328">
                  <c:v>49</c:v>
                </c:pt>
                <c:pt idx="329">
                  <c:v>116</c:v>
                </c:pt>
                <c:pt idx="330">
                  <c:v>52</c:v>
                </c:pt>
                <c:pt idx="331">
                  <c:v>113</c:v>
                </c:pt>
                <c:pt idx="332">
                  <c:v>157</c:v>
                </c:pt>
                <c:pt idx="333">
                  <c:v>22</c:v>
                </c:pt>
                <c:pt idx="334">
                  <c:v>135</c:v>
                </c:pt>
                <c:pt idx="335">
                  <c:v>91</c:v>
                </c:pt>
                <c:pt idx="336">
                  <c:v>48</c:v>
                </c:pt>
                <c:pt idx="337">
                  <c:v>117</c:v>
                </c:pt>
                <c:pt idx="338">
                  <c:v>84</c:v>
                </c:pt>
                <c:pt idx="339">
                  <c:v>55</c:v>
                </c:pt>
                <c:pt idx="340">
                  <c:v>24</c:v>
                </c:pt>
                <c:pt idx="341">
                  <c:v>59</c:v>
                </c:pt>
                <c:pt idx="342">
                  <c:v>56</c:v>
                </c:pt>
                <c:pt idx="343">
                  <c:v>60</c:v>
                </c:pt>
                <c:pt idx="344">
                  <c:v>25</c:v>
                </c:pt>
                <c:pt idx="345">
                  <c:v>52</c:v>
                </c:pt>
                <c:pt idx="346">
                  <c:v>47</c:v>
                </c:pt>
                <c:pt idx="347">
                  <c:v>93</c:v>
                </c:pt>
                <c:pt idx="348">
                  <c:v>76</c:v>
                </c:pt>
                <c:pt idx="349">
                  <c:v>3</c:v>
                </c:pt>
                <c:pt idx="350">
                  <c:v>5</c:v>
                </c:pt>
                <c:pt idx="351">
                  <c:v>64</c:v>
                </c:pt>
                <c:pt idx="352">
                  <c:v>39</c:v>
                </c:pt>
                <c:pt idx="353">
                  <c:v>68</c:v>
                </c:pt>
                <c:pt idx="354">
                  <c:v>78</c:v>
                </c:pt>
                <c:pt idx="355">
                  <c:v>58</c:v>
                </c:pt>
                <c:pt idx="356">
                  <c:v>42</c:v>
                </c:pt>
                <c:pt idx="357">
                  <c:v>103</c:v>
                </c:pt>
                <c:pt idx="358">
                  <c:v>70</c:v>
                </c:pt>
                <c:pt idx="359">
                  <c:v>9</c:v>
                </c:pt>
                <c:pt idx="360">
                  <c:v>94</c:v>
                </c:pt>
                <c:pt idx="361">
                  <c:v>75</c:v>
                </c:pt>
                <c:pt idx="362">
                  <c:v>16</c:v>
                </c:pt>
                <c:pt idx="363">
                  <c:v>40</c:v>
                </c:pt>
                <c:pt idx="364">
                  <c:v>10</c:v>
                </c:pt>
                <c:pt idx="365">
                  <c:v>16</c:v>
                </c:pt>
                <c:pt idx="366">
                  <c:v>13</c:v>
                </c:pt>
                <c:pt idx="367">
                  <c:v>52</c:v>
                </c:pt>
                <c:pt idx="368">
                  <c:v>30</c:v>
                </c:pt>
                <c:pt idx="369">
                  <c:v>15</c:v>
                </c:pt>
                <c:pt idx="370">
                  <c:v>13</c:v>
                </c:pt>
                <c:pt idx="371">
                  <c:v>39</c:v>
                </c:pt>
                <c:pt idx="372">
                  <c:v>86</c:v>
                </c:pt>
                <c:pt idx="373">
                  <c:v>31</c:v>
                </c:pt>
                <c:pt idx="374">
                  <c:v>19</c:v>
                </c:pt>
                <c:pt idx="375">
                  <c:v>17</c:v>
                </c:pt>
                <c:pt idx="376">
                  <c:v>29</c:v>
                </c:pt>
                <c:pt idx="377">
                  <c:v>15</c:v>
                </c:pt>
                <c:pt idx="378">
                  <c:v>17</c:v>
                </c:pt>
                <c:pt idx="379">
                  <c:v>16</c:v>
                </c:pt>
                <c:pt idx="380">
                  <c:v>16</c:v>
                </c:pt>
                <c:pt idx="381">
                  <c:v>12</c:v>
                </c:pt>
                <c:pt idx="382">
                  <c:v>42</c:v>
                </c:pt>
                <c:pt idx="383">
                  <c:v>45</c:v>
                </c:pt>
                <c:pt idx="384">
                  <c:v>46</c:v>
                </c:pt>
                <c:pt idx="385">
                  <c:v>44</c:v>
                </c:pt>
                <c:pt idx="386">
                  <c:v>15</c:v>
                </c:pt>
                <c:pt idx="387">
                  <c:v>9</c:v>
                </c:pt>
                <c:pt idx="388">
                  <c:v>28</c:v>
                </c:pt>
                <c:pt idx="389">
                  <c:v>49</c:v>
                </c:pt>
                <c:pt idx="390">
                  <c:v>18</c:v>
                </c:pt>
                <c:pt idx="391">
                  <c:v>113</c:v>
                </c:pt>
                <c:pt idx="392">
                  <c:v>9</c:v>
                </c:pt>
                <c:pt idx="393">
                  <c:v>10</c:v>
                </c:pt>
                <c:pt idx="394">
                  <c:v>13</c:v>
                </c:pt>
                <c:pt idx="395">
                  <c:v>21</c:v>
                </c:pt>
                <c:pt idx="396">
                  <c:v>40</c:v>
                </c:pt>
                <c:pt idx="397">
                  <c:v>32</c:v>
                </c:pt>
                <c:pt idx="398">
                  <c:v>32</c:v>
                </c:pt>
                <c:pt idx="399">
                  <c:v>28</c:v>
                </c:pt>
                <c:pt idx="400">
                  <c:v>11</c:v>
                </c:pt>
                <c:pt idx="401">
                  <c:v>11</c:v>
                </c:pt>
                <c:pt idx="402">
                  <c:v>23</c:v>
                </c:pt>
                <c:pt idx="403">
                  <c:v>23</c:v>
                </c:pt>
                <c:pt idx="404">
                  <c:v>14</c:v>
                </c:pt>
                <c:pt idx="405">
                  <c:v>20</c:v>
                </c:pt>
                <c:pt idx="406">
                  <c:v>15</c:v>
                </c:pt>
                <c:pt idx="407">
                  <c:v>23</c:v>
                </c:pt>
                <c:pt idx="408">
                  <c:v>122</c:v>
                </c:pt>
                <c:pt idx="409">
                  <c:v>189</c:v>
                </c:pt>
                <c:pt idx="410">
                  <c:v>568</c:v>
                </c:pt>
                <c:pt idx="411">
                  <c:v>148</c:v>
                </c:pt>
                <c:pt idx="412">
                  <c:v>149</c:v>
                </c:pt>
                <c:pt idx="413">
                  <c:v>255</c:v>
                </c:pt>
                <c:pt idx="414">
                  <c:v>166</c:v>
                </c:pt>
                <c:pt idx="415">
                  <c:v>176</c:v>
                </c:pt>
                <c:pt idx="416">
                  <c:v>17</c:v>
                </c:pt>
                <c:pt idx="417">
                  <c:v>1</c:v>
                </c:pt>
                <c:pt idx="418">
                  <c:v>64</c:v>
                </c:pt>
                <c:pt idx="419">
                  <c:v>100</c:v>
                </c:pt>
                <c:pt idx="420">
                  <c:v>183</c:v>
                </c:pt>
                <c:pt idx="421">
                  <c:v>306</c:v>
                </c:pt>
                <c:pt idx="422">
                  <c:v>79</c:v>
                </c:pt>
                <c:pt idx="423">
                  <c:v>345</c:v>
                </c:pt>
                <c:pt idx="424">
                  <c:v>85</c:v>
                </c:pt>
                <c:pt idx="425">
                  <c:v>281</c:v>
                </c:pt>
                <c:pt idx="426">
                  <c:v>137</c:v>
                </c:pt>
                <c:pt idx="427">
                  <c:v>209</c:v>
                </c:pt>
                <c:pt idx="428">
                  <c:v>342</c:v>
                </c:pt>
                <c:pt idx="429">
                  <c:v>135</c:v>
                </c:pt>
                <c:pt idx="430">
                  <c:v>56</c:v>
                </c:pt>
                <c:pt idx="431">
                  <c:v>791</c:v>
                </c:pt>
                <c:pt idx="432">
                  <c:v>94</c:v>
                </c:pt>
                <c:pt idx="433">
                  <c:v>282</c:v>
                </c:pt>
                <c:pt idx="434">
                  <c:v>52</c:v>
                </c:pt>
                <c:pt idx="435">
                  <c:v>46</c:v>
                </c:pt>
                <c:pt idx="436">
                  <c:v>39</c:v>
                </c:pt>
                <c:pt idx="437">
                  <c:v>54</c:v>
                </c:pt>
                <c:pt idx="438">
                  <c:v>22</c:v>
                </c:pt>
                <c:pt idx="439">
                  <c:v>243</c:v>
                </c:pt>
                <c:pt idx="440">
                  <c:v>28</c:v>
                </c:pt>
                <c:pt idx="441">
                  <c:v>99</c:v>
                </c:pt>
                <c:pt idx="442">
                  <c:v>38</c:v>
                </c:pt>
                <c:pt idx="443">
                  <c:v>32</c:v>
                </c:pt>
                <c:pt idx="444">
                  <c:v>132</c:v>
                </c:pt>
                <c:pt idx="445">
                  <c:v>108</c:v>
                </c:pt>
                <c:pt idx="446">
                  <c:v>24</c:v>
                </c:pt>
                <c:pt idx="447">
                  <c:v>52</c:v>
                </c:pt>
                <c:pt idx="448">
                  <c:v>62</c:v>
                </c:pt>
                <c:pt idx="449">
                  <c:v>32</c:v>
                </c:pt>
                <c:pt idx="450">
                  <c:v>145</c:v>
                </c:pt>
                <c:pt idx="451">
                  <c:v>42</c:v>
                </c:pt>
                <c:pt idx="452">
                  <c:v>39</c:v>
                </c:pt>
                <c:pt idx="453">
                  <c:v>30</c:v>
                </c:pt>
                <c:pt idx="454">
                  <c:v>50</c:v>
                </c:pt>
                <c:pt idx="455">
                  <c:v>270</c:v>
                </c:pt>
                <c:pt idx="456">
                  <c:v>91</c:v>
                </c:pt>
              </c:numCache>
            </c:numRef>
          </c:yVal>
          <c:smooth val="0"/>
          <c:extLst>
            <c:ext xmlns:c16="http://schemas.microsoft.com/office/drawing/2014/chart" uri="{C3380CC4-5D6E-409C-BE32-E72D297353CC}">
              <c16:uniqueId val="{00000000-4306-4503-B301-D6F8A5B542F8}"/>
            </c:ext>
          </c:extLst>
        </c:ser>
        <c:dLbls>
          <c:showLegendKey val="0"/>
          <c:showVal val="0"/>
          <c:showCatName val="0"/>
          <c:showSerName val="0"/>
          <c:showPercent val="0"/>
          <c:showBubbleSize val="0"/>
        </c:dLbls>
        <c:axId val="948136464"/>
        <c:axId val="948140784"/>
      </c:scatterChart>
      <c:valAx>
        <c:axId val="948136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40784"/>
        <c:crosses val="autoZero"/>
        <c:crossBetween val="midCat"/>
      </c:valAx>
      <c:valAx>
        <c:axId val="9481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3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Main!$M$1</c:f>
              <c:strCache>
                <c:ptCount val="1"/>
                <c:pt idx="0">
                  <c:v>heavy</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6265559758099483"/>
                  <c:y val="-0.558248760571595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Main!$M$2:$M$507</c:f>
              <c:numCache>
                <c:formatCode>General</c:formatCode>
                <c:ptCount val="506"/>
                <c:pt idx="0">
                  <c:v>104</c:v>
                </c:pt>
                <c:pt idx="1">
                  <c:v>28</c:v>
                </c:pt>
                <c:pt idx="2">
                  <c:v>44</c:v>
                </c:pt>
                <c:pt idx="3">
                  <c:v>52</c:v>
                </c:pt>
                <c:pt idx="4">
                  <c:v>16</c:v>
                </c:pt>
                <c:pt idx="5">
                  <c:v>20</c:v>
                </c:pt>
                <c:pt idx="6">
                  <c:v>2</c:v>
                </c:pt>
                <c:pt idx="7">
                  <c:v>6</c:v>
                </c:pt>
                <c:pt idx="8">
                  <c:v>37</c:v>
                </c:pt>
                <c:pt idx="9">
                  <c:v>38</c:v>
                </c:pt>
                <c:pt idx="10">
                  <c:v>49</c:v>
                </c:pt>
                <c:pt idx="11">
                  <c:v>7</c:v>
                </c:pt>
                <c:pt idx="12">
                  <c:v>6</c:v>
                </c:pt>
                <c:pt idx="13">
                  <c:v>9</c:v>
                </c:pt>
                <c:pt idx="14">
                  <c:v>30</c:v>
                </c:pt>
                <c:pt idx="15">
                  <c:v>12</c:v>
                </c:pt>
                <c:pt idx="16">
                  <c:v>35</c:v>
                </c:pt>
                <c:pt idx="17">
                  <c:v>18</c:v>
                </c:pt>
                <c:pt idx="18">
                  <c:v>47</c:v>
                </c:pt>
                <c:pt idx="19">
                  <c:v>21</c:v>
                </c:pt>
                <c:pt idx="20">
                  <c:v>64</c:v>
                </c:pt>
                <c:pt idx="21">
                  <c:v>11</c:v>
                </c:pt>
                <c:pt idx="22">
                  <c:v>23</c:v>
                </c:pt>
                <c:pt idx="23">
                  <c:v>124</c:v>
                </c:pt>
                <c:pt idx="24">
                  <c:v>18</c:v>
                </c:pt>
                <c:pt idx="25">
                  <c:v>84</c:v>
                </c:pt>
                <c:pt idx="26">
                  <c:v>45</c:v>
                </c:pt>
                <c:pt idx="27">
                  <c:v>58</c:v>
                </c:pt>
                <c:pt idx="28">
                  <c:v>0</c:v>
                </c:pt>
                <c:pt idx="29">
                  <c:v>0</c:v>
                </c:pt>
                <c:pt idx="30">
                  <c:v>0</c:v>
                </c:pt>
                <c:pt idx="31">
                  <c:v>0</c:v>
                </c:pt>
                <c:pt idx="32">
                  <c:v>50</c:v>
                </c:pt>
                <c:pt idx="33">
                  <c:v>17</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14</c:v>
                </c:pt>
                <c:pt idx="49">
                  <c:v>0</c:v>
                </c:pt>
                <c:pt idx="50">
                  <c:v>0</c:v>
                </c:pt>
                <c:pt idx="51">
                  <c:v>0</c:v>
                </c:pt>
                <c:pt idx="52">
                  <c:v>0</c:v>
                </c:pt>
                <c:pt idx="53">
                  <c:v>0</c:v>
                </c:pt>
                <c:pt idx="54">
                  <c:v>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12</c:v>
                </c:pt>
                <c:pt idx="73">
                  <c:v>1</c:v>
                </c:pt>
                <c:pt idx="74">
                  <c:v>0</c:v>
                </c:pt>
                <c:pt idx="75">
                  <c:v>0</c:v>
                </c:pt>
                <c:pt idx="76">
                  <c:v>0</c:v>
                </c:pt>
                <c:pt idx="77">
                  <c:v>0</c:v>
                </c:pt>
                <c:pt idx="78">
                  <c:v>0</c:v>
                </c:pt>
                <c:pt idx="79">
                  <c:v>1</c:v>
                </c:pt>
                <c:pt idx="80">
                  <c:v>0</c:v>
                </c:pt>
                <c:pt idx="81">
                  <c:v>27</c:v>
                </c:pt>
                <c:pt idx="82">
                  <c:v>45</c:v>
                </c:pt>
                <c:pt idx="83">
                  <c:v>4</c:v>
                </c:pt>
                <c:pt idx="84">
                  <c:v>0</c:v>
                </c:pt>
                <c:pt idx="85">
                  <c:v>0</c:v>
                </c:pt>
                <c:pt idx="86">
                  <c:v>0</c:v>
                </c:pt>
                <c:pt idx="87">
                  <c:v>0</c:v>
                </c:pt>
                <c:pt idx="88">
                  <c:v>0</c:v>
                </c:pt>
                <c:pt idx="89">
                  <c:v>0</c:v>
                </c:pt>
                <c:pt idx="90">
                  <c:v>0</c:v>
                </c:pt>
                <c:pt idx="91">
                  <c:v>0</c:v>
                </c:pt>
                <c:pt idx="92">
                  <c:v>0</c:v>
                </c:pt>
                <c:pt idx="93">
                  <c:v>0</c:v>
                </c:pt>
                <c:pt idx="94">
                  <c:v>0</c:v>
                </c:pt>
                <c:pt idx="95">
                  <c:v>45</c:v>
                </c:pt>
                <c:pt idx="96">
                  <c:v>1</c:v>
                </c:pt>
                <c:pt idx="97">
                  <c:v>40</c:v>
                </c:pt>
                <c:pt idx="98">
                  <c:v>14</c:v>
                </c:pt>
                <c:pt idx="99">
                  <c:v>15</c:v>
                </c:pt>
                <c:pt idx="100">
                  <c:v>5</c:v>
                </c:pt>
                <c:pt idx="101">
                  <c:v>11</c:v>
                </c:pt>
                <c:pt idx="102">
                  <c:v>9</c:v>
                </c:pt>
                <c:pt idx="103">
                  <c:v>8</c:v>
                </c:pt>
                <c:pt idx="104">
                  <c:v>16</c:v>
                </c:pt>
                <c:pt idx="105">
                  <c:v>3</c:v>
                </c:pt>
                <c:pt idx="106">
                  <c:v>2</c:v>
                </c:pt>
                <c:pt idx="107">
                  <c:v>0</c:v>
                </c:pt>
                <c:pt idx="108">
                  <c:v>2</c:v>
                </c:pt>
                <c:pt idx="109">
                  <c:v>8</c:v>
                </c:pt>
                <c:pt idx="110">
                  <c:v>20</c:v>
                </c:pt>
                <c:pt idx="111">
                  <c:v>10</c:v>
                </c:pt>
                <c:pt idx="112">
                  <c:v>5</c:v>
                </c:pt>
                <c:pt idx="113">
                  <c:v>5</c:v>
                </c:pt>
                <c:pt idx="114">
                  <c:v>2</c:v>
                </c:pt>
                <c:pt idx="115">
                  <c:v>12</c:v>
                </c:pt>
                <c:pt idx="116">
                  <c:v>6</c:v>
                </c:pt>
                <c:pt idx="117">
                  <c:v>4</c:v>
                </c:pt>
                <c:pt idx="118">
                  <c:v>0</c:v>
                </c:pt>
                <c:pt idx="119">
                  <c:v>3</c:v>
                </c:pt>
                <c:pt idx="120">
                  <c:v>5</c:v>
                </c:pt>
                <c:pt idx="121">
                  <c:v>1</c:v>
                </c:pt>
                <c:pt idx="122">
                  <c:v>2</c:v>
                </c:pt>
                <c:pt idx="123">
                  <c:v>2</c:v>
                </c:pt>
                <c:pt idx="124">
                  <c:v>0</c:v>
                </c:pt>
                <c:pt idx="125">
                  <c:v>0</c:v>
                </c:pt>
                <c:pt idx="126">
                  <c:v>3</c:v>
                </c:pt>
                <c:pt idx="127">
                  <c:v>0</c:v>
                </c:pt>
                <c:pt idx="128">
                  <c:v>0</c:v>
                </c:pt>
                <c:pt idx="129">
                  <c:v>1</c:v>
                </c:pt>
                <c:pt idx="130">
                  <c:v>0</c:v>
                </c:pt>
                <c:pt idx="131">
                  <c:v>0</c:v>
                </c:pt>
                <c:pt idx="132">
                  <c:v>0</c:v>
                </c:pt>
                <c:pt idx="133">
                  <c:v>0</c:v>
                </c:pt>
                <c:pt idx="134">
                  <c:v>0</c:v>
                </c:pt>
                <c:pt idx="135">
                  <c:v>0</c:v>
                </c:pt>
                <c:pt idx="136">
                  <c:v>0</c:v>
                </c:pt>
                <c:pt idx="137">
                  <c:v>0</c:v>
                </c:pt>
                <c:pt idx="138">
                  <c:v>1</c:v>
                </c:pt>
                <c:pt idx="139">
                  <c:v>0</c:v>
                </c:pt>
                <c:pt idx="140">
                  <c:v>1</c:v>
                </c:pt>
                <c:pt idx="141">
                  <c:v>0</c:v>
                </c:pt>
                <c:pt idx="142">
                  <c:v>0</c:v>
                </c:pt>
                <c:pt idx="143">
                  <c:v>28</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2</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17</c:v>
                </c:pt>
                <c:pt idx="201">
                  <c:v>0</c:v>
                </c:pt>
                <c:pt idx="202">
                  <c:v>19</c:v>
                </c:pt>
                <c:pt idx="203">
                  <c:v>0</c:v>
                </c:pt>
                <c:pt idx="204">
                  <c:v>33</c:v>
                </c:pt>
                <c:pt idx="205">
                  <c:v>25</c:v>
                </c:pt>
                <c:pt idx="206">
                  <c:v>4</c:v>
                </c:pt>
                <c:pt idx="207">
                  <c:v>9</c:v>
                </c:pt>
                <c:pt idx="208">
                  <c:v>10</c:v>
                </c:pt>
                <c:pt idx="209">
                  <c:v>0</c:v>
                </c:pt>
                <c:pt idx="210">
                  <c:v>24</c:v>
                </c:pt>
                <c:pt idx="211">
                  <c:v>5</c:v>
                </c:pt>
                <c:pt idx="212">
                  <c:v>4</c:v>
                </c:pt>
                <c:pt idx="213">
                  <c:v>1</c:v>
                </c:pt>
                <c:pt idx="214">
                  <c:v>13</c:v>
                </c:pt>
                <c:pt idx="215">
                  <c:v>18</c:v>
                </c:pt>
                <c:pt idx="216">
                  <c:v>34</c:v>
                </c:pt>
                <c:pt idx="217">
                  <c:v>31</c:v>
                </c:pt>
                <c:pt idx="218">
                  <c:v>14</c:v>
                </c:pt>
                <c:pt idx="219">
                  <c:v>11</c:v>
                </c:pt>
                <c:pt idx="220">
                  <c:v>2</c:v>
                </c:pt>
                <c:pt idx="221">
                  <c:v>3</c:v>
                </c:pt>
                <c:pt idx="222">
                  <c:v>2</c:v>
                </c:pt>
                <c:pt idx="223">
                  <c:v>77</c:v>
                </c:pt>
                <c:pt idx="224">
                  <c:v>4</c:v>
                </c:pt>
                <c:pt idx="225">
                  <c:v>11</c:v>
                </c:pt>
                <c:pt idx="226">
                  <c:v>4</c:v>
                </c:pt>
                <c:pt idx="227">
                  <c:v>14</c:v>
                </c:pt>
                <c:pt idx="228">
                  <c:v>4</c:v>
                </c:pt>
                <c:pt idx="229">
                  <c:v>6</c:v>
                </c:pt>
                <c:pt idx="230">
                  <c:v>3</c:v>
                </c:pt>
                <c:pt idx="231">
                  <c:v>1</c:v>
                </c:pt>
                <c:pt idx="232">
                  <c:v>2</c:v>
                </c:pt>
                <c:pt idx="233">
                  <c:v>0</c:v>
                </c:pt>
                <c:pt idx="234">
                  <c:v>0</c:v>
                </c:pt>
                <c:pt idx="235">
                  <c:v>8</c:v>
                </c:pt>
                <c:pt idx="236">
                  <c:v>2</c:v>
                </c:pt>
                <c:pt idx="237">
                  <c:v>2</c:v>
                </c:pt>
                <c:pt idx="238">
                  <c:v>1</c:v>
                </c:pt>
                <c:pt idx="239">
                  <c:v>3</c:v>
                </c:pt>
                <c:pt idx="240">
                  <c:v>102</c:v>
                </c:pt>
                <c:pt idx="241">
                  <c:v>3</c:v>
                </c:pt>
                <c:pt idx="242">
                  <c:v>0</c:v>
                </c:pt>
                <c:pt idx="243">
                  <c:v>0</c:v>
                </c:pt>
                <c:pt idx="244">
                  <c:v>0</c:v>
                </c:pt>
                <c:pt idx="245">
                  <c:v>0</c:v>
                </c:pt>
                <c:pt idx="246">
                  <c:v>0</c:v>
                </c:pt>
                <c:pt idx="247">
                  <c:v>0</c:v>
                </c:pt>
                <c:pt idx="248">
                  <c:v>14</c:v>
                </c:pt>
                <c:pt idx="249">
                  <c:v>1</c:v>
                </c:pt>
                <c:pt idx="250">
                  <c:v>9</c:v>
                </c:pt>
                <c:pt idx="251">
                  <c:v>0</c:v>
                </c:pt>
                <c:pt idx="252">
                  <c:v>10</c:v>
                </c:pt>
                <c:pt idx="253">
                  <c:v>9</c:v>
                </c:pt>
                <c:pt idx="254">
                  <c:v>12</c:v>
                </c:pt>
                <c:pt idx="255">
                  <c:v>12</c:v>
                </c:pt>
                <c:pt idx="256">
                  <c:v>24</c:v>
                </c:pt>
                <c:pt idx="257">
                  <c:v>2</c:v>
                </c:pt>
                <c:pt idx="258">
                  <c:v>11</c:v>
                </c:pt>
                <c:pt idx="259">
                  <c:v>4</c:v>
                </c:pt>
                <c:pt idx="260">
                  <c:v>0</c:v>
                </c:pt>
                <c:pt idx="261">
                  <c:v>0</c:v>
                </c:pt>
                <c:pt idx="262">
                  <c:v>0</c:v>
                </c:pt>
                <c:pt idx="263">
                  <c:v>0</c:v>
                </c:pt>
                <c:pt idx="264">
                  <c:v>2</c:v>
                </c:pt>
                <c:pt idx="265">
                  <c:v>6</c:v>
                </c:pt>
                <c:pt idx="266">
                  <c:v>0</c:v>
                </c:pt>
                <c:pt idx="267">
                  <c:v>0</c:v>
                </c:pt>
                <c:pt idx="268">
                  <c:v>1</c:v>
                </c:pt>
                <c:pt idx="269">
                  <c:v>23</c:v>
                </c:pt>
                <c:pt idx="270">
                  <c:v>0</c:v>
                </c:pt>
                <c:pt idx="271">
                  <c:v>0</c:v>
                </c:pt>
                <c:pt idx="272">
                  <c:v>0</c:v>
                </c:pt>
                <c:pt idx="273">
                  <c:v>0</c:v>
                </c:pt>
                <c:pt idx="274">
                  <c:v>5</c:v>
                </c:pt>
                <c:pt idx="275">
                  <c:v>5</c:v>
                </c:pt>
                <c:pt idx="276">
                  <c:v>4</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11</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18</c:v>
                </c:pt>
                <c:pt idx="313">
                  <c:v>4</c:v>
                </c:pt>
                <c:pt idx="314">
                  <c:v>17</c:v>
                </c:pt>
                <c:pt idx="315">
                  <c:v>1</c:v>
                </c:pt>
                <c:pt idx="316">
                  <c:v>0</c:v>
                </c:pt>
                <c:pt idx="317">
                  <c:v>3</c:v>
                </c:pt>
                <c:pt idx="318">
                  <c:v>0</c:v>
                </c:pt>
                <c:pt idx="319">
                  <c:v>0</c:v>
                </c:pt>
                <c:pt idx="320">
                  <c:v>0</c:v>
                </c:pt>
                <c:pt idx="321">
                  <c:v>0</c:v>
                </c:pt>
                <c:pt idx="322">
                  <c:v>0</c:v>
                </c:pt>
                <c:pt idx="323">
                  <c:v>0</c:v>
                </c:pt>
                <c:pt idx="324">
                  <c:v>2</c:v>
                </c:pt>
                <c:pt idx="325">
                  <c:v>0</c:v>
                </c:pt>
                <c:pt idx="326">
                  <c:v>0</c:v>
                </c:pt>
                <c:pt idx="327">
                  <c:v>0</c:v>
                </c:pt>
                <c:pt idx="328">
                  <c:v>0</c:v>
                </c:pt>
                <c:pt idx="329">
                  <c:v>0</c:v>
                </c:pt>
                <c:pt idx="330">
                  <c:v>0</c:v>
                </c:pt>
                <c:pt idx="331">
                  <c:v>0</c:v>
                </c:pt>
                <c:pt idx="332">
                  <c:v>0</c:v>
                </c:pt>
                <c:pt idx="333">
                  <c:v>0</c:v>
                </c:pt>
                <c:pt idx="334">
                  <c:v>0</c:v>
                </c:pt>
                <c:pt idx="335">
                  <c:v>0</c:v>
                </c:pt>
                <c:pt idx="336">
                  <c:v>1</c:v>
                </c:pt>
                <c:pt idx="337">
                  <c:v>241</c:v>
                </c:pt>
                <c:pt idx="338">
                  <c:v>276</c:v>
                </c:pt>
                <c:pt idx="339">
                  <c:v>192</c:v>
                </c:pt>
                <c:pt idx="340">
                  <c:v>4</c:v>
                </c:pt>
                <c:pt idx="341">
                  <c:v>196</c:v>
                </c:pt>
                <c:pt idx="342">
                  <c:v>258</c:v>
                </c:pt>
                <c:pt idx="343">
                  <c:v>264</c:v>
                </c:pt>
                <c:pt idx="344">
                  <c:v>207</c:v>
                </c:pt>
                <c:pt idx="345">
                  <c:v>278</c:v>
                </c:pt>
                <c:pt idx="346">
                  <c:v>281</c:v>
                </c:pt>
                <c:pt idx="347">
                  <c:v>29</c:v>
                </c:pt>
                <c:pt idx="348">
                  <c:v>238</c:v>
                </c:pt>
                <c:pt idx="349">
                  <c:v>4</c:v>
                </c:pt>
                <c:pt idx="350">
                  <c:v>17</c:v>
                </c:pt>
                <c:pt idx="351">
                  <c:v>109</c:v>
                </c:pt>
                <c:pt idx="352">
                  <c:v>75</c:v>
                </c:pt>
                <c:pt idx="353">
                  <c:v>166</c:v>
                </c:pt>
                <c:pt idx="354">
                  <c:v>73</c:v>
                </c:pt>
                <c:pt idx="355">
                  <c:v>135</c:v>
                </c:pt>
                <c:pt idx="356">
                  <c:v>94</c:v>
                </c:pt>
                <c:pt idx="357">
                  <c:v>124</c:v>
                </c:pt>
                <c:pt idx="358">
                  <c:v>7</c:v>
                </c:pt>
                <c:pt idx="359">
                  <c:v>9</c:v>
                </c:pt>
                <c:pt idx="360">
                  <c:v>56</c:v>
                </c:pt>
                <c:pt idx="361">
                  <c:v>1</c:v>
                </c:pt>
                <c:pt idx="362">
                  <c:v>0</c:v>
                </c:pt>
                <c:pt idx="363">
                  <c:v>0</c:v>
                </c:pt>
                <c:pt idx="364">
                  <c:v>0</c:v>
                </c:pt>
                <c:pt idx="365">
                  <c:v>0</c:v>
                </c:pt>
                <c:pt idx="366">
                  <c:v>0</c:v>
                </c:pt>
                <c:pt idx="367">
                  <c:v>0</c:v>
                </c:pt>
                <c:pt idx="368">
                  <c:v>0</c:v>
                </c:pt>
                <c:pt idx="369">
                  <c:v>0</c:v>
                </c:pt>
                <c:pt idx="370">
                  <c:v>0</c:v>
                </c:pt>
                <c:pt idx="371">
                  <c:v>0</c:v>
                </c:pt>
                <c:pt idx="372">
                  <c:v>0</c:v>
                </c:pt>
                <c:pt idx="373">
                  <c:v>1</c:v>
                </c:pt>
                <c:pt idx="374">
                  <c:v>0</c:v>
                </c:pt>
                <c:pt idx="375">
                  <c:v>0</c:v>
                </c:pt>
                <c:pt idx="376">
                  <c:v>0</c:v>
                </c:pt>
                <c:pt idx="377">
                  <c:v>0</c:v>
                </c:pt>
                <c:pt idx="378">
                  <c:v>0</c:v>
                </c:pt>
                <c:pt idx="379">
                  <c:v>0</c:v>
                </c:pt>
                <c:pt idx="380">
                  <c:v>1</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2</c:v>
                </c:pt>
                <c:pt idx="409">
                  <c:v>7</c:v>
                </c:pt>
                <c:pt idx="410">
                  <c:v>6</c:v>
                </c:pt>
                <c:pt idx="411">
                  <c:v>0</c:v>
                </c:pt>
                <c:pt idx="412">
                  <c:v>0</c:v>
                </c:pt>
                <c:pt idx="413">
                  <c:v>0</c:v>
                </c:pt>
                <c:pt idx="414">
                  <c:v>0</c:v>
                </c:pt>
                <c:pt idx="415">
                  <c:v>0</c:v>
                </c:pt>
                <c:pt idx="416">
                  <c:v>0</c:v>
                </c:pt>
                <c:pt idx="417">
                  <c:v>0</c:v>
                </c:pt>
                <c:pt idx="418">
                  <c:v>0</c:v>
                </c:pt>
                <c:pt idx="419">
                  <c:v>1</c:v>
                </c:pt>
                <c:pt idx="420">
                  <c:v>0</c:v>
                </c:pt>
                <c:pt idx="421">
                  <c:v>0</c:v>
                </c:pt>
                <c:pt idx="422">
                  <c:v>0</c:v>
                </c:pt>
                <c:pt idx="423">
                  <c:v>1</c:v>
                </c:pt>
                <c:pt idx="424">
                  <c:v>1</c:v>
                </c:pt>
                <c:pt idx="425">
                  <c:v>8</c:v>
                </c:pt>
                <c:pt idx="426">
                  <c:v>0</c:v>
                </c:pt>
                <c:pt idx="427">
                  <c:v>0</c:v>
                </c:pt>
                <c:pt idx="428">
                  <c:v>0</c:v>
                </c:pt>
                <c:pt idx="429">
                  <c:v>0</c:v>
                </c:pt>
                <c:pt idx="430">
                  <c:v>0</c:v>
                </c:pt>
                <c:pt idx="431">
                  <c:v>4</c:v>
                </c:pt>
                <c:pt idx="432">
                  <c:v>165</c:v>
                </c:pt>
                <c:pt idx="433">
                  <c:v>256</c:v>
                </c:pt>
                <c:pt idx="434">
                  <c:v>0</c:v>
                </c:pt>
                <c:pt idx="435">
                  <c:v>6</c:v>
                </c:pt>
                <c:pt idx="436">
                  <c:v>10</c:v>
                </c:pt>
                <c:pt idx="437">
                  <c:v>21</c:v>
                </c:pt>
                <c:pt idx="438">
                  <c:v>4</c:v>
                </c:pt>
                <c:pt idx="439">
                  <c:v>45</c:v>
                </c:pt>
                <c:pt idx="440">
                  <c:v>3</c:v>
                </c:pt>
                <c:pt idx="441">
                  <c:v>58</c:v>
                </c:pt>
                <c:pt idx="442">
                  <c:v>0</c:v>
                </c:pt>
                <c:pt idx="443">
                  <c:v>5</c:v>
                </c:pt>
                <c:pt idx="444">
                  <c:v>8</c:v>
                </c:pt>
                <c:pt idx="445">
                  <c:v>1</c:v>
                </c:pt>
                <c:pt idx="446">
                  <c:v>0</c:v>
                </c:pt>
                <c:pt idx="447">
                  <c:v>14</c:v>
                </c:pt>
                <c:pt idx="448">
                  <c:v>0</c:v>
                </c:pt>
                <c:pt idx="449">
                  <c:v>5</c:v>
                </c:pt>
                <c:pt idx="450">
                  <c:v>2</c:v>
                </c:pt>
                <c:pt idx="451">
                  <c:v>0</c:v>
                </c:pt>
                <c:pt idx="452">
                  <c:v>0</c:v>
                </c:pt>
                <c:pt idx="453">
                  <c:v>4</c:v>
                </c:pt>
                <c:pt idx="454">
                  <c:v>3</c:v>
                </c:pt>
                <c:pt idx="455">
                  <c:v>4</c:v>
                </c:pt>
                <c:pt idx="456">
                  <c:v>13.572368421052632</c:v>
                </c:pt>
              </c:numCache>
            </c:numRef>
          </c:yVal>
          <c:smooth val="0"/>
          <c:extLst>
            <c:ext xmlns:c16="http://schemas.microsoft.com/office/drawing/2014/chart" uri="{C3380CC4-5D6E-409C-BE32-E72D297353CC}">
              <c16:uniqueId val="{00000000-7E0C-4946-9828-BFFDFD6BB956}"/>
            </c:ext>
          </c:extLst>
        </c:ser>
        <c:dLbls>
          <c:showLegendKey val="0"/>
          <c:showVal val="0"/>
          <c:showCatName val="0"/>
          <c:showSerName val="0"/>
          <c:showPercent val="0"/>
          <c:showBubbleSize val="0"/>
        </c:dLbls>
        <c:axId val="948094944"/>
        <c:axId val="948097344"/>
      </c:scatterChart>
      <c:valAx>
        <c:axId val="948094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097344"/>
        <c:crosses val="autoZero"/>
        <c:crossBetween val="midCat"/>
      </c:valAx>
      <c:valAx>
        <c:axId val="94809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094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Main!$D$1</c:f>
              <c:strCache>
                <c:ptCount val="1"/>
                <c:pt idx="0">
                  <c:v>skipped</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1578275349730973"/>
                  <c:y val="-2.6639326334208225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Main!$D$2:$D$507</c:f>
              <c:numCache>
                <c:formatCode>General</c:formatCode>
                <c:ptCount val="506"/>
                <c:pt idx="0">
                  <c:v>0</c:v>
                </c:pt>
                <c:pt idx="1">
                  <c:v>0</c:v>
                </c:pt>
                <c:pt idx="2">
                  <c:v>1</c:v>
                </c:pt>
                <c:pt idx="3">
                  <c:v>1</c:v>
                </c:pt>
                <c:pt idx="4">
                  <c:v>0</c:v>
                </c:pt>
                <c:pt idx="5">
                  <c:v>0</c:v>
                </c:pt>
                <c:pt idx="6">
                  <c:v>1</c:v>
                </c:pt>
                <c:pt idx="7">
                  <c:v>0</c:v>
                </c:pt>
                <c:pt idx="8">
                  <c:v>1</c:v>
                </c:pt>
                <c:pt idx="9">
                  <c:v>0</c:v>
                </c:pt>
                <c:pt idx="10">
                  <c:v>1</c:v>
                </c:pt>
                <c:pt idx="11">
                  <c:v>0</c:v>
                </c:pt>
                <c:pt idx="12">
                  <c:v>1</c:v>
                </c:pt>
                <c:pt idx="13">
                  <c:v>1</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c:v>
                </c:pt>
                <c:pt idx="73">
                  <c:v>0</c:v>
                </c:pt>
                <c:pt idx="74">
                  <c:v>0</c:v>
                </c:pt>
                <c:pt idx="75">
                  <c:v>0</c:v>
                </c:pt>
                <c:pt idx="76">
                  <c:v>0</c:v>
                </c:pt>
                <c:pt idx="77">
                  <c:v>0</c:v>
                </c:pt>
                <c:pt idx="78">
                  <c:v>0</c:v>
                </c:pt>
                <c:pt idx="79">
                  <c:v>0</c:v>
                </c:pt>
                <c:pt idx="80">
                  <c:v>0</c:v>
                </c:pt>
                <c:pt idx="81">
                  <c:v>0</c:v>
                </c:pt>
                <c:pt idx="82">
                  <c:v>0</c:v>
                </c:pt>
                <c:pt idx="83">
                  <c:v>1</c:v>
                </c:pt>
                <c:pt idx="84">
                  <c:v>0</c:v>
                </c:pt>
                <c:pt idx="85">
                  <c:v>0</c:v>
                </c:pt>
                <c:pt idx="86">
                  <c:v>0</c:v>
                </c:pt>
                <c:pt idx="87">
                  <c:v>0</c:v>
                </c:pt>
                <c:pt idx="88">
                  <c:v>0</c:v>
                </c:pt>
                <c:pt idx="89">
                  <c:v>0</c:v>
                </c:pt>
                <c:pt idx="90">
                  <c:v>0</c:v>
                </c:pt>
                <c:pt idx="91">
                  <c:v>0</c:v>
                </c:pt>
                <c:pt idx="92">
                  <c:v>0</c:v>
                </c:pt>
                <c:pt idx="93">
                  <c:v>0</c:v>
                </c:pt>
                <c:pt idx="94">
                  <c:v>1</c:v>
                </c:pt>
                <c:pt idx="95">
                  <c:v>0</c:v>
                </c:pt>
                <c:pt idx="96">
                  <c:v>0</c:v>
                </c:pt>
                <c:pt idx="97">
                  <c:v>1</c:v>
                </c:pt>
                <c:pt idx="98">
                  <c:v>1</c:v>
                </c:pt>
                <c:pt idx="99">
                  <c:v>1</c:v>
                </c:pt>
                <c:pt idx="100">
                  <c:v>0</c:v>
                </c:pt>
                <c:pt idx="101">
                  <c:v>1</c:v>
                </c:pt>
                <c:pt idx="102">
                  <c:v>1</c:v>
                </c:pt>
                <c:pt idx="103">
                  <c:v>1</c:v>
                </c:pt>
                <c:pt idx="104">
                  <c:v>1</c:v>
                </c:pt>
                <c:pt idx="105">
                  <c:v>1</c:v>
                </c:pt>
                <c:pt idx="106">
                  <c:v>1</c:v>
                </c:pt>
                <c:pt idx="107">
                  <c:v>0</c:v>
                </c:pt>
                <c:pt idx="108">
                  <c:v>1</c:v>
                </c:pt>
                <c:pt idx="109">
                  <c:v>1</c:v>
                </c:pt>
                <c:pt idx="110">
                  <c:v>1</c:v>
                </c:pt>
                <c:pt idx="111">
                  <c:v>1</c:v>
                </c:pt>
                <c:pt idx="112">
                  <c:v>1</c:v>
                </c:pt>
                <c:pt idx="113">
                  <c:v>1</c:v>
                </c:pt>
                <c:pt idx="114">
                  <c:v>1</c:v>
                </c:pt>
                <c:pt idx="115">
                  <c:v>1</c:v>
                </c:pt>
                <c:pt idx="116">
                  <c:v>1</c:v>
                </c:pt>
                <c:pt idx="117">
                  <c:v>0</c:v>
                </c:pt>
                <c:pt idx="118">
                  <c:v>1</c:v>
                </c:pt>
                <c:pt idx="119">
                  <c:v>1</c:v>
                </c:pt>
                <c:pt idx="120">
                  <c:v>0</c:v>
                </c:pt>
                <c:pt idx="121">
                  <c:v>1</c:v>
                </c:pt>
                <c:pt idx="122">
                  <c:v>1</c:v>
                </c:pt>
                <c:pt idx="123">
                  <c:v>1</c:v>
                </c:pt>
                <c:pt idx="124">
                  <c:v>0</c:v>
                </c:pt>
                <c:pt idx="125">
                  <c:v>1</c:v>
                </c:pt>
                <c:pt idx="126">
                  <c:v>1</c:v>
                </c:pt>
                <c:pt idx="127">
                  <c:v>0</c:v>
                </c:pt>
                <c:pt idx="128">
                  <c:v>1</c:v>
                </c:pt>
                <c:pt idx="129">
                  <c:v>0</c:v>
                </c:pt>
                <c:pt idx="130">
                  <c:v>1</c:v>
                </c:pt>
                <c:pt idx="131">
                  <c:v>0</c:v>
                </c:pt>
                <c:pt idx="132">
                  <c:v>1</c:v>
                </c:pt>
                <c:pt idx="133">
                  <c:v>1</c:v>
                </c:pt>
                <c:pt idx="134">
                  <c:v>0</c:v>
                </c:pt>
                <c:pt idx="135">
                  <c:v>0</c:v>
                </c:pt>
                <c:pt idx="136">
                  <c:v>1</c:v>
                </c:pt>
                <c:pt idx="137">
                  <c:v>0</c:v>
                </c:pt>
                <c:pt idx="138">
                  <c:v>1</c:v>
                </c:pt>
                <c:pt idx="139">
                  <c:v>1</c:v>
                </c:pt>
                <c:pt idx="140">
                  <c:v>1</c:v>
                </c:pt>
                <c:pt idx="141">
                  <c:v>0</c:v>
                </c:pt>
                <c:pt idx="142">
                  <c:v>0</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0</c:v>
                </c:pt>
                <c:pt idx="173">
                  <c:v>1</c:v>
                </c:pt>
                <c:pt idx="174">
                  <c:v>1</c:v>
                </c:pt>
                <c:pt idx="175">
                  <c:v>1</c:v>
                </c:pt>
                <c:pt idx="176">
                  <c:v>1</c:v>
                </c:pt>
                <c:pt idx="177">
                  <c:v>1</c:v>
                </c:pt>
                <c:pt idx="178">
                  <c:v>1</c:v>
                </c:pt>
                <c:pt idx="179">
                  <c:v>0</c:v>
                </c:pt>
                <c:pt idx="180">
                  <c:v>1</c:v>
                </c:pt>
                <c:pt idx="181">
                  <c:v>1</c:v>
                </c:pt>
                <c:pt idx="182">
                  <c:v>0</c:v>
                </c:pt>
                <c:pt idx="183">
                  <c:v>0</c:v>
                </c:pt>
                <c:pt idx="184">
                  <c:v>1</c:v>
                </c:pt>
                <c:pt idx="185">
                  <c:v>0</c:v>
                </c:pt>
                <c:pt idx="186">
                  <c:v>1</c:v>
                </c:pt>
                <c:pt idx="187">
                  <c:v>0</c:v>
                </c:pt>
                <c:pt idx="188">
                  <c:v>0</c:v>
                </c:pt>
                <c:pt idx="189">
                  <c:v>1</c:v>
                </c:pt>
                <c:pt idx="190">
                  <c:v>1</c:v>
                </c:pt>
                <c:pt idx="191">
                  <c:v>1</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c:v>
                </c:pt>
                <c:pt idx="217">
                  <c:v>1</c:v>
                </c:pt>
                <c:pt idx="218">
                  <c:v>1</c:v>
                </c:pt>
                <c:pt idx="219">
                  <c:v>1</c:v>
                </c:pt>
                <c:pt idx="220">
                  <c:v>0</c:v>
                </c:pt>
                <c:pt idx="221">
                  <c:v>1</c:v>
                </c:pt>
                <c:pt idx="222">
                  <c:v>1</c:v>
                </c:pt>
                <c:pt idx="223">
                  <c:v>1</c:v>
                </c:pt>
                <c:pt idx="224">
                  <c:v>1</c:v>
                </c:pt>
                <c:pt idx="225">
                  <c:v>1</c:v>
                </c:pt>
                <c:pt idx="226">
                  <c:v>1</c:v>
                </c:pt>
                <c:pt idx="227">
                  <c:v>0</c:v>
                </c:pt>
                <c:pt idx="228">
                  <c:v>1</c:v>
                </c:pt>
                <c:pt idx="229">
                  <c:v>1</c:v>
                </c:pt>
                <c:pt idx="230">
                  <c:v>1</c:v>
                </c:pt>
                <c:pt idx="231">
                  <c:v>1</c:v>
                </c:pt>
                <c:pt idx="232">
                  <c:v>1</c:v>
                </c:pt>
                <c:pt idx="233">
                  <c:v>1</c:v>
                </c:pt>
                <c:pt idx="234">
                  <c:v>1</c:v>
                </c:pt>
                <c:pt idx="235">
                  <c:v>1</c:v>
                </c:pt>
                <c:pt idx="236">
                  <c:v>1</c:v>
                </c:pt>
                <c:pt idx="237">
                  <c:v>1</c:v>
                </c:pt>
                <c:pt idx="238">
                  <c:v>1</c:v>
                </c:pt>
                <c:pt idx="239">
                  <c:v>1</c:v>
                </c:pt>
                <c:pt idx="240">
                  <c:v>0</c:v>
                </c:pt>
                <c:pt idx="241">
                  <c:v>0</c:v>
                </c:pt>
                <c:pt idx="242">
                  <c:v>0</c:v>
                </c:pt>
                <c:pt idx="243">
                  <c:v>0</c:v>
                </c:pt>
                <c:pt idx="244">
                  <c:v>0</c:v>
                </c:pt>
                <c:pt idx="245">
                  <c:v>0</c:v>
                </c:pt>
                <c:pt idx="246">
                  <c:v>0</c:v>
                </c:pt>
                <c:pt idx="247">
                  <c:v>1</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1</c:v>
                </c:pt>
                <c:pt idx="268">
                  <c:v>0</c:v>
                </c:pt>
                <c:pt idx="269">
                  <c:v>0</c:v>
                </c:pt>
                <c:pt idx="270">
                  <c:v>1</c:v>
                </c:pt>
                <c:pt idx="271">
                  <c:v>1</c:v>
                </c:pt>
                <c:pt idx="272">
                  <c:v>1</c:v>
                </c:pt>
                <c:pt idx="273">
                  <c:v>1</c:v>
                </c:pt>
                <c:pt idx="274">
                  <c:v>1</c:v>
                </c:pt>
                <c:pt idx="275">
                  <c:v>0</c:v>
                </c:pt>
                <c:pt idx="276">
                  <c:v>1</c:v>
                </c:pt>
                <c:pt idx="277">
                  <c:v>1</c:v>
                </c:pt>
                <c:pt idx="278">
                  <c:v>0</c:v>
                </c:pt>
                <c:pt idx="279">
                  <c:v>1</c:v>
                </c:pt>
                <c:pt idx="280">
                  <c:v>1</c:v>
                </c:pt>
                <c:pt idx="281">
                  <c:v>0</c:v>
                </c:pt>
                <c:pt idx="282">
                  <c:v>1</c:v>
                </c:pt>
                <c:pt idx="283">
                  <c:v>1</c:v>
                </c:pt>
                <c:pt idx="284">
                  <c:v>1</c:v>
                </c:pt>
                <c:pt idx="285">
                  <c:v>1</c:v>
                </c:pt>
                <c:pt idx="286">
                  <c:v>1</c:v>
                </c:pt>
                <c:pt idx="287">
                  <c:v>1</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1</c:v>
                </c:pt>
                <c:pt idx="313">
                  <c:v>1</c:v>
                </c:pt>
                <c:pt idx="314">
                  <c:v>1</c:v>
                </c:pt>
                <c:pt idx="315">
                  <c:v>1</c:v>
                </c:pt>
                <c:pt idx="316">
                  <c:v>1</c:v>
                </c:pt>
                <c:pt idx="317">
                  <c:v>1</c:v>
                </c:pt>
                <c:pt idx="318">
                  <c:v>1</c:v>
                </c:pt>
                <c:pt idx="319">
                  <c:v>1</c:v>
                </c:pt>
                <c:pt idx="320">
                  <c:v>1</c:v>
                </c:pt>
                <c:pt idx="321">
                  <c:v>1</c:v>
                </c:pt>
                <c:pt idx="322">
                  <c:v>1</c:v>
                </c:pt>
                <c:pt idx="323">
                  <c:v>0</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0</c:v>
                </c:pt>
                <c:pt idx="340">
                  <c:v>0</c:v>
                </c:pt>
                <c:pt idx="341">
                  <c:v>0</c:v>
                </c:pt>
                <c:pt idx="342">
                  <c:v>0</c:v>
                </c:pt>
                <c:pt idx="343">
                  <c:v>0</c:v>
                </c:pt>
                <c:pt idx="344">
                  <c:v>1</c:v>
                </c:pt>
                <c:pt idx="345">
                  <c:v>0</c:v>
                </c:pt>
                <c:pt idx="346">
                  <c:v>0</c:v>
                </c:pt>
                <c:pt idx="347">
                  <c:v>0</c:v>
                </c:pt>
                <c:pt idx="348">
                  <c:v>0</c:v>
                </c:pt>
                <c:pt idx="349">
                  <c:v>1</c:v>
                </c:pt>
                <c:pt idx="350">
                  <c:v>1</c:v>
                </c:pt>
                <c:pt idx="351">
                  <c:v>0</c:v>
                </c:pt>
                <c:pt idx="352">
                  <c:v>1</c:v>
                </c:pt>
                <c:pt idx="353">
                  <c:v>0</c:v>
                </c:pt>
                <c:pt idx="354">
                  <c:v>1</c:v>
                </c:pt>
                <c:pt idx="355">
                  <c:v>1</c:v>
                </c:pt>
                <c:pt idx="356">
                  <c:v>0</c:v>
                </c:pt>
                <c:pt idx="357">
                  <c:v>0</c:v>
                </c:pt>
                <c:pt idx="358">
                  <c:v>0</c:v>
                </c:pt>
                <c:pt idx="359">
                  <c:v>1</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1</c:v>
                </c:pt>
                <c:pt idx="417">
                  <c:v>1</c:v>
                </c:pt>
                <c:pt idx="418">
                  <c:v>1</c:v>
                </c:pt>
                <c:pt idx="419">
                  <c:v>1</c:v>
                </c:pt>
                <c:pt idx="420">
                  <c:v>1</c:v>
                </c:pt>
                <c:pt idx="421">
                  <c:v>1</c:v>
                </c:pt>
                <c:pt idx="422">
                  <c:v>0</c:v>
                </c:pt>
                <c:pt idx="423">
                  <c:v>0</c:v>
                </c:pt>
                <c:pt idx="424">
                  <c:v>1</c:v>
                </c:pt>
                <c:pt idx="425">
                  <c:v>0</c:v>
                </c:pt>
                <c:pt idx="426">
                  <c:v>0</c:v>
                </c:pt>
                <c:pt idx="427">
                  <c:v>1</c:v>
                </c:pt>
                <c:pt idx="428">
                  <c:v>0</c:v>
                </c:pt>
                <c:pt idx="429">
                  <c:v>0</c:v>
                </c:pt>
                <c:pt idx="430">
                  <c:v>1</c:v>
                </c:pt>
                <c:pt idx="431">
                  <c:v>1</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0.37061403508771928</c:v>
                </c:pt>
              </c:numCache>
            </c:numRef>
          </c:yVal>
          <c:smooth val="0"/>
          <c:extLst>
            <c:ext xmlns:c16="http://schemas.microsoft.com/office/drawing/2014/chart" uri="{C3380CC4-5D6E-409C-BE32-E72D297353CC}">
              <c16:uniqueId val="{00000000-81F9-4A07-90A2-0636F743B79E}"/>
            </c:ext>
          </c:extLst>
        </c:ser>
        <c:dLbls>
          <c:showLegendKey val="0"/>
          <c:showVal val="0"/>
          <c:showCatName val="0"/>
          <c:showSerName val="0"/>
          <c:showPercent val="0"/>
          <c:showBubbleSize val="0"/>
        </c:dLbls>
        <c:axId val="718892080"/>
        <c:axId val="718888240"/>
      </c:scatterChart>
      <c:valAx>
        <c:axId val="718892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18888240"/>
        <c:crosses val="autoZero"/>
        <c:crossBetween val="midCat"/>
      </c:valAx>
      <c:valAx>
        <c:axId val="71888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18892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Main!$E$1</c:f>
              <c:strCache>
                <c:ptCount val="1"/>
                <c:pt idx="0">
                  <c:v>dodges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6782044572828252"/>
                  <c:y val="-0.55361913094196558"/>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Main!$E$2:$E$507</c:f>
              <c:numCache>
                <c:formatCode>General</c:formatCode>
                <c:ptCount val="506"/>
                <c:pt idx="0">
                  <c:v>40</c:v>
                </c:pt>
                <c:pt idx="1">
                  <c:v>29</c:v>
                </c:pt>
                <c:pt idx="2">
                  <c:v>26</c:v>
                </c:pt>
                <c:pt idx="3">
                  <c:v>1</c:v>
                </c:pt>
                <c:pt idx="4">
                  <c:v>2</c:v>
                </c:pt>
                <c:pt idx="5">
                  <c:v>4</c:v>
                </c:pt>
                <c:pt idx="6">
                  <c:v>7</c:v>
                </c:pt>
                <c:pt idx="7">
                  <c:v>1</c:v>
                </c:pt>
                <c:pt idx="8">
                  <c:v>2</c:v>
                </c:pt>
                <c:pt idx="9">
                  <c:v>4</c:v>
                </c:pt>
                <c:pt idx="10">
                  <c:v>1</c:v>
                </c:pt>
                <c:pt idx="11">
                  <c:v>0</c:v>
                </c:pt>
                <c:pt idx="12">
                  <c:v>0</c:v>
                </c:pt>
                <c:pt idx="13">
                  <c:v>0</c:v>
                </c:pt>
                <c:pt idx="14">
                  <c:v>2</c:v>
                </c:pt>
                <c:pt idx="15">
                  <c:v>2</c:v>
                </c:pt>
                <c:pt idx="16">
                  <c:v>3</c:v>
                </c:pt>
                <c:pt idx="17">
                  <c:v>3</c:v>
                </c:pt>
                <c:pt idx="18">
                  <c:v>2</c:v>
                </c:pt>
                <c:pt idx="19">
                  <c:v>0</c:v>
                </c:pt>
                <c:pt idx="20">
                  <c:v>1</c:v>
                </c:pt>
                <c:pt idx="21">
                  <c:v>1</c:v>
                </c:pt>
                <c:pt idx="22">
                  <c:v>5</c:v>
                </c:pt>
                <c:pt idx="23">
                  <c:v>6</c:v>
                </c:pt>
                <c:pt idx="24">
                  <c:v>34</c:v>
                </c:pt>
                <c:pt idx="25">
                  <c:v>13</c:v>
                </c:pt>
                <c:pt idx="26">
                  <c:v>1</c:v>
                </c:pt>
                <c:pt idx="27">
                  <c:v>0</c:v>
                </c:pt>
                <c:pt idx="28">
                  <c:v>12</c:v>
                </c:pt>
                <c:pt idx="29">
                  <c:v>14</c:v>
                </c:pt>
                <c:pt idx="30">
                  <c:v>29</c:v>
                </c:pt>
                <c:pt idx="31">
                  <c:v>17</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10</c:v>
                </c:pt>
                <c:pt idx="73">
                  <c:v>8</c:v>
                </c:pt>
                <c:pt idx="74">
                  <c:v>0</c:v>
                </c:pt>
                <c:pt idx="75">
                  <c:v>0</c:v>
                </c:pt>
                <c:pt idx="76">
                  <c:v>0</c:v>
                </c:pt>
                <c:pt idx="77">
                  <c:v>0</c:v>
                </c:pt>
                <c:pt idx="78">
                  <c:v>11</c:v>
                </c:pt>
                <c:pt idx="79">
                  <c:v>18</c:v>
                </c:pt>
                <c:pt idx="80">
                  <c:v>0</c:v>
                </c:pt>
                <c:pt idx="81">
                  <c:v>0</c:v>
                </c:pt>
                <c:pt idx="82">
                  <c:v>0</c:v>
                </c:pt>
                <c:pt idx="83">
                  <c:v>0</c:v>
                </c:pt>
                <c:pt idx="84">
                  <c:v>0</c:v>
                </c:pt>
                <c:pt idx="85">
                  <c:v>0</c:v>
                </c:pt>
                <c:pt idx="86">
                  <c:v>0</c:v>
                </c:pt>
                <c:pt idx="87">
                  <c:v>1</c:v>
                </c:pt>
                <c:pt idx="88">
                  <c:v>0</c:v>
                </c:pt>
                <c:pt idx="89">
                  <c:v>0</c:v>
                </c:pt>
                <c:pt idx="90">
                  <c:v>2</c:v>
                </c:pt>
                <c:pt idx="91">
                  <c:v>0</c:v>
                </c:pt>
                <c:pt idx="92">
                  <c:v>0</c:v>
                </c:pt>
                <c:pt idx="93">
                  <c:v>0</c:v>
                </c:pt>
                <c:pt idx="94">
                  <c:v>0</c:v>
                </c:pt>
                <c:pt idx="95">
                  <c:v>3</c:v>
                </c:pt>
                <c:pt idx="96">
                  <c:v>0</c:v>
                </c:pt>
                <c:pt idx="97">
                  <c:v>0</c:v>
                </c:pt>
                <c:pt idx="98">
                  <c:v>1</c:v>
                </c:pt>
                <c:pt idx="99">
                  <c:v>5</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3</c:v>
                </c:pt>
                <c:pt idx="121">
                  <c:v>0</c:v>
                </c:pt>
                <c:pt idx="122">
                  <c:v>0</c:v>
                </c:pt>
                <c:pt idx="123">
                  <c:v>0</c:v>
                </c:pt>
                <c:pt idx="124">
                  <c:v>0</c:v>
                </c:pt>
                <c:pt idx="125">
                  <c:v>5</c:v>
                </c:pt>
                <c:pt idx="126">
                  <c:v>13</c:v>
                </c:pt>
                <c:pt idx="127">
                  <c:v>0</c:v>
                </c:pt>
                <c:pt idx="128">
                  <c:v>3</c:v>
                </c:pt>
                <c:pt idx="129">
                  <c:v>1</c:v>
                </c:pt>
                <c:pt idx="130">
                  <c:v>2</c:v>
                </c:pt>
                <c:pt idx="131">
                  <c:v>0</c:v>
                </c:pt>
                <c:pt idx="132">
                  <c:v>0</c:v>
                </c:pt>
                <c:pt idx="133">
                  <c:v>1</c:v>
                </c:pt>
                <c:pt idx="134">
                  <c:v>0</c:v>
                </c:pt>
                <c:pt idx="135">
                  <c:v>0</c:v>
                </c:pt>
                <c:pt idx="136">
                  <c:v>0</c:v>
                </c:pt>
                <c:pt idx="137">
                  <c:v>0</c:v>
                </c:pt>
                <c:pt idx="138">
                  <c:v>0</c:v>
                </c:pt>
                <c:pt idx="139">
                  <c:v>0</c:v>
                </c:pt>
                <c:pt idx="140">
                  <c:v>4</c:v>
                </c:pt>
                <c:pt idx="141">
                  <c:v>2</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1</c:v>
                </c:pt>
                <c:pt idx="181">
                  <c:v>0</c:v>
                </c:pt>
                <c:pt idx="182">
                  <c:v>0</c:v>
                </c:pt>
                <c:pt idx="183">
                  <c:v>0</c:v>
                </c:pt>
                <c:pt idx="184">
                  <c:v>0</c:v>
                </c:pt>
                <c:pt idx="185">
                  <c:v>0</c:v>
                </c:pt>
                <c:pt idx="186">
                  <c:v>0</c:v>
                </c:pt>
                <c:pt idx="187">
                  <c:v>0</c:v>
                </c:pt>
                <c:pt idx="188">
                  <c:v>0</c:v>
                </c:pt>
                <c:pt idx="189">
                  <c:v>0</c:v>
                </c:pt>
                <c:pt idx="190">
                  <c:v>0</c:v>
                </c:pt>
                <c:pt idx="191">
                  <c:v>0</c:v>
                </c:pt>
                <c:pt idx="192">
                  <c:v>0</c:v>
                </c:pt>
                <c:pt idx="193">
                  <c:v>1</c:v>
                </c:pt>
                <c:pt idx="194">
                  <c:v>0</c:v>
                </c:pt>
                <c:pt idx="195">
                  <c:v>0</c:v>
                </c:pt>
                <c:pt idx="196">
                  <c:v>0</c:v>
                </c:pt>
                <c:pt idx="197">
                  <c:v>3</c:v>
                </c:pt>
                <c:pt idx="198">
                  <c:v>4</c:v>
                </c:pt>
                <c:pt idx="199">
                  <c:v>3</c:v>
                </c:pt>
                <c:pt idx="200">
                  <c:v>0</c:v>
                </c:pt>
                <c:pt idx="201">
                  <c:v>3</c:v>
                </c:pt>
                <c:pt idx="202">
                  <c:v>3</c:v>
                </c:pt>
                <c:pt idx="203">
                  <c:v>0</c:v>
                </c:pt>
                <c:pt idx="204">
                  <c:v>2</c:v>
                </c:pt>
                <c:pt idx="205">
                  <c:v>0</c:v>
                </c:pt>
                <c:pt idx="206">
                  <c:v>1</c:v>
                </c:pt>
                <c:pt idx="207">
                  <c:v>1</c:v>
                </c:pt>
                <c:pt idx="208">
                  <c:v>0</c:v>
                </c:pt>
                <c:pt idx="209">
                  <c:v>0</c:v>
                </c:pt>
                <c:pt idx="210">
                  <c:v>0</c:v>
                </c:pt>
                <c:pt idx="211">
                  <c:v>1</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23</c:v>
                </c:pt>
                <c:pt idx="241">
                  <c:v>101</c:v>
                </c:pt>
                <c:pt idx="242">
                  <c:v>10</c:v>
                </c:pt>
                <c:pt idx="243">
                  <c:v>14</c:v>
                </c:pt>
                <c:pt idx="244">
                  <c:v>0</c:v>
                </c:pt>
                <c:pt idx="245">
                  <c:v>9</c:v>
                </c:pt>
                <c:pt idx="246">
                  <c:v>13</c:v>
                </c:pt>
                <c:pt idx="247">
                  <c:v>5</c:v>
                </c:pt>
                <c:pt idx="248">
                  <c:v>107</c:v>
                </c:pt>
                <c:pt idx="249">
                  <c:v>2</c:v>
                </c:pt>
                <c:pt idx="250">
                  <c:v>3</c:v>
                </c:pt>
                <c:pt idx="251">
                  <c:v>1</c:v>
                </c:pt>
                <c:pt idx="252">
                  <c:v>6</c:v>
                </c:pt>
                <c:pt idx="253">
                  <c:v>3</c:v>
                </c:pt>
                <c:pt idx="254">
                  <c:v>3</c:v>
                </c:pt>
                <c:pt idx="255">
                  <c:v>1</c:v>
                </c:pt>
                <c:pt idx="256">
                  <c:v>39</c:v>
                </c:pt>
                <c:pt idx="257">
                  <c:v>1</c:v>
                </c:pt>
                <c:pt idx="258">
                  <c:v>11</c:v>
                </c:pt>
                <c:pt idx="259">
                  <c:v>1</c:v>
                </c:pt>
                <c:pt idx="260">
                  <c:v>3</c:v>
                </c:pt>
                <c:pt idx="261">
                  <c:v>1</c:v>
                </c:pt>
                <c:pt idx="262">
                  <c:v>0</c:v>
                </c:pt>
                <c:pt idx="263">
                  <c:v>1</c:v>
                </c:pt>
                <c:pt idx="264">
                  <c:v>0</c:v>
                </c:pt>
                <c:pt idx="265">
                  <c:v>1</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3</c:v>
                </c:pt>
                <c:pt idx="283">
                  <c:v>3</c:v>
                </c:pt>
                <c:pt idx="284">
                  <c:v>1</c:v>
                </c:pt>
                <c:pt idx="285">
                  <c:v>0</c:v>
                </c:pt>
                <c:pt idx="286">
                  <c:v>0</c:v>
                </c:pt>
                <c:pt idx="287">
                  <c:v>0</c:v>
                </c:pt>
                <c:pt idx="288">
                  <c:v>5</c:v>
                </c:pt>
                <c:pt idx="289">
                  <c:v>6</c:v>
                </c:pt>
                <c:pt idx="290">
                  <c:v>3</c:v>
                </c:pt>
                <c:pt idx="291">
                  <c:v>9</c:v>
                </c:pt>
                <c:pt idx="292">
                  <c:v>2</c:v>
                </c:pt>
                <c:pt idx="293">
                  <c:v>2</c:v>
                </c:pt>
                <c:pt idx="294">
                  <c:v>3</c:v>
                </c:pt>
                <c:pt idx="295">
                  <c:v>64</c:v>
                </c:pt>
                <c:pt idx="296">
                  <c:v>6</c:v>
                </c:pt>
                <c:pt idx="297">
                  <c:v>0</c:v>
                </c:pt>
                <c:pt idx="298">
                  <c:v>0</c:v>
                </c:pt>
                <c:pt idx="299">
                  <c:v>0</c:v>
                </c:pt>
                <c:pt idx="300">
                  <c:v>0</c:v>
                </c:pt>
                <c:pt idx="301">
                  <c:v>0</c:v>
                </c:pt>
                <c:pt idx="302">
                  <c:v>0</c:v>
                </c:pt>
                <c:pt idx="303">
                  <c:v>0</c:v>
                </c:pt>
                <c:pt idx="304">
                  <c:v>1</c:v>
                </c:pt>
                <c:pt idx="305">
                  <c:v>0</c:v>
                </c:pt>
                <c:pt idx="306">
                  <c:v>10</c:v>
                </c:pt>
                <c:pt idx="307">
                  <c:v>4</c:v>
                </c:pt>
                <c:pt idx="308">
                  <c:v>0</c:v>
                </c:pt>
                <c:pt idx="309">
                  <c:v>1</c:v>
                </c:pt>
                <c:pt idx="310">
                  <c:v>1</c:v>
                </c:pt>
                <c:pt idx="311">
                  <c:v>7</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37</c:v>
                </c:pt>
                <c:pt idx="337">
                  <c:v>10</c:v>
                </c:pt>
                <c:pt idx="338">
                  <c:v>0</c:v>
                </c:pt>
                <c:pt idx="339">
                  <c:v>0</c:v>
                </c:pt>
                <c:pt idx="340">
                  <c:v>0</c:v>
                </c:pt>
                <c:pt idx="341">
                  <c:v>0</c:v>
                </c:pt>
                <c:pt idx="342">
                  <c:v>0</c:v>
                </c:pt>
                <c:pt idx="343">
                  <c:v>0</c:v>
                </c:pt>
                <c:pt idx="344">
                  <c:v>3</c:v>
                </c:pt>
                <c:pt idx="345">
                  <c:v>0</c:v>
                </c:pt>
                <c:pt idx="346">
                  <c:v>0</c:v>
                </c:pt>
                <c:pt idx="347">
                  <c:v>0</c:v>
                </c:pt>
                <c:pt idx="348">
                  <c:v>0</c:v>
                </c:pt>
                <c:pt idx="349">
                  <c:v>0</c:v>
                </c:pt>
                <c:pt idx="350">
                  <c:v>0</c:v>
                </c:pt>
                <c:pt idx="351">
                  <c:v>0</c:v>
                </c:pt>
                <c:pt idx="352">
                  <c:v>0</c:v>
                </c:pt>
                <c:pt idx="353">
                  <c:v>0</c:v>
                </c:pt>
                <c:pt idx="354">
                  <c:v>1</c:v>
                </c:pt>
                <c:pt idx="355">
                  <c:v>0</c:v>
                </c:pt>
                <c:pt idx="356">
                  <c:v>0</c:v>
                </c:pt>
                <c:pt idx="357">
                  <c:v>0</c:v>
                </c:pt>
                <c:pt idx="358">
                  <c:v>0</c:v>
                </c:pt>
                <c:pt idx="359">
                  <c:v>0</c:v>
                </c:pt>
                <c:pt idx="360">
                  <c:v>65</c:v>
                </c:pt>
                <c:pt idx="361">
                  <c:v>63</c:v>
                </c:pt>
                <c:pt idx="362">
                  <c:v>10</c:v>
                </c:pt>
                <c:pt idx="363">
                  <c:v>15</c:v>
                </c:pt>
                <c:pt idx="364">
                  <c:v>4</c:v>
                </c:pt>
                <c:pt idx="365">
                  <c:v>5</c:v>
                </c:pt>
                <c:pt idx="366">
                  <c:v>6</c:v>
                </c:pt>
                <c:pt idx="367">
                  <c:v>19</c:v>
                </c:pt>
                <c:pt idx="368">
                  <c:v>8</c:v>
                </c:pt>
                <c:pt idx="369">
                  <c:v>7</c:v>
                </c:pt>
                <c:pt idx="370">
                  <c:v>4</c:v>
                </c:pt>
                <c:pt idx="371">
                  <c:v>4</c:v>
                </c:pt>
                <c:pt idx="372">
                  <c:v>21</c:v>
                </c:pt>
                <c:pt idx="373">
                  <c:v>7</c:v>
                </c:pt>
                <c:pt idx="374">
                  <c:v>7</c:v>
                </c:pt>
                <c:pt idx="375">
                  <c:v>5</c:v>
                </c:pt>
                <c:pt idx="376">
                  <c:v>9</c:v>
                </c:pt>
                <c:pt idx="377">
                  <c:v>10</c:v>
                </c:pt>
                <c:pt idx="378">
                  <c:v>11</c:v>
                </c:pt>
                <c:pt idx="379">
                  <c:v>6</c:v>
                </c:pt>
                <c:pt idx="380">
                  <c:v>12</c:v>
                </c:pt>
                <c:pt idx="381">
                  <c:v>5</c:v>
                </c:pt>
                <c:pt idx="382">
                  <c:v>17</c:v>
                </c:pt>
                <c:pt idx="383">
                  <c:v>9</c:v>
                </c:pt>
                <c:pt idx="384">
                  <c:v>104</c:v>
                </c:pt>
                <c:pt idx="385">
                  <c:v>54</c:v>
                </c:pt>
                <c:pt idx="386">
                  <c:v>18</c:v>
                </c:pt>
                <c:pt idx="387">
                  <c:v>11</c:v>
                </c:pt>
                <c:pt idx="388">
                  <c:v>1</c:v>
                </c:pt>
                <c:pt idx="389">
                  <c:v>2</c:v>
                </c:pt>
                <c:pt idx="390">
                  <c:v>3</c:v>
                </c:pt>
                <c:pt idx="391">
                  <c:v>87</c:v>
                </c:pt>
                <c:pt idx="392">
                  <c:v>7</c:v>
                </c:pt>
                <c:pt idx="393">
                  <c:v>2</c:v>
                </c:pt>
                <c:pt idx="394">
                  <c:v>6</c:v>
                </c:pt>
                <c:pt idx="395">
                  <c:v>1</c:v>
                </c:pt>
                <c:pt idx="396">
                  <c:v>16</c:v>
                </c:pt>
                <c:pt idx="397">
                  <c:v>15</c:v>
                </c:pt>
                <c:pt idx="398">
                  <c:v>3</c:v>
                </c:pt>
                <c:pt idx="399">
                  <c:v>3</c:v>
                </c:pt>
                <c:pt idx="400">
                  <c:v>6</c:v>
                </c:pt>
                <c:pt idx="401">
                  <c:v>0</c:v>
                </c:pt>
                <c:pt idx="402">
                  <c:v>7</c:v>
                </c:pt>
                <c:pt idx="403">
                  <c:v>2</c:v>
                </c:pt>
                <c:pt idx="404">
                  <c:v>3</c:v>
                </c:pt>
                <c:pt idx="405">
                  <c:v>8</c:v>
                </c:pt>
                <c:pt idx="406">
                  <c:v>3</c:v>
                </c:pt>
                <c:pt idx="407">
                  <c:v>2</c:v>
                </c:pt>
                <c:pt idx="408">
                  <c:v>1</c:v>
                </c:pt>
                <c:pt idx="409">
                  <c:v>1</c:v>
                </c:pt>
                <c:pt idx="410">
                  <c:v>5</c:v>
                </c:pt>
                <c:pt idx="411">
                  <c:v>0</c:v>
                </c:pt>
                <c:pt idx="412">
                  <c:v>0</c:v>
                </c:pt>
                <c:pt idx="413">
                  <c:v>0</c:v>
                </c:pt>
                <c:pt idx="414">
                  <c:v>2</c:v>
                </c:pt>
                <c:pt idx="415">
                  <c:v>1</c:v>
                </c:pt>
                <c:pt idx="416">
                  <c:v>2</c:v>
                </c:pt>
                <c:pt idx="417">
                  <c:v>1</c:v>
                </c:pt>
                <c:pt idx="418">
                  <c:v>1</c:v>
                </c:pt>
                <c:pt idx="419">
                  <c:v>1</c:v>
                </c:pt>
                <c:pt idx="420">
                  <c:v>1</c:v>
                </c:pt>
                <c:pt idx="421">
                  <c:v>0</c:v>
                </c:pt>
                <c:pt idx="422">
                  <c:v>0</c:v>
                </c:pt>
                <c:pt idx="423">
                  <c:v>0</c:v>
                </c:pt>
                <c:pt idx="424">
                  <c:v>0</c:v>
                </c:pt>
                <c:pt idx="425">
                  <c:v>15</c:v>
                </c:pt>
                <c:pt idx="426">
                  <c:v>0</c:v>
                </c:pt>
                <c:pt idx="427">
                  <c:v>13</c:v>
                </c:pt>
                <c:pt idx="428">
                  <c:v>3</c:v>
                </c:pt>
                <c:pt idx="429">
                  <c:v>0</c:v>
                </c:pt>
                <c:pt idx="430">
                  <c:v>0</c:v>
                </c:pt>
                <c:pt idx="431">
                  <c:v>24</c:v>
                </c:pt>
                <c:pt idx="432">
                  <c:v>0</c:v>
                </c:pt>
                <c:pt idx="433">
                  <c:v>12</c:v>
                </c:pt>
                <c:pt idx="434">
                  <c:v>0</c:v>
                </c:pt>
                <c:pt idx="435">
                  <c:v>0</c:v>
                </c:pt>
                <c:pt idx="436">
                  <c:v>4</c:v>
                </c:pt>
                <c:pt idx="437">
                  <c:v>0</c:v>
                </c:pt>
                <c:pt idx="438">
                  <c:v>0</c:v>
                </c:pt>
                <c:pt idx="439">
                  <c:v>0</c:v>
                </c:pt>
                <c:pt idx="440">
                  <c:v>0</c:v>
                </c:pt>
                <c:pt idx="441">
                  <c:v>0</c:v>
                </c:pt>
                <c:pt idx="442">
                  <c:v>0</c:v>
                </c:pt>
                <c:pt idx="443">
                  <c:v>0</c:v>
                </c:pt>
                <c:pt idx="444">
                  <c:v>6</c:v>
                </c:pt>
                <c:pt idx="445">
                  <c:v>0</c:v>
                </c:pt>
                <c:pt idx="446">
                  <c:v>0</c:v>
                </c:pt>
                <c:pt idx="447">
                  <c:v>1</c:v>
                </c:pt>
                <c:pt idx="448">
                  <c:v>0</c:v>
                </c:pt>
                <c:pt idx="449">
                  <c:v>1</c:v>
                </c:pt>
                <c:pt idx="450">
                  <c:v>0</c:v>
                </c:pt>
                <c:pt idx="451">
                  <c:v>0</c:v>
                </c:pt>
                <c:pt idx="452">
                  <c:v>0</c:v>
                </c:pt>
                <c:pt idx="453">
                  <c:v>0</c:v>
                </c:pt>
                <c:pt idx="454">
                  <c:v>0</c:v>
                </c:pt>
                <c:pt idx="455">
                  <c:v>4</c:v>
                </c:pt>
                <c:pt idx="456">
                  <c:v>3.7543859649122808</c:v>
                </c:pt>
              </c:numCache>
            </c:numRef>
          </c:yVal>
          <c:smooth val="0"/>
          <c:extLst>
            <c:ext xmlns:c16="http://schemas.microsoft.com/office/drawing/2014/chart" uri="{C3380CC4-5D6E-409C-BE32-E72D297353CC}">
              <c16:uniqueId val="{00000000-F4F2-4CDC-A42C-B0F9F6AF9AA7}"/>
            </c:ext>
          </c:extLst>
        </c:ser>
        <c:dLbls>
          <c:showLegendKey val="0"/>
          <c:showVal val="0"/>
          <c:showCatName val="0"/>
          <c:showSerName val="0"/>
          <c:showPercent val="0"/>
          <c:showBubbleSize val="0"/>
        </c:dLbls>
        <c:axId val="1066036944"/>
        <c:axId val="1066033584"/>
      </c:scatterChart>
      <c:valAx>
        <c:axId val="1066036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6033584"/>
        <c:crosses val="autoZero"/>
        <c:crossBetween val="midCat"/>
      </c:valAx>
      <c:valAx>
        <c:axId val="106603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6036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Main!$F$1</c:f>
              <c:strCache>
                <c:ptCount val="1"/>
                <c:pt idx="0">
                  <c:v>sprintes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5985382480456276"/>
                  <c:y val="-0.558248760571595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Main!$F$2:$F$507</c:f>
              <c:numCache>
                <c:formatCode>General</c:formatCode>
                <c:ptCount val="506"/>
                <c:pt idx="0">
                  <c:v>3801</c:v>
                </c:pt>
                <c:pt idx="1">
                  <c:v>1258</c:v>
                </c:pt>
                <c:pt idx="2">
                  <c:v>1353</c:v>
                </c:pt>
                <c:pt idx="3">
                  <c:v>1063</c:v>
                </c:pt>
                <c:pt idx="4">
                  <c:v>51</c:v>
                </c:pt>
                <c:pt idx="5">
                  <c:v>801</c:v>
                </c:pt>
                <c:pt idx="6">
                  <c:v>133</c:v>
                </c:pt>
                <c:pt idx="7">
                  <c:v>1018</c:v>
                </c:pt>
                <c:pt idx="8">
                  <c:v>1933</c:v>
                </c:pt>
                <c:pt idx="9">
                  <c:v>312</c:v>
                </c:pt>
                <c:pt idx="10">
                  <c:v>1259</c:v>
                </c:pt>
                <c:pt idx="11">
                  <c:v>0</c:v>
                </c:pt>
                <c:pt idx="12">
                  <c:v>135</c:v>
                </c:pt>
                <c:pt idx="13">
                  <c:v>849</c:v>
                </c:pt>
                <c:pt idx="14">
                  <c:v>561</c:v>
                </c:pt>
                <c:pt idx="15">
                  <c:v>575</c:v>
                </c:pt>
                <c:pt idx="16">
                  <c:v>2587</c:v>
                </c:pt>
                <c:pt idx="17">
                  <c:v>356</c:v>
                </c:pt>
                <c:pt idx="18">
                  <c:v>1964</c:v>
                </c:pt>
                <c:pt idx="19">
                  <c:v>484</c:v>
                </c:pt>
                <c:pt idx="20">
                  <c:v>2533</c:v>
                </c:pt>
                <c:pt idx="21">
                  <c:v>0</c:v>
                </c:pt>
                <c:pt idx="22">
                  <c:v>1471</c:v>
                </c:pt>
                <c:pt idx="23">
                  <c:v>2786</c:v>
                </c:pt>
                <c:pt idx="24">
                  <c:v>29</c:v>
                </c:pt>
                <c:pt idx="25">
                  <c:v>179</c:v>
                </c:pt>
                <c:pt idx="26">
                  <c:v>13</c:v>
                </c:pt>
                <c:pt idx="27">
                  <c:v>26</c:v>
                </c:pt>
                <c:pt idx="28">
                  <c:v>216</c:v>
                </c:pt>
                <c:pt idx="29">
                  <c:v>0</c:v>
                </c:pt>
                <c:pt idx="30">
                  <c:v>26</c:v>
                </c:pt>
                <c:pt idx="31">
                  <c:v>10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5</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305</c:v>
                </c:pt>
                <c:pt idx="73">
                  <c:v>62</c:v>
                </c:pt>
                <c:pt idx="74">
                  <c:v>0</c:v>
                </c:pt>
                <c:pt idx="75">
                  <c:v>0</c:v>
                </c:pt>
                <c:pt idx="76">
                  <c:v>0</c:v>
                </c:pt>
                <c:pt idx="77">
                  <c:v>0</c:v>
                </c:pt>
                <c:pt idx="78">
                  <c:v>104</c:v>
                </c:pt>
                <c:pt idx="79">
                  <c:v>107</c:v>
                </c:pt>
                <c:pt idx="80">
                  <c:v>0</c:v>
                </c:pt>
                <c:pt idx="81">
                  <c:v>83</c:v>
                </c:pt>
                <c:pt idx="82">
                  <c:v>0</c:v>
                </c:pt>
                <c:pt idx="83">
                  <c:v>0</c:v>
                </c:pt>
                <c:pt idx="84">
                  <c:v>46</c:v>
                </c:pt>
                <c:pt idx="85">
                  <c:v>0</c:v>
                </c:pt>
                <c:pt idx="86">
                  <c:v>0</c:v>
                </c:pt>
                <c:pt idx="87">
                  <c:v>34</c:v>
                </c:pt>
                <c:pt idx="88">
                  <c:v>18</c:v>
                </c:pt>
                <c:pt idx="89">
                  <c:v>55</c:v>
                </c:pt>
                <c:pt idx="90">
                  <c:v>70</c:v>
                </c:pt>
                <c:pt idx="91">
                  <c:v>15</c:v>
                </c:pt>
                <c:pt idx="92">
                  <c:v>19</c:v>
                </c:pt>
                <c:pt idx="93">
                  <c:v>0</c:v>
                </c:pt>
                <c:pt idx="94">
                  <c:v>0</c:v>
                </c:pt>
                <c:pt idx="95">
                  <c:v>62</c:v>
                </c:pt>
                <c:pt idx="96">
                  <c:v>28</c:v>
                </c:pt>
                <c:pt idx="97">
                  <c:v>0</c:v>
                </c:pt>
                <c:pt idx="98">
                  <c:v>151</c:v>
                </c:pt>
                <c:pt idx="99">
                  <c:v>42</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101</c:v>
                </c:pt>
                <c:pt idx="121">
                  <c:v>0</c:v>
                </c:pt>
                <c:pt idx="122">
                  <c:v>0</c:v>
                </c:pt>
                <c:pt idx="123">
                  <c:v>0</c:v>
                </c:pt>
                <c:pt idx="124">
                  <c:v>0</c:v>
                </c:pt>
                <c:pt idx="125">
                  <c:v>196</c:v>
                </c:pt>
                <c:pt idx="126">
                  <c:v>389</c:v>
                </c:pt>
                <c:pt idx="127">
                  <c:v>0</c:v>
                </c:pt>
                <c:pt idx="128">
                  <c:v>154</c:v>
                </c:pt>
                <c:pt idx="129">
                  <c:v>31</c:v>
                </c:pt>
                <c:pt idx="130">
                  <c:v>72</c:v>
                </c:pt>
                <c:pt idx="131">
                  <c:v>0</c:v>
                </c:pt>
                <c:pt idx="132">
                  <c:v>0</c:v>
                </c:pt>
                <c:pt idx="133">
                  <c:v>23</c:v>
                </c:pt>
                <c:pt idx="134">
                  <c:v>0</c:v>
                </c:pt>
                <c:pt idx="135">
                  <c:v>0</c:v>
                </c:pt>
                <c:pt idx="136">
                  <c:v>0</c:v>
                </c:pt>
                <c:pt idx="137">
                  <c:v>0</c:v>
                </c:pt>
                <c:pt idx="138">
                  <c:v>0</c:v>
                </c:pt>
                <c:pt idx="139">
                  <c:v>0</c:v>
                </c:pt>
                <c:pt idx="140">
                  <c:v>173</c:v>
                </c:pt>
                <c:pt idx="141">
                  <c:v>76</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169</c:v>
                </c:pt>
                <c:pt idx="169">
                  <c:v>0</c:v>
                </c:pt>
                <c:pt idx="170">
                  <c:v>0</c:v>
                </c:pt>
                <c:pt idx="171">
                  <c:v>0</c:v>
                </c:pt>
                <c:pt idx="172">
                  <c:v>0</c:v>
                </c:pt>
                <c:pt idx="173">
                  <c:v>0</c:v>
                </c:pt>
                <c:pt idx="174">
                  <c:v>0</c:v>
                </c:pt>
                <c:pt idx="175">
                  <c:v>0</c:v>
                </c:pt>
                <c:pt idx="176">
                  <c:v>0</c:v>
                </c:pt>
                <c:pt idx="177">
                  <c:v>0</c:v>
                </c:pt>
                <c:pt idx="178">
                  <c:v>0</c:v>
                </c:pt>
                <c:pt idx="179">
                  <c:v>0</c:v>
                </c:pt>
                <c:pt idx="180">
                  <c:v>4025</c:v>
                </c:pt>
                <c:pt idx="181">
                  <c:v>0</c:v>
                </c:pt>
                <c:pt idx="182">
                  <c:v>0</c:v>
                </c:pt>
                <c:pt idx="183">
                  <c:v>0</c:v>
                </c:pt>
                <c:pt idx="184">
                  <c:v>0</c:v>
                </c:pt>
                <c:pt idx="185">
                  <c:v>0</c:v>
                </c:pt>
                <c:pt idx="186">
                  <c:v>0</c:v>
                </c:pt>
                <c:pt idx="187">
                  <c:v>0</c:v>
                </c:pt>
                <c:pt idx="188">
                  <c:v>0</c:v>
                </c:pt>
                <c:pt idx="189">
                  <c:v>0</c:v>
                </c:pt>
                <c:pt idx="190">
                  <c:v>0</c:v>
                </c:pt>
                <c:pt idx="191">
                  <c:v>0</c:v>
                </c:pt>
                <c:pt idx="192">
                  <c:v>0</c:v>
                </c:pt>
                <c:pt idx="193">
                  <c:v>31</c:v>
                </c:pt>
                <c:pt idx="194">
                  <c:v>0</c:v>
                </c:pt>
                <c:pt idx="195">
                  <c:v>0</c:v>
                </c:pt>
                <c:pt idx="196">
                  <c:v>0</c:v>
                </c:pt>
                <c:pt idx="197">
                  <c:v>131</c:v>
                </c:pt>
                <c:pt idx="198">
                  <c:v>64</c:v>
                </c:pt>
                <c:pt idx="199">
                  <c:v>82</c:v>
                </c:pt>
                <c:pt idx="200">
                  <c:v>0</c:v>
                </c:pt>
                <c:pt idx="201">
                  <c:v>102</c:v>
                </c:pt>
                <c:pt idx="202">
                  <c:v>109</c:v>
                </c:pt>
                <c:pt idx="203">
                  <c:v>217</c:v>
                </c:pt>
                <c:pt idx="204">
                  <c:v>84</c:v>
                </c:pt>
                <c:pt idx="205">
                  <c:v>0</c:v>
                </c:pt>
                <c:pt idx="206">
                  <c:v>36</c:v>
                </c:pt>
                <c:pt idx="207">
                  <c:v>33</c:v>
                </c:pt>
                <c:pt idx="208">
                  <c:v>0</c:v>
                </c:pt>
                <c:pt idx="209">
                  <c:v>0</c:v>
                </c:pt>
                <c:pt idx="210">
                  <c:v>0</c:v>
                </c:pt>
                <c:pt idx="211">
                  <c:v>37</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113</c:v>
                </c:pt>
                <c:pt idx="241">
                  <c:v>521</c:v>
                </c:pt>
                <c:pt idx="242">
                  <c:v>80</c:v>
                </c:pt>
                <c:pt idx="243">
                  <c:v>62</c:v>
                </c:pt>
                <c:pt idx="244">
                  <c:v>0</c:v>
                </c:pt>
                <c:pt idx="245">
                  <c:v>34</c:v>
                </c:pt>
                <c:pt idx="246">
                  <c:v>64</c:v>
                </c:pt>
                <c:pt idx="247">
                  <c:v>1684</c:v>
                </c:pt>
                <c:pt idx="248">
                  <c:v>568</c:v>
                </c:pt>
                <c:pt idx="249">
                  <c:v>11</c:v>
                </c:pt>
                <c:pt idx="250">
                  <c:v>14</c:v>
                </c:pt>
                <c:pt idx="251">
                  <c:v>4</c:v>
                </c:pt>
                <c:pt idx="252">
                  <c:v>22</c:v>
                </c:pt>
                <c:pt idx="253">
                  <c:v>13</c:v>
                </c:pt>
                <c:pt idx="254">
                  <c:v>12</c:v>
                </c:pt>
                <c:pt idx="255">
                  <c:v>5</c:v>
                </c:pt>
                <c:pt idx="256">
                  <c:v>173</c:v>
                </c:pt>
                <c:pt idx="257">
                  <c:v>6</c:v>
                </c:pt>
                <c:pt idx="258">
                  <c:v>32</c:v>
                </c:pt>
                <c:pt idx="259">
                  <c:v>6</c:v>
                </c:pt>
                <c:pt idx="260">
                  <c:v>14</c:v>
                </c:pt>
                <c:pt idx="261">
                  <c:v>4</c:v>
                </c:pt>
                <c:pt idx="262">
                  <c:v>0</c:v>
                </c:pt>
                <c:pt idx="263">
                  <c:v>0</c:v>
                </c:pt>
                <c:pt idx="264">
                  <c:v>0</c:v>
                </c:pt>
                <c:pt idx="265">
                  <c:v>24</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57</c:v>
                </c:pt>
                <c:pt idx="283">
                  <c:v>48</c:v>
                </c:pt>
                <c:pt idx="284">
                  <c:v>23</c:v>
                </c:pt>
                <c:pt idx="285">
                  <c:v>0</c:v>
                </c:pt>
                <c:pt idx="286">
                  <c:v>0</c:v>
                </c:pt>
                <c:pt idx="287">
                  <c:v>0</c:v>
                </c:pt>
                <c:pt idx="288">
                  <c:v>23</c:v>
                </c:pt>
                <c:pt idx="289">
                  <c:v>32</c:v>
                </c:pt>
                <c:pt idx="290">
                  <c:v>6</c:v>
                </c:pt>
                <c:pt idx="291">
                  <c:v>27</c:v>
                </c:pt>
                <c:pt idx="292">
                  <c:v>11</c:v>
                </c:pt>
                <c:pt idx="293">
                  <c:v>12</c:v>
                </c:pt>
                <c:pt idx="294">
                  <c:v>16</c:v>
                </c:pt>
                <c:pt idx="295">
                  <c:v>639</c:v>
                </c:pt>
                <c:pt idx="296">
                  <c:v>126</c:v>
                </c:pt>
                <c:pt idx="297">
                  <c:v>0</c:v>
                </c:pt>
                <c:pt idx="298">
                  <c:v>0</c:v>
                </c:pt>
                <c:pt idx="299">
                  <c:v>0</c:v>
                </c:pt>
                <c:pt idx="300">
                  <c:v>0</c:v>
                </c:pt>
                <c:pt idx="301">
                  <c:v>0</c:v>
                </c:pt>
                <c:pt idx="302">
                  <c:v>0</c:v>
                </c:pt>
                <c:pt idx="303">
                  <c:v>0</c:v>
                </c:pt>
                <c:pt idx="304">
                  <c:v>6</c:v>
                </c:pt>
                <c:pt idx="305">
                  <c:v>0</c:v>
                </c:pt>
                <c:pt idx="306">
                  <c:v>115</c:v>
                </c:pt>
                <c:pt idx="307">
                  <c:v>5</c:v>
                </c:pt>
                <c:pt idx="308">
                  <c:v>0</c:v>
                </c:pt>
                <c:pt idx="309">
                  <c:v>6</c:v>
                </c:pt>
                <c:pt idx="310">
                  <c:v>5</c:v>
                </c:pt>
                <c:pt idx="311">
                  <c:v>43</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1382</c:v>
                </c:pt>
                <c:pt idx="337">
                  <c:v>344</c:v>
                </c:pt>
                <c:pt idx="338">
                  <c:v>0</c:v>
                </c:pt>
                <c:pt idx="339">
                  <c:v>0</c:v>
                </c:pt>
                <c:pt idx="340">
                  <c:v>0</c:v>
                </c:pt>
                <c:pt idx="341">
                  <c:v>0</c:v>
                </c:pt>
                <c:pt idx="342">
                  <c:v>0</c:v>
                </c:pt>
                <c:pt idx="343">
                  <c:v>0</c:v>
                </c:pt>
                <c:pt idx="344">
                  <c:v>93</c:v>
                </c:pt>
                <c:pt idx="345">
                  <c:v>0</c:v>
                </c:pt>
                <c:pt idx="346">
                  <c:v>0</c:v>
                </c:pt>
                <c:pt idx="347">
                  <c:v>0</c:v>
                </c:pt>
                <c:pt idx="348">
                  <c:v>0</c:v>
                </c:pt>
                <c:pt idx="349">
                  <c:v>0</c:v>
                </c:pt>
                <c:pt idx="350">
                  <c:v>0</c:v>
                </c:pt>
                <c:pt idx="351">
                  <c:v>0</c:v>
                </c:pt>
                <c:pt idx="352">
                  <c:v>0</c:v>
                </c:pt>
                <c:pt idx="353">
                  <c:v>0</c:v>
                </c:pt>
                <c:pt idx="354">
                  <c:v>32</c:v>
                </c:pt>
                <c:pt idx="355">
                  <c:v>0</c:v>
                </c:pt>
                <c:pt idx="356">
                  <c:v>0</c:v>
                </c:pt>
                <c:pt idx="357">
                  <c:v>0</c:v>
                </c:pt>
                <c:pt idx="358">
                  <c:v>0</c:v>
                </c:pt>
                <c:pt idx="359">
                  <c:v>0</c:v>
                </c:pt>
                <c:pt idx="360">
                  <c:v>97</c:v>
                </c:pt>
                <c:pt idx="361">
                  <c:v>109</c:v>
                </c:pt>
                <c:pt idx="362">
                  <c:v>19</c:v>
                </c:pt>
                <c:pt idx="363">
                  <c:v>26</c:v>
                </c:pt>
                <c:pt idx="364">
                  <c:v>9</c:v>
                </c:pt>
                <c:pt idx="365">
                  <c:v>11</c:v>
                </c:pt>
                <c:pt idx="366">
                  <c:v>10</c:v>
                </c:pt>
                <c:pt idx="367">
                  <c:v>39</c:v>
                </c:pt>
                <c:pt idx="368">
                  <c:v>15</c:v>
                </c:pt>
                <c:pt idx="369">
                  <c:v>14</c:v>
                </c:pt>
                <c:pt idx="370">
                  <c:v>9</c:v>
                </c:pt>
                <c:pt idx="371">
                  <c:v>10</c:v>
                </c:pt>
                <c:pt idx="372">
                  <c:v>34</c:v>
                </c:pt>
                <c:pt idx="373">
                  <c:v>15</c:v>
                </c:pt>
                <c:pt idx="374">
                  <c:v>3</c:v>
                </c:pt>
                <c:pt idx="375">
                  <c:v>11</c:v>
                </c:pt>
                <c:pt idx="376">
                  <c:v>18</c:v>
                </c:pt>
                <c:pt idx="377">
                  <c:v>24</c:v>
                </c:pt>
                <c:pt idx="378">
                  <c:v>19</c:v>
                </c:pt>
                <c:pt idx="379">
                  <c:v>10</c:v>
                </c:pt>
                <c:pt idx="380">
                  <c:v>21</c:v>
                </c:pt>
                <c:pt idx="381">
                  <c:v>11</c:v>
                </c:pt>
                <c:pt idx="382">
                  <c:v>18</c:v>
                </c:pt>
                <c:pt idx="383">
                  <c:v>17</c:v>
                </c:pt>
                <c:pt idx="384">
                  <c:v>291</c:v>
                </c:pt>
                <c:pt idx="385">
                  <c:v>173</c:v>
                </c:pt>
                <c:pt idx="386">
                  <c:v>51</c:v>
                </c:pt>
                <c:pt idx="387">
                  <c:v>33</c:v>
                </c:pt>
                <c:pt idx="388">
                  <c:v>4</c:v>
                </c:pt>
                <c:pt idx="389">
                  <c:v>3</c:v>
                </c:pt>
                <c:pt idx="390">
                  <c:v>9</c:v>
                </c:pt>
                <c:pt idx="391">
                  <c:v>274</c:v>
                </c:pt>
                <c:pt idx="392">
                  <c:v>24</c:v>
                </c:pt>
                <c:pt idx="393">
                  <c:v>7</c:v>
                </c:pt>
                <c:pt idx="394">
                  <c:v>18</c:v>
                </c:pt>
                <c:pt idx="395">
                  <c:v>5</c:v>
                </c:pt>
                <c:pt idx="396">
                  <c:v>50</c:v>
                </c:pt>
                <c:pt idx="397">
                  <c:v>42</c:v>
                </c:pt>
                <c:pt idx="398">
                  <c:v>7</c:v>
                </c:pt>
                <c:pt idx="399">
                  <c:v>11</c:v>
                </c:pt>
                <c:pt idx="400">
                  <c:v>20</c:v>
                </c:pt>
                <c:pt idx="401">
                  <c:v>0</c:v>
                </c:pt>
                <c:pt idx="402">
                  <c:v>27</c:v>
                </c:pt>
                <c:pt idx="403">
                  <c:v>4</c:v>
                </c:pt>
                <c:pt idx="404">
                  <c:v>10</c:v>
                </c:pt>
                <c:pt idx="405">
                  <c:v>29</c:v>
                </c:pt>
                <c:pt idx="406">
                  <c:v>7</c:v>
                </c:pt>
                <c:pt idx="407">
                  <c:v>9</c:v>
                </c:pt>
                <c:pt idx="408">
                  <c:v>135</c:v>
                </c:pt>
                <c:pt idx="409">
                  <c:v>154</c:v>
                </c:pt>
                <c:pt idx="410">
                  <c:v>305</c:v>
                </c:pt>
                <c:pt idx="411">
                  <c:v>69</c:v>
                </c:pt>
                <c:pt idx="412">
                  <c:v>63</c:v>
                </c:pt>
                <c:pt idx="413">
                  <c:v>0</c:v>
                </c:pt>
                <c:pt idx="414">
                  <c:v>180</c:v>
                </c:pt>
                <c:pt idx="415">
                  <c:v>221</c:v>
                </c:pt>
                <c:pt idx="416">
                  <c:v>999</c:v>
                </c:pt>
                <c:pt idx="417">
                  <c:v>181</c:v>
                </c:pt>
                <c:pt idx="418">
                  <c:v>491</c:v>
                </c:pt>
                <c:pt idx="419">
                  <c:v>1214</c:v>
                </c:pt>
                <c:pt idx="420">
                  <c:v>192</c:v>
                </c:pt>
                <c:pt idx="421">
                  <c:v>123</c:v>
                </c:pt>
                <c:pt idx="422">
                  <c:v>35</c:v>
                </c:pt>
                <c:pt idx="423">
                  <c:v>59</c:v>
                </c:pt>
                <c:pt idx="424">
                  <c:v>110</c:v>
                </c:pt>
                <c:pt idx="425">
                  <c:v>177</c:v>
                </c:pt>
                <c:pt idx="426">
                  <c:v>0</c:v>
                </c:pt>
                <c:pt idx="427">
                  <c:v>34</c:v>
                </c:pt>
                <c:pt idx="428">
                  <c:v>98</c:v>
                </c:pt>
                <c:pt idx="429">
                  <c:v>16</c:v>
                </c:pt>
                <c:pt idx="430">
                  <c:v>37</c:v>
                </c:pt>
                <c:pt idx="431">
                  <c:v>300</c:v>
                </c:pt>
                <c:pt idx="432">
                  <c:v>0</c:v>
                </c:pt>
                <c:pt idx="433">
                  <c:v>48</c:v>
                </c:pt>
                <c:pt idx="434">
                  <c:v>0</c:v>
                </c:pt>
                <c:pt idx="435">
                  <c:v>0</c:v>
                </c:pt>
                <c:pt idx="436">
                  <c:v>12</c:v>
                </c:pt>
                <c:pt idx="437">
                  <c:v>0</c:v>
                </c:pt>
                <c:pt idx="438">
                  <c:v>0</c:v>
                </c:pt>
                <c:pt idx="439">
                  <c:v>0</c:v>
                </c:pt>
                <c:pt idx="440">
                  <c:v>0</c:v>
                </c:pt>
                <c:pt idx="441">
                  <c:v>0</c:v>
                </c:pt>
                <c:pt idx="442">
                  <c:v>0</c:v>
                </c:pt>
                <c:pt idx="443">
                  <c:v>0</c:v>
                </c:pt>
                <c:pt idx="444">
                  <c:v>17</c:v>
                </c:pt>
                <c:pt idx="445">
                  <c:v>0</c:v>
                </c:pt>
                <c:pt idx="446">
                  <c:v>0</c:v>
                </c:pt>
                <c:pt idx="447">
                  <c:v>4</c:v>
                </c:pt>
                <c:pt idx="448">
                  <c:v>0</c:v>
                </c:pt>
                <c:pt idx="449">
                  <c:v>5</c:v>
                </c:pt>
                <c:pt idx="450">
                  <c:v>0</c:v>
                </c:pt>
                <c:pt idx="451">
                  <c:v>0</c:v>
                </c:pt>
                <c:pt idx="452">
                  <c:v>0</c:v>
                </c:pt>
                <c:pt idx="453">
                  <c:v>0</c:v>
                </c:pt>
                <c:pt idx="454">
                  <c:v>0</c:v>
                </c:pt>
                <c:pt idx="455">
                  <c:v>19</c:v>
                </c:pt>
                <c:pt idx="456">
                  <c:v>107.05043859649123</c:v>
                </c:pt>
              </c:numCache>
            </c:numRef>
          </c:yVal>
          <c:smooth val="0"/>
          <c:extLst>
            <c:ext xmlns:c16="http://schemas.microsoft.com/office/drawing/2014/chart" uri="{C3380CC4-5D6E-409C-BE32-E72D297353CC}">
              <c16:uniqueId val="{00000000-FC7C-4780-8266-75544CF62B69}"/>
            </c:ext>
          </c:extLst>
        </c:ser>
        <c:dLbls>
          <c:showLegendKey val="0"/>
          <c:showVal val="0"/>
          <c:showCatName val="0"/>
          <c:showSerName val="0"/>
          <c:showPercent val="0"/>
          <c:showBubbleSize val="0"/>
        </c:dLbls>
        <c:axId val="948135024"/>
        <c:axId val="948135504"/>
      </c:scatterChart>
      <c:valAx>
        <c:axId val="948135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35504"/>
        <c:crosses val="autoZero"/>
        <c:crossBetween val="midCat"/>
      </c:valAx>
      <c:valAx>
        <c:axId val="94813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35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Main!$G$1</c:f>
              <c:strCache>
                <c:ptCount val="1"/>
                <c:pt idx="0">
                  <c:v>ttk</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1211200512267021"/>
                  <c:y val="-0.58139690871974337"/>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Main!$G$2:$G$507</c:f>
              <c:numCache>
                <c:formatCode>General</c:formatCode>
                <c:ptCount val="506"/>
                <c:pt idx="0">
                  <c:v>766.89359999999999</c:v>
                </c:pt>
                <c:pt idx="1">
                  <c:v>343.72250000000003</c:v>
                </c:pt>
                <c:pt idx="2">
                  <c:v>420.09460000000001</c:v>
                </c:pt>
                <c:pt idx="3">
                  <c:v>175.82730000000001</c:v>
                </c:pt>
                <c:pt idx="4">
                  <c:v>182.32429999999999</c:v>
                </c:pt>
                <c:pt idx="5">
                  <c:v>224.7627</c:v>
                </c:pt>
                <c:pt idx="6">
                  <c:v>101.2097</c:v>
                </c:pt>
                <c:pt idx="7">
                  <c:v>176.5701</c:v>
                </c:pt>
                <c:pt idx="8">
                  <c:v>160.8691</c:v>
                </c:pt>
                <c:pt idx="9">
                  <c:v>325.01639999999998</c:v>
                </c:pt>
                <c:pt idx="10">
                  <c:v>280.2747</c:v>
                </c:pt>
                <c:pt idx="11">
                  <c:v>50.04907</c:v>
                </c:pt>
                <c:pt idx="12">
                  <c:v>22.229489999999998</c:v>
                </c:pt>
                <c:pt idx="13">
                  <c:v>90.126220000000004</c:v>
                </c:pt>
                <c:pt idx="14">
                  <c:v>314.8818</c:v>
                </c:pt>
                <c:pt idx="15">
                  <c:v>129.9871</c:v>
                </c:pt>
                <c:pt idx="16">
                  <c:v>229.45240000000001</c:v>
                </c:pt>
                <c:pt idx="17">
                  <c:v>144.07859999999999</c:v>
                </c:pt>
                <c:pt idx="18">
                  <c:v>190.98050000000001</c:v>
                </c:pt>
                <c:pt idx="19">
                  <c:v>172.1421</c:v>
                </c:pt>
                <c:pt idx="20">
                  <c:v>184.29589999999999</c:v>
                </c:pt>
                <c:pt idx="21">
                  <c:v>40.78369</c:v>
                </c:pt>
                <c:pt idx="22">
                  <c:v>340.36869999999999</c:v>
                </c:pt>
                <c:pt idx="23">
                  <c:v>407.62700000000001</c:v>
                </c:pt>
                <c:pt idx="24">
                  <c:v>170.54689999999999</c:v>
                </c:pt>
                <c:pt idx="25">
                  <c:v>140.756</c:v>
                </c:pt>
                <c:pt idx="26">
                  <c:v>81.802369999999996</c:v>
                </c:pt>
                <c:pt idx="27">
                  <c:v>97.000609999999995</c:v>
                </c:pt>
                <c:pt idx="28">
                  <c:v>68.329830000000001</c:v>
                </c:pt>
                <c:pt idx="29">
                  <c:v>68.308229999999995</c:v>
                </c:pt>
                <c:pt idx="30">
                  <c:v>108.4104</c:v>
                </c:pt>
                <c:pt idx="31">
                  <c:v>123.70350000000001</c:v>
                </c:pt>
                <c:pt idx="32">
                  <c:v>163.14830000000001</c:v>
                </c:pt>
                <c:pt idx="33">
                  <c:v>116.7777</c:v>
                </c:pt>
                <c:pt idx="34">
                  <c:v>61.394530000000003</c:v>
                </c:pt>
                <c:pt idx="35">
                  <c:v>150.32140000000001</c:v>
                </c:pt>
                <c:pt idx="36">
                  <c:v>42.515500000000003</c:v>
                </c:pt>
                <c:pt idx="37">
                  <c:v>53.58325</c:v>
                </c:pt>
                <c:pt idx="38">
                  <c:v>45.767090000000003</c:v>
                </c:pt>
                <c:pt idx="39">
                  <c:v>43.411619999999999</c:v>
                </c:pt>
                <c:pt idx="40">
                  <c:v>63.623779999999996</c:v>
                </c:pt>
                <c:pt idx="41">
                  <c:v>45.416499999999999</c:v>
                </c:pt>
                <c:pt idx="42">
                  <c:v>76.104249999999993</c:v>
                </c:pt>
                <c:pt idx="43">
                  <c:v>55.7395</c:v>
                </c:pt>
                <c:pt idx="44">
                  <c:v>40.280029999999996</c:v>
                </c:pt>
                <c:pt idx="45">
                  <c:v>34.877929999999999</c:v>
                </c:pt>
                <c:pt idx="46">
                  <c:v>64.110349999999997</c:v>
                </c:pt>
                <c:pt idx="47">
                  <c:v>206.18950000000001</c:v>
                </c:pt>
                <c:pt idx="48">
                  <c:v>241.1491</c:v>
                </c:pt>
                <c:pt idx="49">
                  <c:v>33.208620000000003</c:v>
                </c:pt>
                <c:pt idx="50">
                  <c:v>39.480289999999997</c:v>
                </c:pt>
                <c:pt idx="51">
                  <c:v>38.981140000000003</c:v>
                </c:pt>
                <c:pt idx="52">
                  <c:v>35.390929999999997</c:v>
                </c:pt>
                <c:pt idx="53">
                  <c:v>40.907870000000003</c:v>
                </c:pt>
                <c:pt idx="54">
                  <c:v>89.512699999999995</c:v>
                </c:pt>
                <c:pt idx="55">
                  <c:v>71.457700000000003</c:v>
                </c:pt>
                <c:pt idx="56">
                  <c:v>64.251339999999999</c:v>
                </c:pt>
                <c:pt idx="57">
                  <c:v>47.073549999999997</c:v>
                </c:pt>
                <c:pt idx="58">
                  <c:v>49.891419999999997</c:v>
                </c:pt>
                <c:pt idx="59">
                  <c:v>58.084290000000003</c:v>
                </c:pt>
                <c:pt idx="60">
                  <c:v>33.354190000000003</c:v>
                </c:pt>
                <c:pt idx="61">
                  <c:v>60.050420000000003</c:v>
                </c:pt>
                <c:pt idx="62">
                  <c:v>32.363160000000001</c:v>
                </c:pt>
                <c:pt idx="63">
                  <c:v>39.348750000000003</c:v>
                </c:pt>
                <c:pt idx="64">
                  <c:v>98.222049999999996</c:v>
                </c:pt>
                <c:pt idx="65">
                  <c:v>69.224490000000003</c:v>
                </c:pt>
                <c:pt idx="66">
                  <c:v>72.783810000000003</c:v>
                </c:pt>
                <c:pt idx="67">
                  <c:v>43.363160000000001</c:v>
                </c:pt>
                <c:pt idx="68">
                  <c:v>29.779910000000001</c:v>
                </c:pt>
                <c:pt idx="69">
                  <c:v>33.601680000000002</c:v>
                </c:pt>
                <c:pt idx="70">
                  <c:v>34.184690000000003</c:v>
                </c:pt>
                <c:pt idx="71">
                  <c:v>119.11020000000001</c:v>
                </c:pt>
                <c:pt idx="72">
                  <c:v>262.41419999999999</c:v>
                </c:pt>
                <c:pt idx="73">
                  <c:v>114.64230000000001</c:v>
                </c:pt>
                <c:pt idx="74">
                  <c:v>66.429929999999999</c:v>
                </c:pt>
                <c:pt idx="75">
                  <c:v>73.44623</c:v>
                </c:pt>
                <c:pt idx="76">
                  <c:v>14.327819999999999</c:v>
                </c:pt>
                <c:pt idx="77">
                  <c:v>50.96857</c:v>
                </c:pt>
                <c:pt idx="78">
                  <c:v>182.69489999999999</c:v>
                </c:pt>
                <c:pt idx="79">
                  <c:v>235.19479999999999</c:v>
                </c:pt>
                <c:pt idx="80">
                  <c:v>85.941770000000005</c:v>
                </c:pt>
                <c:pt idx="81">
                  <c:v>153.64230000000001</c:v>
                </c:pt>
                <c:pt idx="82">
                  <c:v>279.00209999999998</c:v>
                </c:pt>
                <c:pt idx="83">
                  <c:v>212.55590000000001</c:v>
                </c:pt>
                <c:pt idx="84">
                  <c:v>72.036249999999995</c:v>
                </c:pt>
                <c:pt idx="85">
                  <c:v>51.859859999999998</c:v>
                </c:pt>
                <c:pt idx="86">
                  <c:v>33.08325</c:v>
                </c:pt>
                <c:pt idx="87">
                  <c:v>41.251220000000004</c:v>
                </c:pt>
                <c:pt idx="88">
                  <c:v>98.839110000000005</c:v>
                </c:pt>
                <c:pt idx="89">
                  <c:v>49.626950000000001</c:v>
                </c:pt>
                <c:pt idx="90">
                  <c:v>47.75562</c:v>
                </c:pt>
                <c:pt idx="91">
                  <c:v>31.38062</c:v>
                </c:pt>
                <c:pt idx="92">
                  <c:v>29.026610000000002</c:v>
                </c:pt>
                <c:pt idx="93">
                  <c:v>27.787839999999999</c:v>
                </c:pt>
                <c:pt idx="94">
                  <c:v>105.23099999999999</c:v>
                </c:pt>
                <c:pt idx="95">
                  <c:v>192.2961</c:v>
                </c:pt>
                <c:pt idx="96">
                  <c:v>81.502560000000003</c:v>
                </c:pt>
                <c:pt idx="97">
                  <c:v>189.07769999999999</c:v>
                </c:pt>
                <c:pt idx="98">
                  <c:v>129.83760000000001</c:v>
                </c:pt>
                <c:pt idx="99">
                  <c:v>137.75120000000001</c:v>
                </c:pt>
                <c:pt idx="100">
                  <c:v>24.992799999999999</c:v>
                </c:pt>
                <c:pt idx="101">
                  <c:v>45.712040000000002</c:v>
                </c:pt>
                <c:pt idx="102">
                  <c:v>51.373469999999998</c:v>
                </c:pt>
                <c:pt idx="103">
                  <c:v>31.669370000000001</c:v>
                </c:pt>
                <c:pt idx="104">
                  <c:v>54.98462</c:v>
                </c:pt>
                <c:pt idx="105">
                  <c:v>14.62903</c:v>
                </c:pt>
                <c:pt idx="106">
                  <c:v>44.227229999999999</c:v>
                </c:pt>
                <c:pt idx="107">
                  <c:v>51.050049999999999</c:v>
                </c:pt>
                <c:pt idx="108">
                  <c:v>26.27216</c:v>
                </c:pt>
                <c:pt idx="109">
                  <c:v>36.200130000000001</c:v>
                </c:pt>
                <c:pt idx="110">
                  <c:v>60.023249999999997</c:v>
                </c:pt>
                <c:pt idx="111">
                  <c:v>35.764040000000001</c:v>
                </c:pt>
                <c:pt idx="112">
                  <c:v>18.891719999999999</c:v>
                </c:pt>
                <c:pt idx="113">
                  <c:v>53.104370000000003</c:v>
                </c:pt>
                <c:pt idx="114">
                  <c:v>24.749389999999998</c:v>
                </c:pt>
                <c:pt idx="115">
                  <c:v>48.326540000000001</c:v>
                </c:pt>
                <c:pt idx="116">
                  <c:v>24.002929999999999</c:v>
                </c:pt>
                <c:pt idx="117">
                  <c:v>57.33032</c:v>
                </c:pt>
                <c:pt idx="118">
                  <c:v>35.540529999999997</c:v>
                </c:pt>
                <c:pt idx="119">
                  <c:v>15.161379999999999</c:v>
                </c:pt>
                <c:pt idx="120">
                  <c:v>494.5702</c:v>
                </c:pt>
                <c:pt idx="121">
                  <c:v>81.0976</c:v>
                </c:pt>
                <c:pt idx="122">
                  <c:v>239.97550000000001</c:v>
                </c:pt>
                <c:pt idx="123">
                  <c:v>397.62540000000001</c:v>
                </c:pt>
                <c:pt idx="124">
                  <c:v>62.5426</c:v>
                </c:pt>
                <c:pt idx="125">
                  <c:v>244.63990000000001</c:v>
                </c:pt>
                <c:pt idx="126">
                  <c:v>275.69909999999999</c:v>
                </c:pt>
                <c:pt idx="127">
                  <c:v>96.171880000000002</c:v>
                </c:pt>
                <c:pt idx="128">
                  <c:v>51.259889999999999</c:v>
                </c:pt>
                <c:pt idx="129">
                  <c:v>185.50290000000001</c:v>
                </c:pt>
                <c:pt idx="130">
                  <c:v>148.99459999999999</c:v>
                </c:pt>
                <c:pt idx="131">
                  <c:v>75.476320000000001</c:v>
                </c:pt>
                <c:pt idx="132">
                  <c:v>93.508300000000006</c:v>
                </c:pt>
                <c:pt idx="133">
                  <c:v>92.331540000000004</c:v>
                </c:pt>
                <c:pt idx="134">
                  <c:v>68.506100000000004</c:v>
                </c:pt>
                <c:pt idx="135">
                  <c:v>97.129149999999996</c:v>
                </c:pt>
                <c:pt idx="136">
                  <c:v>72.760009999999994</c:v>
                </c:pt>
                <c:pt idx="137">
                  <c:v>176.8579</c:v>
                </c:pt>
                <c:pt idx="138">
                  <c:v>39.94312</c:v>
                </c:pt>
                <c:pt idx="139">
                  <c:v>65.186279999999996</c:v>
                </c:pt>
                <c:pt idx="140">
                  <c:v>243.4211</c:v>
                </c:pt>
                <c:pt idx="141">
                  <c:v>84.302000000000007</c:v>
                </c:pt>
                <c:pt idx="142">
                  <c:v>175.68020000000001</c:v>
                </c:pt>
                <c:pt idx="143">
                  <c:v>218.43549999999999</c:v>
                </c:pt>
                <c:pt idx="144">
                  <c:v>0.50183909999999998</c:v>
                </c:pt>
                <c:pt idx="145">
                  <c:v>0.3234668</c:v>
                </c:pt>
                <c:pt idx="146">
                  <c:v>0.22148509999999999</c:v>
                </c:pt>
                <c:pt idx="147">
                  <c:v>0.22427269999999999</c:v>
                </c:pt>
                <c:pt idx="148">
                  <c:v>0.27042769999999999</c:v>
                </c:pt>
                <c:pt idx="149">
                  <c:v>0.48777680000000001</c:v>
                </c:pt>
                <c:pt idx="150">
                  <c:v>0.18092349999999999</c:v>
                </c:pt>
                <c:pt idx="151">
                  <c:v>0.17113590000000001</c:v>
                </c:pt>
                <c:pt idx="152">
                  <c:v>0.1356039</c:v>
                </c:pt>
                <c:pt idx="153">
                  <c:v>0.13819409999999999</c:v>
                </c:pt>
                <c:pt idx="154">
                  <c:v>0.1595058</c:v>
                </c:pt>
                <c:pt idx="155">
                  <c:v>0.15256120000000001</c:v>
                </c:pt>
                <c:pt idx="156">
                  <c:v>0.26862720000000001</c:v>
                </c:pt>
                <c:pt idx="157">
                  <c:v>0.1270771</c:v>
                </c:pt>
                <c:pt idx="158">
                  <c:v>0.114399</c:v>
                </c:pt>
                <c:pt idx="159">
                  <c:v>0.24901010000000001</c:v>
                </c:pt>
                <c:pt idx="160">
                  <c:v>0.23706630000000001</c:v>
                </c:pt>
                <c:pt idx="161">
                  <c:v>0.2260742</c:v>
                </c:pt>
                <c:pt idx="162">
                  <c:v>0.1198254</c:v>
                </c:pt>
                <c:pt idx="163">
                  <c:v>9.7042080000000003E-2</c:v>
                </c:pt>
                <c:pt idx="164">
                  <c:v>0.115345</c:v>
                </c:pt>
                <c:pt idx="165">
                  <c:v>8.306885E-2</c:v>
                </c:pt>
                <c:pt idx="166">
                  <c:v>5.2780149999999998E-2</c:v>
                </c:pt>
                <c:pt idx="167">
                  <c:v>1.9708630000000001E-2</c:v>
                </c:pt>
                <c:pt idx="168">
                  <c:v>319.51400000000001</c:v>
                </c:pt>
                <c:pt idx="169">
                  <c:v>259.06099999999998</c:v>
                </c:pt>
                <c:pt idx="170">
                  <c:v>319.22719999999998</c:v>
                </c:pt>
                <c:pt idx="171">
                  <c:v>25.426639999999999</c:v>
                </c:pt>
                <c:pt idx="172">
                  <c:v>25.991879999999998</c:v>
                </c:pt>
                <c:pt idx="173">
                  <c:v>170.01750000000001</c:v>
                </c:pt>
                <c:pt idx="174">
                  <c:v>112.95010000000001</c:v>
                </c:pt>
                <c:pt idx="175">
                  <c:v>176.0076</c:v>
                </c:pt>
                <c:pt idx="176">
                  <c:v>113.9064</c:v>
                </c:pt>
                <c:pt idx="177">
                  <c:v>273.16309999999999</c:v>
                </c:pt>
                <c:pt idx="178">
                  <c:v>382.0283</c:v>
                </c:pt>
                <c:pt idx="179">
                  <c:v>89.030519999999996</c:v>
                </c:pt>
                <c:pt idx="180">
                  <c:v>328.56689999999998</c:v>
                </c:pt>
                <c:pt idx="181">
                  <c:v>177.7783</c:v>
                </c:pt>
                <c:pt idx="182">
                  <c:v>165.1301</c:v>
                </c:pt>
                <c:pt idx="183">
                  <c:v>347.70749999999998</c:v>
                </c:pt>
                <c:pt idx="184">
                  <c:v>229.10059999999999</c:v>
                </c:pt>
                <c:pt idx="185">
                  <c:v>145.39449999999999</c:v>
                </c:pt>
                <c:pt idx="186">
                  <c:v>148.1123</c:v>
                </c:pt>
                <c:pt idx="187">
                  <c:v>539.14110000000005</c:v>
                </c:pt>
                <c:pt idx="188">
                  <c:v>132.8184</c:v>
                </c:pt>
                <c:pt idx="189">
                  <c:v>143.6489</c:v>
                </c:pt>
                <c:pt idx="190">
                  <c:v>92.614260000000002</c:v>
                </c:pt>
                <c:pt idx="191">
                  <c:v>158.62260000000001</c:v>
                </c:pt>
                <c:pt idx="192">
                  <c:v>36.219250000000002</c:v>
                </c:pt>
                <c:pt idx="193">
                  <c:v>41.856760000000001</c:v>
                </c:pt>
                <c:pt idx="194">
                  <c:v>43.831359999999997</c:v>
                </c:pt>
                <c:pt idx="195">
                  <c:v>27.985379999999999</c:v>
                </c:pt>
                <c:pt idx="196">
                  <c:v>15.479660000000001</c:v>
                </c:pt>
                <c:pt idx="197">
                  <c:v>41.212710000000001</c:v>
                </c:pt>
                <c:pt idx="198">
                  <c:v>55.133130000000001</c:v>
                </c:pt>
                <c:pt idx="199">
                  <c:v>85.771609999999995</c:v>
                </c:pt>
                <c:pt idx="200">
                  <c:v>55.894840000000002</c:v>
                </c:pt>
                <c:pt idx="201">
                  <c:v>42.68289</c:v>
                </c:pt>
                <c:pt idx="202">
                  <c:v>104.15009999999999</c:v>
                </c:pt>
                <c:pt idx="203">
                  <c:v>42.972349999999999</c:v>
                </c:pt>
                <c:pt idx="204">
                  <c:v>132.02340000000001</c:v>
                </c:pt>
                <c:pt idx="205">
                  <c:v>104.4438</c:v>
                </c:pt>
                <c:pt idx="206">
                  <c:v>25.463619999999999</c:v>
                </c:pt>
                <c:pt idx="207">
                  <c:v>54.937620000000003</c:v>
                </c:pt>
                <c:pt idx="208">
                  <c:v>81.733519999999999</c:v>
                </c:pt>
                <c:pt idx="209">
                  <c:v>41.94641</c:v>
                </c:pt>
                <c:pt idx="210">
                  <c:v>80.524780000000007</c:v>
                </c:pt>
                <c:pt idx="211">
                  <c:v>116.1621</c:v>
                </c:pt>
                <c:pt idx="212">
                  <c:v>43.00085</c:v>
                </c:pt>
                <c:pt idx="213">
                  <c:v>24.774660000000001</c:v>
                </c:pt>
                <c:pt idx="214">
                  <c:v>89.255489999999995</c:v>
                </c:pt>
                <c:pt idx="215">
                  <c:v>150.0746</c:v>
                </c:pt>
                <c:pt idx="216">
                  <c:v>384.33699999999999</c:v>
                </c:pt>
                <c:pt idx="217">
                  <c:v>223.96360000000001</c:v>
                </c:pt>
                <c:pt idx="218">
                  <c:v>216.6498</c:v>
                </c:pt>
                <c:pt idx="219">
                  <c:v>62.643189999999997</c:v>
                </c:pt>
                <c:pt idx="220">
                  <c:v>33.904299999999999</c:v>
                </c:pt>
                <c:pt idx="221">
                  <c:v>56.75714</c:v>
                </c:pt>
                <c:pt idx="222">
                  <c:v>57.936399999999999</c:v>
                </c:pt>
                <c:pt idx="223">
                  <c:v>85.480469999999997</c:v>
                </c:pt>
                <c:pt idx="224">
                  <c:v>33.715089999999996</c:v>
                </c:pt>
                <c:pt idx="225">
                  <c:v>37.531860000000002</c:v>
                </c:pt>
                <c:pt idx="226">
                  <c:v>70.460080000000005</c:v>
                </c:pt>
                <c:pt idx="227">
                  <c:v>115.1544</c:v>
                </c:pt>
                <c:pt idx="228">
                  <c:v>25.912960000000002</c:v>
                </c:pt>
                <c:pt idx="229">
                  <c:v>48.52722</c:v>
                </c:pt>
                <c:pt idx="230">
                  <c:v>31.688110000000002</c:v>
                </c:pt>
                <c:pt idx="231">
                  <c:v>58.007080000000002</c:v>
                </c:pt>
                <c:pt idx="232">
                  <c:v>43.54468</c:v>
                </c:pt>
                <c:pt idx="233">
                  <c:v>25.078489999999999</c:v>
                </c:pt>
                <c:pt idx="234">
                  <c:v>25.437010000000001</c:v>
                </c:pt>
                <c:pt idx="235">
                  <c:v>32.498289999999997</c:v>
                </c:pt>
                <c:pt idx="236">
                  <c:v>59.665529999999997</c:v>
                </c:pt>
                <c:pt idx="237">
                  <c:v>64.211550000000003</c:v>
                </c:pt>
                <c:pt idx="238">
                  <c:v>54.663939999999997</c:v>
                </c:pt>
                <c:pt idx="239">
                  <c:v>56.093020000000003</c:v>
                </c:pt>
                <c:pt idx="240">
                  <c:v>275.50990000000002</c:v>
                </c:pt>
                <c:pt idx="241">
                  <c:v>948.18920000000003</c:v>
                </c:pt>
                <c:pt idx="242">
                  <c:v>136.41139999999999</c:v>
                </c:pt>
                <c:pt idx="243">
                  <c:v>177.45320000000001</c:v>
                </c:pt>
                <c:pt idx="244">
                  <c:v>48.054079999999999</c:v>
                </c:pt>
                <c:pt idx="245">
                  <c:v>97.738280000000003</c:v>
                </c:pt>
                <c:pt idx="246">
                  <c:v>13.073090000000001</c:v>
                </c:pt>
                <c:pt idx="247">
                  <c:v>36.753129999999999</c:v>
                </c:pt>
                <c:pt idx="248">
                  <c:v>129.27670000000001</c:v>
                </c:pt>
                <c:pt idx="249">
                  <c:v>169.68119999999999</c:v>
                </c:pt>
                <c:pt idx="250">
                  <c:v>97.602050000000006</c:v>
                </c:pt>
                <c:pt idx="251">
                  <c:v>85.529300000000006</c:v>
                </c:pt>
                <c:pt idx="252">
                  <c:v>125.4551</c:v>
                </c:pt>
                <c:pt idx="253">
                  <c:v>12.7479</c:v>
                </c:pt>
                <c:pt idx="254">
                  <c:v>214.9966</c:v>
                </c:pt>
                <c:pt idx="255">
                  <c:v>96.850589999999997</c:v>
                </c:pt>
                <c:pt idx="256">
                  <c:v>83.691310000000001</c:v>
                </c:pt>
                <c:pt idx="257">
                  <c:v>120.51860000000001</c:v>
                </c:pt>
                <c:pt idx="258">
                  <c:v>124.51560000000001</c:v>
                </c:pt>
                <c:pt idx="259">
                  <c:v>10.0251</c:v>
                </c:pt>
                <c:pt idx="260">
                  <c:v>34.852539999999998</c:v>
                </c:pt>
                <c:pt idx="261">
                  <c:v>30.772459999999999</c:v>
                </c:pt>
                <c:pt idx="262">
                  <c:v>33.59863</c:v>
                </c:pt>
                <c:pt idx="263">
                  <c:v>51.458010000000002</c:v>
                </c:pt>
                <c:pt idx="264">
                  <c:v>150.58869999999999</c:v>
                </c:pt>
                <c:pt idx="265">
                  <c:v>242.0932</c:v>
                </c:pt>
                <c:pt idx="266">
                  <c:v>100.9781</c:v>
                </c:pt>
                <c:pt idx="267">
                  <c:v>0.50952149999999996</c:v>
                </c:pt>
                <c:pt idx="268">
                  <c:v>107.4008</c:v>
                </c:pt>
                <c:pt idx="269">
                  <c:v>153.78559999999999</c:v>
                </c:pt>
                <c:pt idx="270">
                  <c:v>86.413759999999996</c:v>
                </c:pt>
                <c:pt idx="271">
                  <c:v>0.52001949999999997</c:v>
                </c:pt>
                <c:pt idx="272">
                  <c:v>0.45764159999999998</c:v>
                </c:pt>
                <c:pt idx="273">
                  <c:v>98.345950000000002</c:v>
                </c:pt>
                <c:pt idx="274">
                  <c:v>22.834720000000001</c:v>
                </c:pt>
                <c:pt idx="275">
                  <c:v>73.221440000000001</c:v>
                </c:pt>
                <c:pt idx="276">
                  <c:v>66.012209999999996</c:v>
                </c:pt>
                <c:pt idx="277">
                  <c:v>54.929569999999998</c:v>
                </c:pt>
                <c:pt idx="278">
                  <c:v>28.861689999999999</c:v>
                </c:pt>
                <c:pt idx="279">
                  <c:v>49.725589999999997</c:v>
                </c:pt>
                <c:pt idx="280">
                  <c:v>25.507930000000002</c:v>
                </c:pt>
                <c:pt idx="281">
                  <c:v>57.421390000000002</c:v>
                </c:pt>
                <c:pt idx="282">
                  <c:v>53.384520000000002</c:v>
                </c:pt>
                <c:pt idx="283">
                  <c:v>44.05847</c:v>
                </c:pt>
                <c:pt idx="284">
                  <c:v>53.765140000000002</c:v>
                </c:pt>
                <c:pt idx="285">
                  <c:v>67.213620000000006</c:v>
                </c:pt>
                <c:pt idx="286">
                  <c:v>52.474119999999999</c:v>
                </c:pt>
                <c:pt idx="287">
                  <c:v>44.688479999999998</c:v>
                </c:pt>
                <c:pt idx="288">
                  <c:v>41.041460000000001</c:v>
                </c:pt>
                <c:pt idx="289">
                  <c:v>50.003050000000002</c:v>
                </c:pt>
                <c:pt idx="290">
                  <c:v>35.37256</c:v>
                </c:pt>
                <c:pt idx="291">
                  <c:v>60.305759999999999</c:v>
                </c:pt>
                <c:pt idx="292">
                  <c:v>15.735200000000001</c:v>
                </c:pt>
                <c:pt idx="293">
                  <c:v>30.670010000000001</c:v>
                </c:pt>
                <c:pt idx="294">
                  <c:v>28.953189999999999</c:v>
                </c:pt>
                <c:pt idx="295">
                  <c:v>611.29169999999999</c:v>
                </c:pt>
                <c:pt idx="296">
                  <c:v>53.603879999999997</c:v>
                </c:pt>
                <c:pt idx="297">
                  <c:v>23.447019999999998</c:v>
                </c:pt>
                <c:pt idx="298">
                  <c:v>45.46387</c:v>
                </c:pt>
                <c:pt idx="299">
                  <c:v>22.964479999999998</c:v>
                </c:pt>
                <c:pt idx="300">
                  <c:v>25.323239999999998</c:v>
                </c:pt>
                <c:pt idx="301">
                  <c:v>64.536739999999995</c:v>
                </c:pt>
                <c:pt idx="302">
                  <c:v>12.185180000000001</c:v>
                </c:pt>
                <c:pt idx="303">
                  <c:v>25.404910000000001</c:v>
                </c:pt>
                <c:pt idx="304">
                  <c:v>31.581050000000001</c:v>
                </c:pt>
                <c:pt idx="305">
                  <c:v>32.633420000000001</c:v>
                </c:pt>
                <c:pt idx="306">
                  <c:v>85.208740000000006</c:v>
                </c:pt>
                <c:pt idx="307">
                  <c:v>26.735720000000001</c:v>
                </c:pt>
                <c:pt idx="308">
                  <c:v>29.59497</c:v>
                </c:pt>
                <c:pt idx="309">
                  <c:v>25.149290000000001</c:v>
                </c:pt>
                <c:pt idx="310">
                  <c:v>66.324219999999997</c:v>
                </c:pt>
                <c:pt idx="311">
                  <c:v>130.59020000000001</c:v>
                </c:pt>
                <c:pt idx="312">
                  <c:v>73.823409999999996</c:v>
                </c:pt>
                <c:pt idx="313">
                  <c:v>130.86099999999999</c:v>
                </c:pt>
                <c:pt idx="314">
                  <c:v>114.5457</c:v>
                </c:pt>
                <c:pt idx="315">
                  <c:v>170.46250000000001</c:v>
                </c:pt>
                <c:pt idx="316">
                  <c:v>46.83887</c:v>
                </c:pt>
                <c:pt idx="317">
                  <c:v>105.2589</c:v>
                </c:pt>
                <c:pt idx="318">
                  <c:v>10.698359999999999</c:v>
                </c:pt>
                <c:pt idx="319">
                  <c:v>9.2817989999999995</c:v>
                </c:pt>
                <c:pt idx="320">
                  <c:v>59.976750000000003</c:v>
                </c:pt>
                <c:pt idx="321">
                  <c:v>55.024900000000002</c:v>
                </c:pt>
                <c:pt idx="322">
                  <c:v>57.474429999999998</c:v>
                </c:pt>
                <c:pt idx="323">
                  <c:v>127.774</c:v>
                </c:pt>
                <c:pt idx="324">
                  <c:v>41.793700000000001</c:v>
                </c:pt>
                <c:pt idx="325">
                  <c:v>24.728390000000001</c:v>
                </c:pt>
                <c:pt idx="326">
                  <c:v>30.896239999999999</c:v>
                </c:pt>
                <c:pt idx="327">
                  <c:v>34.066040000000001</c:v>
                </c:pt>
                <c:pt idx="328">
                  <c:v>14.081300000000001</c:v>
                </c:pt>
                <c:pt idx="329">
                  <c:v>33.224850000000004</c:v>
                </c:pt>
                <c:pt idx="330">
                  <c:v>15.097659999999999</c:v>
                </c:pt>
                <c:pt idx="331">
                  <c:v>36.808959999999999</c:v>
                </c:pt>
                <c:pt idx="332">
                  <c:v>50.869509999999998</c:v>
                </c:pt>
                <c:pt idx="333">
                  <c:v>8.8986820000000009</c:v>
                </c:pt>
                <c:pt idx="334">
                  <c:v>56.02478</c:v>
                </c:pt>
                <c:pt idx="335">
                  <c:v>40.293700000000001</c:v>
                </c:pt>
                <c:pt idx="336">
                  <c:v>225.48869999999999</c:v>
                </c:pt>
                <c:pt idx="337">
                  <c:v>171.18430000000001</c:v>
                </c:pt>
                <c:pt idx="338">
                  <c:v>181.76480000000001</c:v>
                </c:pt>
                <c:pt idx="339">
                  <c:v>86.627440000000007</c:v>
                </c:pt>
                <c:pt idx="340">
                  <c:v>40.755369999999999</c:v>
                </c:pt>
                <c:pt idx="341">
                  <c:v>135.3596</c:v>
                </c:pt>
                <c:pt idx="342">
                  <c:v>110.1335</c:v>
                </c:pt>
                <c:pt idx="343">
                  <c:v>114.8584</c:v>
                </c:pt>
                <c:pt idx="344">
                  <c:v>224.36670000000001</c:v>
                </c:pt>
                <c:pt idx="345">
                  <c:v>115.9551</c:v>
                </c:pt>
                <c:pt idx="346">
                  <c:v>139.58459999999999</c:v>
                </c:pt>
                <c:pt idx="347">
                  <c:v>84.896850000000001</c:v>
                </c:pt>
                <c:pt idx="348">
                  <c:v>103.8796</c:v>
                </c:pt>
                <c:pt idx="349">
                  <c:v>14.910640000000001</c:v>
                </c:pt>
                <c:pt idx="350">
                  <c:v>14.022460000000001</c:v>
                </c:pt>
                <c:pt idx="351">
                  <c:v>61.824710000000003</c:v>
                </c:pt>
                <c:pt idx="352">
                  <c:v>41.129390000000001</c:v>
                </c:pt>
                <c:pt idx="353">
                  <c:v>86.384280000000004</c:v>
                </c:pt>
                <c:pt idx="354">
                  <c:v>50.173340000000003</c:v>
                </c:pt>
                <c:pt idx="355">
                  <c:v>92.186520000000002</c:v>
                </c:pt>
                <c:pt idx="356">
                  <c:v>80.691159999999996</c:v>
                </c:pt>
                <c:pt idx="357">
                  <c:v>79.347409999999996</c:v>
                </c:pt>
                <c:pt idx="358">
                  <c:v>54.069580000000002</c:v>
                </c:pt>
                <c:pt idx="359">
                  <c:v>24.535160000000001</c:v>
                </c:pt>
                <c:pt idx="360">
                  <c:v>487.0625</c:v>
                </c:pt>
                <c:pt idx="361">
                  <c:v>292.43869999999998</c:v>
                </c:pt>
                <c:pt idx="362">
                  <c:v>62.211300000000001</c:v>
                </c:pt>
                <c:pt idx="363">
                  <c:v>72.202820000000003</c:v>
                </c:pt>
                <c:pt idx="364">
                  <c:v>28.829470000000001</c:v>
                </c:pt>
                <c:pt idx="365">
                  <c:v>37.040280000000003</c:v>
                </c:pt>
                <c:pt idx="366">
                  <c:v>34.693240000000003</c:v>
                </c:pt>
                <c:pt idx="367">
                  <c:v>77.542479999999998</c:v>
                </c:pt>
                <c:pt idx="368">
                  <c:v>48.243160000000003</c:v>
                </c:pt>
                <c:pt idx="369">
                  <c:v>44.533810000000003</c:v>
                </c:pt>
                <c:pt idx="370">
                  <c:v>48.923340000000003</c:v>
                </c:pt>
                <c:pt idx="371">
                  <c:v>39.011839999999999</c:v>
                </c:pt>
                <c:pt idx="372">
                  <c:v>131.82320000000001</c:v>
                </c:pt>
                <c:pt idx="373">
                  <c:v>47.343020000000003</c:v>
                </c:pt>
                <c:pt idx="374">
                  <c:v>19.335570000000001</c:v>
                </c:pt>
                <c:pt idx="375">
                  <c:v>38.709960000000002</c:v>
                </c:pt>
                <c:pt idx="376">
                  <c:v>52.152709999999999</c:v>
                </c:pt>
                <c:pt idx="377">
                  <c:v>64.56335</c:v>
                </c:pt>
                <c:pt idx="378">
                  <c:v>56.6449</c:v>
                </c:pt>
                <c:pt idx="379">
                  <c:v>40.65784</c:v>
                </c:pt>
                <c:pt idx="380">
                  <c:v>57.358519999999999</c:v>
                </c:pt>
                <c:pt idx="381">
                  <c:v>24.58154</c:v>
                </c:pt>
                <c:pt idx="382">
                  <c:v>67.342770000000002</c:v>
                </c:pt>
                <c:pt idx="383">
                  <c:v>66.193359999999998</c:v>
                </c:pt>
                <c:pt idx="384">
                  <c:v>203.2704</c:v>
                </c:pt>
                <c:pt idx="385">
                  <c:v>188.93819999999999</c:v>
                </c:pt>
                <c:pt idx="386">
                  <c:v>76.376649999999998</c:v>
                </c:pt>
                <c:pt idx="387">
                  <c:v>48.377200000000002</c:v>
                </c:pt>
                <c:pt idx="388">
                  <c:v>15.61975</c:v>
                </c:pt>
                <c:pt idx="389">
                  <c:v>31.024170000000002</c:v>
                </c:pt>
                <c:pt idx="390">
                  <c:v>43.022460000000002</c:v>
                </c:pt>
                <c:pt idx="391">
                  <c:v>353.1087</c:v>
                </c:pt>
                <c:pt idx="392">
                  <c:v>55.380189999999999</c:v>
                </c:pt>
                <c:pt idx="393">
                  <c:v>40.525509999999997</c:v>
                </c:pt>
                <c:pt idx="394">
                  <c:v>62.942019999999999</c:v>
                </c:pt>
                <c:pt idx="395">
                  <c:v>36.341430000000003</c:v>
                </c:pt>
                <c:pt idx="396">
                  <c:v>99.227170000000001</c:v>
                </c:pt>
                <c:pt idx="397">
                  <c:v>108.1279</c:v>
                </c:pt>
                <c:pt idx="398">
                  <c:v>28.954350000000002</c:v>
                </c:pt>
                <c:pt idx="399">
                  <c:v>42.228879999999997</c:v>
                </c:pt>
                <c:pt idx="400">
                  <c:v>43.705199999999998</c:v>
                </c:pt>
                <c:pt idx="401">
                  <c:v>93.413210000000007</c:v>
                </c:pt>
                <c:pt idx="402">
                  <c:v>82.938720000000004</c:v>
                </c:pt>
                <c:pt idx="403">
                  <c:v>45.083010000000002</c:v>
                </c:pt>
                <c:pt idx="404">
                  <c:v>35.409910000000004</c:v>
                </c:pt>
                <c:pt idx="405">
                  <c:v>78.735839999999996</c:v>
                </c:pt>
                <c:pt idx="406">
                  <c:v>48.294429999999998</c:v>
                </c:pt>
                <c:pt idx="407">
                  <c:v>65.351070000000007</c:v>
                </c:pt>
                <c:pt idx="408">
                  <c:v>57.148910000000001</c:v>
                </c:pt>
                <c:pt idx="409">
                  <c:v>84.624110000000002</c:v>
                </c:pt>
                <c:pt idx="410">
                  <c:v>188.2946</c:v>
                </c:pt>
                <c:pt idx="411">
                  <c:v>39.654719999999998</c:v>
                </c:pt>
                <c:pt idx="412">
                  <c:v>37.199890000000003</c:v>
                </c:pt>
                <c:pt idx="413">
                  <c:v>65.314760000000007</c:v>
                </c:pt>
                <c:pt idx="414">
                  <c:v>66.989620000000002</c:v>
                </c:pt>
                <c:pt idx="415">
                  <c:v>83.087220000000002</c:v>
                </c:pt>
                <c:pt idx="416">
                  <c:v>92.750370000000004</c:v>
                </c:pt>
                <c:pt idx="417">
                  <c:v>20.774290000000001</c:v>
                </c:pt>
                <c:pt idx="418">
                  <c:v>51.048580000000001</c:v>
                </c:pt>
                <c:pt idx="419">
                  <c:v>128.85839999999999</c:v>
                </c:pt>
                <c:pt idx="420">
                  <c:v>60.328000000000003</c:v>
                </c:pt>
                <c:pt idx="421">
                  <c:v>77.340580000000003</c:v>
                </c:pt>
                <c:pt idx="422">
                  <c:v>18.59778</c:v>
                </c:pt>
                <c:pt idx="423">
                  <c:v>75.976929999999996</c:v>
                </c:pt>
                <c:pt idx="424">
                  <c:v>29.46509</c:v>
                </c:pt>
                <c:pt idx="425">
                  <c:v>93.080200000000005</c:v>
                </c:pt>
                <c:pt idx="426">
                  <c:v>35.019170000000003</c:v>
                </c:pt>
                <c:pt idx="427">
                  <c:v>60.39087</c:v>
                </c:pt>
                <c:pt idx="428">
                  <c:v>83.034909999999996</c:v>
                </c:pt>
                <c:pt idx="429">
                  <c:v>30.972899999999999</c:v>
                </c:pt>
                <c:pt idx="430">
                  <c:v>20.138670000000001</c:v>
                </c:pt>
                <c:pt idx="431">
                  <c:v>232.2758</c:v>
                </c:pt>
                <c:pt idx="432">
                  <c:v>101.5073</c:v>
                </c:pt>
                <c:pt idx="433">
                  <c:v>329.6456</c:v>
                </c:pt>
                <c:pt idx="434">
                  <c:v>33.666870000000003</c:v>
                </c:pt>
                <c:pt idx="435">
                  <c:v>43.127690000000001</c:v>
                </c:pt>
                <c:pt idx="436">
                  <c:v>42.516539999999999</c:v>
                </c:pt>
                <c:pt idx="437">
                  <c:v>71.378720000000001</c:v>
                </c:pt>
                <c:pt idx="438">
                  <c:v>22.402650000000001</c:v>
                </c:pt>
                <c:pt idx="439">
                  <c:v>158.9391</c:v>
                </c:pt>
                <c:pt idx="440">
                  <c:v>27.975829999999998</c:v>
                </c:pt>
                <c:pt idx="441">
                  <c:v>94.010130000000004</c:v>
                </c:pt>
                <c:pt idx="442">
                  <c:v>31.878540000000001</c:v>
                </c:pt>
                <c:pt idx="443">
                  <c:v>32.801639999999999</c:v>
                </c:pt>
                <c:pt idx="444">
                  <c:v>117.1293</c:v>
                </c:pt>
                <c:pt idx="445">
                  <c:v>78.670779999999993</c:v>
                </c:pt>
                <c:pt idx="446">
                  <c:v>17.499510000000001</c:v>
                </c:pt>
                <c:pt idx="447">
                  <c:v>59.690429999999999</c:v>
                </c:pt>
                <c:pt idx="448">
                  <c:v>38.978389999999997</c:v>
                </c:pt>
                <c:pt idx="449">
                  <c:v>37.034300000000002</c:v>
                </c:pt>
                <c:pt idx="450">
                  <c:v>98.73657</c:v>
                </c:pt>
                <c:pt idx="451">
                  <c:v>32.40137</c:v>
                </c:pt>
                <c:pt idx="452">
                  <c:v>31.713619999999999</c:v>
                </c:pt>
                <c:pt idx="453">
                  <c:v>30.171880000000002</c:v>
                </c:pt>
                <c:pt idx="454">
                  <c:v>36.022089999999999</c:v>
                </c:pt>
                <c:pt idx="455">
                  <c:v>265.49</c:v>
                </c:pt>
                <c:pt idx="456">
                  <c:v>93.105941250460504</c:v>
                </c:pt>
              </c:numCache>
            </c:numRef>
          </c:yVal>
          <c:smooth val="0"/>
          <c:extLst>
            <c:ext xmlns:c16="http://schemas.microsoft.com/office/drawing/2014/chart" uri="{C3380CC4-5D6E-409C-BE32-E72D297353CC}">
              <c16:uniqueId val="{00000000-28F6-4502-8816-79229C58D564}"/>
            </c:ext>
          </c:extLst>
        </c:ser>
        <c:dLbls>
          <c:showLegendKey val="0"/>
          <c:showVal val="0"/>
          <c:showCatName val="0"/>
          <c:showSerName val="0"/>
          <c:showPercent val="0"/>
          <c:showBubbleSize val="0"/>
        </c:dLbls>
        <c:axId val="948134064"/>
        <c:axId val="948143184"/>
      </c:scatterChart>
      <c:valAx>
        <c:axId val="94813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43184"/>
        <c:crosses val="autoZero"/>
        <c:crossBetween val="midCat"/>
      </c:valAx>
      <c:valAx>
        <c:axId val="94814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34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Main!$H$1</c:f>
              <c:strCache>
                <c:ptCount val="1"/>
                <c:pt idx="0">
                  <c:v>damagetotal</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7922557482463191"/>
                  <c:y val="-0.551432268883056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Main!$H$2:$H$507</c:f>
              <c:numCache>
                <c:formatCode>General</c:formatCode>
                <c:ptCount val="506"/>
                <c:pt idx="0">
                  <c:v>2480</c:v>
                </c:pt>
                <c:pt idx="1">
                  <c:v>960</c:v>
                </c:pt>
                <c:pt idx="2">
                  <c:v>1160</c:v>
                </c:pt>
                <c:pt idx="3">
                  <c:v>520</c:v>
                </c:pt>
                <c:pt idx="4">
                  <c:v>440</c:v>
                </c:pt>
                <c:pt idx="5">
                  <c:v>520</c:v>
                </c:pt>
                <c:pt idx="6">
                  <c:v>600</c:v>
                </c:pt>
                <c:pt idx="7">
                  <c:v>680</c:v>
                </c:pt>
                <c:pt idx="8">
                  <c:v>480</c:v>
                </c:pt>
                <c:pt idx="9">
                  <c:v>1120</c:v>
                </c:pt>
                <c:pt idx="10">
                  <c:v>640</c:v>
                </c:pt>
                <c:pt idx="11">
                  <c:v>0</c:v>
                </c:pt>
                <c:pt idx="12">
                  <c:v>120</c:v>
                </c:pt>
                <c:pt idx="13">
                  <c:v>680</c:v>
                </c:pt>
                <c:pt idx="14">
                  <c:v>680</c:v>
                </c:pt>
                <c:pt idx="15">
                  <c:v>260</c:v>
                </c:pt>
                <c:pt idx="16">
                  <c:v>1040</c:v>
                </c:pt>
                <c:pt idx="17">
                  <c:v>240</c:v>
                </c:pt>
                <c:pt idx="18">
                  <c:v>760</c:v>
                </c:pt>
                <c:pt idx="19">
                  <c:v>480</c:v>
                </c:pt>
                <c:pt idx="20">
                  <c:v>600</c:v>
                </c:pt>
                <c:pt idx="21">
                  <c:v>80</c:v>
                </c:pt>
                <c:pt idx="22">
                  <c:v>2324</c:v>
                </c:pt>
                <c:pt idx="23">
                  <c:v>1160</c:v>
                </c:pt>
                <c:pt idx="24">
                  <c:v>1000</c:v>
                </c:pt>
                <c:pt idx="25">
                  <c:v>640</c:v>
                </c:pt>
                <c:pt idx="26">
                  <c:v>200</c:v>
                </c:pt>
                <c:pt idx="27">
                  <c:v>320</c:v>
                </c:pt>
                <c:pt idx="28">
                  <c:v>200</c:v>
                </c:pt>
                <c:pt idx="29">
                  <c:v>200</c:v>
                </c:pt>
                <c:pt idx="30">
                  <c:v>640</c:v>
                </c:pt>
                <c:pt idx="31">
                  <c:v>400</c:v>
                </c:pt>
                <c:pt idx="32">
                  <c:v>840</c:v>
                </c:pt>
                <c:pt idx="33">
                  <c:v>440</c:v>
                </c:pt>
                <c:pt idx="34">
                  <c:v>240</c:v>
                </c:pt>
                <c:pt idx="35">
                  <c:v>0</c:v>
                </c:pt>
                <c:pt idx="36">
                  <c:v>120</c:v>
                </c:pt>
                <c:pt idx="37">
                  <c:v>120</c:v>
                </c:pt>
                <c:pt idx="38">
                  <c:v>200</c:v>
                </c:pt>
                <c:pt idx="39">
                  <c:v>40</c:v>
                </c:pt>
                <c:pt idx="40">
                  <c:v>400</c:v>
                </c:pt>
                <c:pt idx="41">
                  <c:v>40</c:v>
                </c:pt>
                <c:pt idx="42">
                  <c:v>360</c:v>
                </c:pt>
                <c:pt idx="43">
                  <c:v>120</c:v>
                </c:pt>
                <c:pt idx="44">
                  <c:v>160</c:v>
                </c:pt>
                <c:pt idx="45">
                  <c:v>80</c:v>
                </c:pt>
                <c:pt idx="46">
                  <c:v>178</c:v>
                </c:pt>
                <c:pt idx="47">
                  <c:v>800</c:v>
                </c:pt>
                <c:pt idx="48">
                  <c:v>1080</c:v>
                </c:pt>
                <c:pt idx="49">
                  <c:v>120</c:v>
                </c:pt>
                <c:pt idx="50">
                  <c:v>40</c:v>
                </c:pt>
                <c:pt idx="51">
                  <c:v>160</c:v>
                </c:pt>
                <c:pt idx="52">
                  <c:v>80</c:v>
                </c:pt>
                <c:pt idx="53">
                  <c:v>0</c:v>
                </c:pt>
                <c:pt idx="54">
                  <c:v>400</c:v>
                </c:pt>
                <c:pt idx="55">
                  <c:v>80</c:v>
                </c:pt>
                <c:pt idx="56">
                  <c:v>320</c:v>
                </c:pt>
                <c:pt idx="57">
                  <c:v>120</c:v>
                </c:pt>
                <c:pt idx="58">
                  <c:v>120</c:v>
                </c:pt>
                <c:pt idx="59">
                  <c:v>0</c:v>
                </c:pt>
                <c:pt idx="60">
                  <c:v>160</c:v>
                </c:pt>
                <c:pt idx="61">
                  <c:v>280</c:v>
                </c:pt>
                <c:pt idx="62">
                  <c:v>120</c:v>
                </c:pt>
                <c:pt idx="63">
                  <c:v>40</c:v>
                </c:pt>
                <c:pt idx="64">
                  <c:v>480</c:v>
                </c:pt>
                <c:pt idx="65">
                  <c:v>0</c:v>
                </c:pt>
                <c:pt idx="66">
                  <c:v>360</c:v>
                </c:pt>
                <c:pt idx="67">
                  <c:v>80</c:v>
                </c:pt>
                <c:pt idx="68">
                  <c:v>80</c:v>
                </c:pt>
                <c:pt idx="69">
                  <c:v>0</c:v>
                </c:pt>
                <c:pt idx="70">
                  <c:v>123</c:v>
                </c:pt>
                <c:pt idx="71">
                  <c:v>400</c:v>
                </c:pt>
                <c:pt idx="72">
                  <c:v>1320</c:v>
                </c:pt>
                <c:pt idx="73">
                  <c:v>240</c:v>
                </c:pt>
                <c:pt idx="74">
                  <c:v>160</c:v>
                </c:pt>
                <c:pt idx="75">
                  <c:v>280</c:v>
                </c:pt>
                <c:pt idx="76">
                  <c:v>0</c:v>
                </c:pt>
                <c:pt idx="77">
                  <c:v>160</c:v>
                </c:pt>
                <c:pt idx="78">
                  <c:v>880</c:v>
                </c:pt>
                <c:pt idx="79">
                  <c:v>1320</c:v>
                </c:pt>
                <c:pt idx="80">
                  <c:v>400</c:v>
                </c:pt>
                <c:pt idx="81">
                  <c:v>560</c:v>
                </c:pt>
                <c:pt idx="82">
                  <c:v>1480</c:v>
                </c:pt>
                <c:pt idx="83">
                  <c:v>0</c:v>
                </c:pt>
                <c:pt idx="84">
                  <c:v>440</c:v>
                </c:pt>
                <c:pt idx="85">
                  <c:v>80</c:v>
                </c:pt>
                <c:pt idx="86">
                  <c:v>120</c:v>
                </c:pt>
                <c:pt idx="87">
                  <c:v>140</c:v>
                </c:pt>
                <c:pt idx="88">
                  <c:v>480</c:v>
                </c:pt>
                <c:pt idx="89">
                  <c:v>160</c:v>
                </c:pt>
                <c:pt idx="90">
                  <c:v>280</c:v>
                </c:pt>
                <c:pt idx="91">
                  <c:v>80</c:v>
                </c:pt>
                <c:pt idx="92">
                  <c:v>80</c:v>
                </c:pt>
                <c:pt idx="93">
                  <c:v>0</c:v>
                </c:pt>
                <c:pt idx="94">
                  <c:v>634</c:v>
                </c:pt>
                <c:pt idx="95">
                  <c:v>800</c:v>
                </c:pt>
                <c:pt idx="96">
                  <c:v>440</c:v>
                </c:pt>
                <c:pt idx="97">
                  <c:v>880</c:v>
                </c:pt>
                <c:pt idx="98">
                  <c:v>600</c:v>
                </c:pt>
                <c:pt idx="99">
                  <c:v>480</c:v>
                </c:pt>
                <c:pt idx="100">
                  <c:v>40</c:v>
                </c:pt>
                <c:pt idx="101">
                  <c:v>240</c:v>
                </c:pt>
                <c:pt idx="102">
                  <c:v>320</c:v>
                </c:pt>
                <c:pt idx="103">
                  <c:v>200</c:v>
                </c:pt>
                <c:pt idx="104">
                  <c:v>240</c:v>
                </c:pt>
                <c:pt idx="105">
                  <c:v>120</c:v>
                </c:pt>
                <c:pt idx="106">
                  <c:v>200</c:v>
                </c:pt>
                <c:pt idx="107">
                  <c:v>0</c:v>
                </c:pt>
                <c:pt idx="108">
                  <c:v>240</c:v>
                </c:pt>
                <c:pt idx="109">
                  <c:v>120</c:v>
                </c:pt>
                <c:pt idx="110">
                  <c:v>320</c:v>
                </c:pt>
                <c:pt idx="111">
                  <c:v>100</c:v>
                </c:pt>
                <c:pt idx="112">
                  <c:v>80</c:v>
                </c:pt>
                <c:pt idx="113">
                  <c:v>120</c:v>
                </c:pt>
                <c:pt idx="114">
                  <c:v>120</c:v>
                </c:pt>
                <c:pt idx="115">
                  <c:v>120</c:v>
                </c:pt>
                <c:pt idx="116">
                  <c:v>80</c:v>
                </c:pt>
                <c:pt idx="117">
                  <c:v>0</c:v>
                </c:pt>
                <c:pt idx="118">
                  <c:v>105</c:v>
                </c:pt>
                <c:pt idx="119">
                  <c:v>120</c:v>
                </c:pt>
                <c:pt idx="120">
                  <c:v>1440</c:v>
                </c:pt>
                <c:pt idx="121">
                  <c:v>240</c:v>
                </c:pt>
                <c:pt idx="122">
                  <c:v>720</c:v>
                </c:pt>
                <c:pt idx="123">
                  <c:v>1400</c:v>
                </c:pt>
                <c:pt idx="124">
                  <c:v>160</c:v>
                </c:pt>
                <c:pt idx="125">
                  <c:v>1240</c:v>
                </c:pt>
                <c:pt idx="126">
                  <c:v>1200</c:v>
                </c:pt>
                <c:pt idx="127">
                  <c:v>200</c:v>
                </c:pt>
                <c:pt idx="128">
                  <c:v>400</c:v>
                </c:pt>
                <c:pt idx="129">
                  <c:v>360</c:v>
                </c:pt>
                <c:pt idx="130">
                  <c:v>840</c:v>
                </c:pt>
                <c:pt idx="131">
                  <c:v>0</c:v>
                </c:pt>
                <c:pt idx="132">
                  <c:v>560</c:v>
                </c:pt>
                <c:pt idx="133">
                  <c:v>360</c:v>
                </c:pt>
                <c:pt idx="134">
                  <c:v>160</c:v>
                </c:pt>
                <c:pt idx="135">
                  <c:v>160</c:v>
                </c:pt>
                <c:pt idx="136">
                  <c:v>480</c:v>
                </c:pt>
                <c:pt idx="137">
                  <c:v>600</c:v>
                </c:pt>
                <c:pt idx="138">
                  <c:v>360</c:v>
                </c:pt>
                <c:pt idx="139">
                  <c:v>320</c:v>
                </c:pt>
                <c:pt idx="140">
                  <c:v>920</c:v>
                </c:pt>
                <c:pt idx="141">
                  <c:v>160</c:v>
                </c:pt>
                <c:pt idx="142">
                  <c:v>492</c:v>
                </c:pt>
                <c:pt idx="143">
                  <c:v>480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1840</c:v>
                </c:pt>
                <c:pt idx="169">
                  <c:v>760</c:v>
                </c:pt>
                <c:pt idx="170">
                  <c:v>1400</c:v>
                </c:pt>
                <c:pt idx="171">
                  <c:v>40</c:v>
                </c:pt>
                <c:pt idx="172">
                  <c:v>40</c:v>
                </c:pt>
                <c:pt idx="173">
                  <c:v>960</c:v>
                </c:pt>
                <c:pt idx="174">
                  <c:v>560</c:v>
                </c:pt>
                <c:pt idx="175">
                  <c:v>920</c:v>
                </c:pt>
                <c:pt idx="176">
                  <c:v>600</c:v>
                </c:pt>
                <c:pt idx="177">
                  <c:v>1360</c:v>
                </c:pt>
                <c:pt idx="178">
                  <c:v>1680</c:v>
                </c:pt>
                <c:pt idx="179">
                  <c:v>0</c:v>
                </c:pt>
                <c:pt idx="180">
                  <c:v>1440</c:v>
                </c:pt>
                <c:pt idx="181">
                  <c:v>840</c:v>
                </c:pt>
                <c:pt idx="182">
                  <c:v>680</c:v>
                </c:pt>
                <c:pt idx="183">
                  <c:v>700</c:v>
                </c:pt>
                <c:pt idx="184">
                  <c:v>1680</c:v>
                </c:pt>
                <c:pt idx="185">
                  <c:v>200</c:v>
                </c:pt>
                <c:pt idx="186">
                  <c:v>1080</c:v>
                </c:pt>
                <c:pt idx="187">
                  <c:v>1120</c:v>
                </c:pt>
                <c:pt idx="188">
                  <c:v>320</c:v>
                </c:pt>
                <c:pt idx="189">
                  <c:v>440</c:v>
                </c:pt>
                <c:pt idx="190">
                  <c:v>639</c:v>
                </c:pt>
                <c:pt idx="191">
                  <c:v>680</c:v>
                </c:pt>
                <c:pt idx="192">
                  <c:v>120</c:v>
                </c:pt>
                <c:pt idx="193">
                  <c:v>120</c:v>
                </c:pt>
                <c:pt idx="194">
                  <c:v>160</c:v>
                </c:pt>
                <c:pt idx="195">
                  <c:v>80</c:v>
                </c:pt>
                <c:pt idx="196">
                  <c:v>0</c:v>
                </c:pt>
                <c:pt idx="197">
                  <c:v>120</c:v>
                </c:pt>
                <c:pt idx="198">
                  <c:v>440</c:v>
                </c:pt>
                <c:pt idx="199">
                  <c:v>400</c:v>
                </c:pt>
                <c:pt idx="200">
                  <c:v>120</c:v>
                </c:pt>
                <c:pt idx="201">
                  <c:v>200</c:v>
                </c:pt>
                <c:pt idx="202">
                  <c:v>280</c:v>
                </c:pt>
                <c:pt idx="203">
                  <c:v>0</c:v>
                </c:pt>
                <c:pt idx="204">
                  <c:v>440</c:v>
                </c:pt>
                <c:pt idx="205">
                  <c:v>200</c:v>
                </c:pt>
                <c:pt idx="206">
                  <c:v>0</c:v>
                </c:pt>
                <c:pt idx="207">
                  <c:v>60</c:v>
                </c:pt>
                <c:pt idx="208">
                  <c:v>160</c:v>
                </c:pt>
                <c:pt idx="209">
                  <c:v>80</c:v>
                </c:pt>
                <c:pt idx="210">
                  <c:v>200</c:v>
                </c:pt>
                <c:pt idx="211">
                  <c:v>560</c:v>
                </c:pt>
                <c:pt idx="212">
                  <c:v>0</c:v>
                </c:pt>
                <c:pt idx="213">
                  <c:v>0</c:v>
                </c:pt>
                <c:pt idx="214">
                  <c:v>167</c:v>
                </c:pt>
                <c:pt idx="215">
                  <c:v>360</c:v>
                </c:pt>
                <c:pt idx="216">
                  <c:v>2040</c:v>
                </c:pt>
                <c:pt idx="217">
                  <c:v>720</c:v>
                </c:pt>
                <c:pt idx="218">
                  <c:v>960</c:v>
                </c:pt>
                <c:pt idx="219">
                  <c:v>240</c:v>
                </c:pt>
                <c:pt idx="220">
                  <c:v>160</c:v>
                </c:pt>
                <c:pt idx="221">
                  <c:v>360</c:v>
                </c:pt>
                <c:pt idx="222">
                  <c:v>240</c:v>
                </c:pt>
                <c:pt idx="223">
                  <c:v>640</c:v>
                </c:pt>
                <c:pt idx="224">
                  <c:v>240</c:v>
                </c:pt>
                <c:pt idx="225">
                  <c:v>120</c:v>
                </c:pt>
                <c:pt idx="226">
                  <c:v>480</c:v>
                </c:pt>
                <c:pt idx="227">
                  <c:v>40</c:v>
                </c:pt>
                <c:pt idx="228">
                  <c:v>360</c:v>
                </c:pt>
                <c:pt idx="229">
                  <c:v>120</c:v>
                </c:pt>
                <c:pt idx="230">
                  <c:v>240</c:v>
                </c:pt>
                <c:pt idx="231">
                  <c:v>200</c:v>
                </c:pt>
                <c:pt idx="232">
                  <c:v>480</c:v>
                </c:pt>
                <c:pt idx="233">
                  <c:v>120</c:v>
                </c:pt>
                <c:pt idx="234">
                  <c:v>120</c:v>
                </c:pt>
                <c:pt idx="235">
                  <c:v>120</c:v>
                </c:pt>
                <c:pt idx="236">
                  <c:v>360</c:v>
                </c:pt>
                <c:pt idx="237">
                  <c:v>240</c:v>
                </c:pt>
                <c:pt idx="238">
                  <c:v>392</c:v>
                </c:pt>
                <c:pt idx="239">
                  <c:v>360</c:v>
                </c:pt>
                <c:pt idx="240">
                  <c:v>720</c:v>
                </c:pt>
                <c:pt idx="241">
                  <c:v>3280</c:v>
                </c:pt>
                <c:pt idx="242">
                  <c:v>280</c:v>
                </c:pt>
                <c:pt idx="243">
                  <c:v>320</c:v>
                </c:pt>
                <c:pt idx="244">
                  <c:v>0</c:v>
                </c:pt>
                <c:pt idx="245">
                  <c:v>320</c:v>
                </c:pt>
                <c:pt idx="246">
                  <c:v>1040</c:v>
                </c:pt>
                <c:pt idx="247">
                  <c:v>80</c:v>
                </c:pt>
                <c:pt idx="248">
                  <c:v>3200</c:v>
                </c:pt>
                <c:pt idx="249">
                  <c:v>360</c:v>
                </c:pt>
                <c:pt idx="250">
                  <c:v>240</c:v>
                </c:pt>
                <c:pt idx="251">
                  <c:v>40</c:v>
                </c:pt>
                <c:pt idx="252">
                  <c:v>320</c:v>
                </c:pt>
                <c:pt idx="253">
                  <c:v>320</c:v>
                </c:pt>
                <c:pt idx="254">
                  <c:v>280</c:v>
                </c:pt>
                <c:pt idx="255">
                  <c:v>220</c:v>
                </c:pt>
                <c:pt idx="256">
                  <c:v>4720</c:v>
                </c:pt>
                <c:pt idx="257">
                  <c:v>360</c:v>
                </c:pt>
                <c:pt idx="258">
                  <c:v>680</c:v>
                </c:pt>
                <c:pt idx="259">
                  <c:v>280</c:v>
                </c:pt>
                <c:pt idx="260">
                  <c:v>160</c:v>
                </c:pt>
                <c:pt idx="261">
                  <c:v>40</c:v>
                </c:pt>
                <c:pt idx="262">
                  <c:v>28</c:v>
                </c:pt>
                <c:pt idx="263">
                  <c:v>120</c:v>
                </c:pt>
                <c:pt idx="264">
                  <c:v>320</c:v>
                </c:pt>
                <c:pt idx="265">
                  <c:v>520</c:v>
                </c:pt>
                <c:pt idx="266">
                  <c:v>160</c:v>
                </c:pt>
                <c:pt idx="267">
                  <c:v>0</c:v>
                </c:pt>
                <c:pt idx="268">
                  <c:v>120</c:v>
                </c:pt>
                <c:pt idx="269">
                  <c:v>400</c:v>
                </c:pt>
                <c:pt idx="270">
                  <c:v>440</c:v>
                </c:pt>
                <c:pt idx="271">
                  <c:v>0</c:v>
                </c:pt>
                <c:pt idx="272">
                  <c:v>0</c:v>
                </c:pt>
                <c:pt idx="273">
                  <c:v>400</c:v>
                </c:pt>
                <c:pt idx="274">
                  <c:v>120</c:v>
                </c:pt>
                <c:pt idx="275">
                  <c:v>0</c:v>
                </c:pt>
                <c:pt idx="276">
                  <c:v>360</c:v>
                </c:pt>
                <c:pt idx="277">
                  <c:v>200</c:v>
                </c:pt>
                <c:pt idx="278">
                  <c:v>40</c:v>
                </c:pt>
                <c:pt idx="279">
                  <c:v>100</c:v>
                </c:pt>
                <c:pt idx="280">
                  <c:v>400</c:v>
                </c:pt>
                <c:pt idx="281">
                  <c:v>160</c:v>
                </c:pt>
                <c:pt idx="282">
                  <c:v>360</c:v>
                </c:pt>
                <c:pt idx="283">
                  <c:v>120</c:v>
                </c:pt>
                <c:pt idx="284">
                  <c:v>200</c:v>
                </c:pt>
                <c:pt idx="285">
                  <c:v>200</c:v>
                </c:pt>
                <c:pt idx="286">
                  <c:v>173</c:v>
                </c:pt>
                <c:pt idx="287">
                  <c:v>280</c:v>
                </c:pt>
                <c:pt idx="288">
                  <c:v>200</c:v>
                </c:pt>
                <c:pt idx="289">
                  <c:v>120</c:v>
                </c:pt>
                <c:pt idx="290">
                  <c:v>40</c:v>
                </c:pt>
                <c:pt idx="291">
                  <c:v>160</c:v>
                </c:pt>
                <c:pt idx="292">
                  <c:v>80</c:v>
                </c:pt>
                <c:pt idx="293">
                  <c:v>0</c:v>
                </c:pt>
                <c:pt idx="294">
                  <c:v>80</c:v>
                </c:pt>
                <c:pt idx="295">
                  <c:v>2200</c:v>
                </c:pt>
                <c:pt idx="296">
                  <c:v>360</c:v>
                </c:pt>
                <c:pt idx="297">
                  <c:v>0</c:v>
                </c:pt>
                <c:pt idx="298">
                  <c:v>160</c:v>
                </c:pt>
                <c:pt idx="299">
                  <c:v>0</c:v>
                </c:pt>
                <c:pt idx="300">
                  <c:v>40</c:v>
                </c:pt>
                <c:pt idx="301">
                  <c:v>280</c:v>
                </c:pt>
                <c:pt idx="302">
                  <c:v>0</c:v>
                </c:pt>
                <c:pt idx="303">
                  <c:v>0</c:v>
                </c:pt>
                <c:pt idx="304">
                  <c:v>80</c:v>
                </c:pt>
                <c:pt idx="305">
                  <c:v>0</c:v>
                </c:pt>
                <c:pt idx="306">
                  <c:v>560</c:v>
                </c:pt>
                <c:pt idx="307">
                  <c:v>40</c:v>
                </c:pt>
                <c:pt idx="308">
                  <c:v>40</c:v>
                </c:pt>
                <c:pt idx="309">
                  <c:v>40</c:v>
                </c:pt>
                <c:pt idx="310">
                  <c:v>352</c:v>
                </c:pt>
                <c:pt idx="311">
                  <c:v>560</c:v>
                </c:pt>
                <c:pt idx="312">
                  <c:v>480</c:v>
                </c:pt>
                <c:pt idx="313">
                  <c:v>480</c:v>
                </c:pt>
                <c:pt idx="314">
                  <c:v>600</c:v>
                </c:pt>
                <c:pt idx="315">
                  <c:v>960</c:v>
                </c:pt>
                <c:pt idx="316">
                  <c:v>120</c:v>
                </c:pt>
                <c:pt idx="317">
                  <c:v>600</c:v>
                </c:pt>
                <c:pt idx="318">
                  <c:v>40</c:v>
                </c:pt>
                <c:pt idx="319">
                  <c:v>120</c:v>
                </c:pt>
                <c:pt idx="320">
                  <c:v>240</c:v>
                </c:pt>
                <c:pt idx="321">
                  <c:v>280</c:v>
                </c:pt>
                <c:pt idx="322">
                  <c:v>240</c:v>
                </c:pt>
                <c:pt idx="323">
                  <c:v>0</c:v>
                </c:pt>
                <c:pt idx="324">
                  <c:v>360</c:v>
                </c:pt>
                <c:pt idx="325">
                  <c:v>240</c:v>
                </c:pt>
                <c:pt idx="326">
                  <c:v>240</c:v>
                </c:pt>
                <c:pt idx="327">
                  <c:v>100</c:v>
                </c:pt>
                <c:pt idx="328">
                  <c:v>160</c:v>
                </c:pt>
                <c:pt idx="329">
                  <c:v>120</c:v>
                </c:pt>
                <c:pt idx="330">
                  <c:v>120</c:v>
                </c:pt>
                <c:pt idx="331">
                  <c:v>240</c:v>
                </c:pt>
                <c:pt idx="332">
                  <c:v>240</c:v>
                </c:pt>
                <c:pt idx="333">
                  <c:v>0</c:v>
                </c:pt>
                <c:pt idx="334">
                  <c:v>103</c:v>
                </c:pt>
                <c:pt idx="335">
                  <c:v>240</c:v>
                </c:pt>
                <c:pt idx="336">
                  <c:v>920</c:v>
                </c:pt>
                <c:pt idx="337">
                  <c:v>800</c:v>
                </c:pt>
                <c:pt idx="338">
                  <c:v>440</c:v>
                </c:pt>
                <c:pt idx="339">
                  <c:v>80</c:v>
                </c:pt>
                <c:pt idx="340">
                  <c:v>200</c:v>
                </c:pt>
                <c:pt idx="341">
                  <c:v>240</c:v>
                </c:pt>
                <c:pt idx="342">
                  <c:v>80</c:v>
                </c:pt>
                <c:pt idx="343">
                  <c:v>120</c:v>
                </c:pt>
                <c:pt idx="344">
                  <c:v>280</c:v>
                </c:pt>
                <c:pt idx="345">
                  <c:v>120</c:v>
                </c:pt>
                <c:pt idx="346">
                  <c:v>200</c:v>
                </c:pt>
                <c:pt idx="347">
                  <c:v>0</c:v>
                </c:pt>
                <c:pt idx="348">
                  <c:v>280</c:v>
                </c:pt>
                <c:pt idx="349">
                  <c:v>80</c:v>
                </c:pt>
                <c:pt idx="350">
                  <c:v>120</c:v>
                </c:pt>
                <c:pt idx="351">
                  <c:v>40</c:v>
                </c:pt>
                <c:pt idx="352">
                  <c:v>320</c:v>
                </c:pt>
                <c:pt idx="353">
                  <c:v>80</c:v>
                </c:pt>
                <c:pt idx="354">
                  <c:v>200</c:v>
                </c:pt>
                <c:pt idx="355">
                  <c:v>240</c:v>
                </c:pt>
                <c:pt idx="356">
                  <c:v>120</c:v>
                </c:pt>
                <c:pt idx="357">
                  <c:v>40</c:v>
                </c:pt>
                <c:pt idx="358">
                  <c:v>44</c:v>
                </c:pt>
                <c:pt idx="359">
                  <c:v>160</c:v>
                </c:pt>
                <c:pt idx="360">
                  <c:v>1280</c:v>
                </c:pt>
                <c:pt idx="361">
                  <c:v>520</c:v>
                </c:pt>
                <c:pt idx="362">
                  <c:v>40</c:v>
                </c:pt>
                <c:pt idx="363">
                  <c:v>280</c:v>
                </c:pt>
                <c:pt idx="364">
                  <c:v>240</c:v>
                </c:pt>
                <c:pt idx="365">
                  <c:v>120</c:v>
                </c:pt>
                <c:pt idx="366">
                  <c:v>160</c:v>
                </c:pt>
                <c:pt idx="367">
                  <c:v>280</c:v>
                </c:pt>
                <c:pt idx="368">
                  <c:v>120</c:v>
                </c:pt>
                <c:pt idx="369">
                  <c:v>80</c:v>
                </c:pt>
                <c:pt idx="370">
                  <c:v>80</c:v>
                </c:pt>
                <c:pt idx="371">
                  <c:v>0</c:v>
                </c:pt>
                <c:pt idx="372">
                  <c:v>880</c:v>
                </c:pt>
                <c:pt idx="373">
                  <c:v>200</c:v>
                </c:pt>
                <c:pt idx="374">
                  <c:v>120</c:v>
                </c:pt>
                <c:pt idx="375">
                  <c:v>80</c:v>
                </c:pt>
                <c:pt idx="376">
                  <c:v>240</c:v>
                </c:pt>
                <c:pt idx="377">
                  <c:v>80</c:v>
                </c:pt>
                <c:pt idx="378">
                  <c:v>240</c:v>
                </c:pt>
                <c:pt idx="379">
                  <c:v>120</c:v>
                </c:pt>
                <c:pt idx="380">
                  <c:v>200</c:v>
                </c:pt>
                <c:pt idx="381">
                  <c:v>0</c:v>
                </c:pt>
                <c:pt idx="382">
                  <c:v>330</c:v>
                </c:pt>
                <c:pt idx="383">
                  <c:v>160</c:v>
                </c:pt>
                <c:pt idx="384">
                  <c:v>880</c:v>
                </c:pt>
                <c:pt idx="385">
                  <c:v>680</c:v>
                </c:pt>
                <c:pt idx="386">
                  <c:v>200</c:v>
                </c:pt>
                <c:pt idx="387">
                  <c:v>120</c:v>
                </c:pt>
                <c:pt idx="388">
                  <c:v>40</c:v>
                </c:pt>
                <c:pt idx="389">
                  <c:v>80</c:v>
                </c:pt>
                <c:pt idx="390">
                  <c:v>40</c:v>
                </c:pt>
                <c:pt idx="391">
                  <c:v>1280</c:v>
                </c:pt>
                <c:pt idx="392">
                  <c:v>160</c:v>
                </c:pt>
                <c:pt idx="393">
                  <c:v>120</c:v>
                </c:pt>
                <c:pt idx="394">
                  <c:v>200</c:v>
                </c:pt>
                <c:pt idx="395">
                  <c:v>0</c:v>
                </c:pt>
                <c:pt idx="396">
                  <c:v>520</c:v>
                </c:pt>
                <c:pt idx="397">
                  <c:v>440</c:v>
                </c:pt>
                <c:pt idx="398">
                  <c:v>160</c:v>
                </c:pt>
                <c:pt idx="399">
                  <c:v>80</c:v>
                </c:pt>
                <c:pt idx="400">
                  <c:v>320</c:v>
                </c:pt>
                <c:pt idx="401">
                  <c:v>80</c:v>
                </c:pt>
                <c:pt idx="402">
                  <c:v>520</c:v>
                </c:pt>
                <c:pt idx="403">
                  <c:v>120</c:v>
                </c:pt>
                <c:pt idx="404">
                  <c:v>120</c:v>
                </c:pt>
                <c:pt idx="405">
                  <c:v>320</c:v>
                </c:pt>
                <c:pt idx="406">
                  <c:v>148</c:v>
                </c:pt>
                <c:pt idx="407">
                  <c:v>160</c:v>
                </c:pt>
                <c:pt idx="408">
                  <c:v>200</c:v>
                </c:pt>
                <c:pt idx="409">
                  <c:v>440</c:v>
                </c:pt>
                <c:pt idx="410">
                  <c:v>1120</c:v>
                </c:pt>
                <c:pt idx="411">
                  <c:v>120</c:v>
                </c:pt>
                <c:pt idx="412">
                  <c:v>120</c:v>
                </c:pt>
                <c:pt idx="413">
                  <c:v>280</c:v>
                </c:pt>
                <c:pt idx="414">
                  <c:v>120</c:v>
                </c:pt>
                <c:pt idx="415">
                  <c:v>200</c:v>
                </c:pt>
                <c:pt idx="416">
                  <c:v>120</c:v>
                </c:pt>
                <c:pt idx="417">
                  <c:v>0</c:v>
                </c:pt>
                <c:pt idx="418">
                  <c:v>200</c:v>
                </c:pt>
                <c:pt idx="419">
                  <c:v>0</c:v>
                </c:pt>
                <c:pt idx="420">
                  <c:v>640</c:v>
                </c:pt>
                <c:pt idx="421">
                  <c:v>440</c:v>
                </c:pt>
                <c:pt idx="422">
                  <c:v>80</c:v>
                </c:pt>
                <c:pt idx="423">
                  <c:v>120</c:v>
                </c:pt>
                <c:pt idx="424">
                  <c:v>320</c:v>
                </c:pt>
                <c:pt idx="425">
                  <c:v>320</c:v>
                </c:pt>
                <c:pt idx="426">
                  <c:v>160</c:v>
                </c:pt>
                <c:pt idx="427">
                  <c:v>400</c:v>
                </c:pt>
                <c:pt idx="428">
                  <c:v>400</c:v>
                </c:pt>
                <c:pt idx="429">
                  <c:v>0</c:v>
                </c:pt>
                <c:pt idx="430">
                  <c:v>266</c:v>
                </c:pt>
                <c:pt idx="431">
                  <c:v>1436</c:v>
                </c:pt>
                <c:pt idx="432">
                  <c:v>320</c:v>
                </c:pt>
                <c:pt idx="433">
                  <c:v>1440</c:v>
                </c:pt>
                <c:pt idx="434">
                  <c:v>200</c:v>
                </c:pt>
                <c:pt idx="435">
                  <c:v>160</c:v>
                </c:pt>
                <c:pt idx="436">
                  <c:v>200</c:v>
                </c:pt>
                <c:pt idx="437">
                  <c:v>488</c:v>
                </c:pt>
                <c:pt idx="438">
                  <c:v>160</c:v>
                </c:pt>
                <c:pt idx="439">
                  <c:v>1080</c:v>
                </c:pt>
                <c:pt idx="440">
                  <c:v>80</c:v>
                </c:pt>
                <c:pt idx="441">
                  <c:v>720</c:v>
                </c:pt>
                <c:pt idx="442">
                  <c:v>120</c:v>
                </c:pt>
                <c:pt idx="443">
                  <c:v>0</c:v>
                </c:pt>
                <c:pt idx="444">
                  <c:v>1000</c:v>
                </c:pt>
                <c:pt idx="445">
                  <c:v>400</c:v>
                </c:pt>
                <c:pt idx="446">
                  <c:v>80</c:v>
                </c:pt>
                <c:pt idx="447">
                  <c:v>100</c:v>
                </c:pt>
                <c:pt idx="448">
                  <c:v>80</c:v>
                </c:pt>
                <c:pt idx="449">
                  <c:v>0</c:v>
                </c:pt>
                <c:pt idx="450">
                  <c:v>720</c:v>
                </c:pt>
                <c:pt idx="451">
                  <c:v>40</c:v>
                </c:pt>
                <c:pt idx="452">
                  <c:v>120</c:v>
                </c:pt>
                <c:pt idx="453">
                  <c:v>80</c:v>
                </c:pt>
                <c:pt idx="454">
                  <c:v>107</c:v>
                </c:pt>
                <c:pt idx="455">
                  <c:v>1000</c:v>
                </c:pt>
                <c:pt idx="456">
                  <c:v>352.78289473684208</c:v>
                </c:pt>
              </c:numCache>
            </c:numRef>
          </c:yVal>
          <c:smooth val="0"/>
          <c:extLst>
            <c:ext xmlns:c16="http://schemas.microsoft.com/office/drawing/2014/chart" uri="{C3380CC4-5D6E-409C-BE32-E72D297353CC}">
              <c16:uniqueId val="{00000000-DC72-4BFF-8361-DD0D0D9FA043}"/>
            </c:ext>
          </c:extLst>
        </c:ser>
        <c:dLbls>
          <c:showLegendKey val="0"/>
          <c:showVal val="0"/>
          <c:showCatName val="0"/>
          <c:showSerName val="0"/>
          <c:showPercent val="0"/>
          <c:showBubbleSize val="0"/>
        </c:dLbls>
        <c:axId val="950528928"/>
        <c:axId val="950524608"/>
      </c:scatterChart>
      <c:valAx>
        <c:axId val="95052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0524608"/>
        <c:crosses val="autoZero"/>
        <c:crossBetween val="midCat"/>
      </c:valAx>
      <c:valAx>
        <c:axId val="95052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0528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Main!$I$1</c:f>
              <c:strCache>
                <c:ptCount val="1"/>
                <c:pt idx="0">
                  <c:v>twohandend</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8338956421990809"/>
                  <c:y val="-0.558248760571595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Main!$I$2:$I$507</c:f>
              <c:numCache>
                <c:formatCode>General</c:formatCode>
                <c:ptCount val="506"/>
                <c:pt idx="0">
                  <c:v>6</c:v>
                </c:pt>
                <c:pt idx="1">
                  <c:v>16</c:v>
                </c:pt>
                <c:pt idx="2">
                  <c:v>2</c:v>
                </c:pt>
                <c:pt idx="3">
                  <c:v>0</c:v>
                </c:pt>
                <c:pt idx="4">
                  <c:v>1</c:v>
                </c:pt>
                <c:pt idx="5">
                  <c:v>3</c:v>
                </c:pt>
                <c:pt idx="6">
                  <c:v>3</c:v>
                </c:pt>
                <c:pt idx="7">
                  <c:v>5</c:v>
                </c:pt>
                <c:pt idx="8">
                  <c:v>0</c:v>
                </c:pt>
                <c:pt idx="9">
                  <c:v>27</c:v>
                </c:pt>
                <c:pt idx="10">
                  <c:v>0</c:v>
                </c:pt>
                <c:pt idx="11">
                  <c:v>1</c:v>
                </c:pt>
                <c:pt idx="12">
                  <c:v>0</c:v>
                </c:pt>
                <c:pt idx="13">
                  <c:v>1</c:v>
                </c:pt>
                <c:pt idx="14">
                  <c:v>0</c:v>
                </c:pt>
                <c:pt idx="15">
                  <c:v>1</c:v>
                </c:pt>
                <c:pt idx="16">
                  <c:v>10</c:v>
                </c:pt>
                <c:pt idx="17">
                  <c:v>1</c:v>
                </c:pt>
                <c:pt idx="18">
                  <c:v>2</c:v>
                </c:pt>
                <c:pt idx="19">
                  <c:v>0</c:v>
                </c:pt>
                <c:pt idx="20">
                  <c:v>0</c:v>
                </c:pt>
                <c:pt idx="21">
                  <c:v>1</c:v>
                </c:pt>
                <c:pt idx="22">
                  <c:v>20</c:v>
                </c:pt>
                <c:pt idx="23">
                  <c:v>0</c:v>
                </c:pt>
                <c:pt idx="24">
                  <c:v>2</c:v>
                </c:pt>
                <c:pt idx="25">
                  <c:v>0</c:v>
                </c:pt>
                <c:pt idx="26">
                  <c:v>0</c:v>
                </c:pt>
                <c:pt idx="27">
                  <c:v>0</c:v>
                </c:pt>
                <c:pt idx="28">
                  <c:v>1</c:v>
                </c:pt>
                <c:pt idx="29">
                  <c:v>1</c:v>
                </c:pt>
                <c:pt idx="30">
                  <c:v>4</c:v>
                </c:pt>
                <c:pt idx="31">
                  <c:v>3</c:v>
                </c:pt>
                <c:pt idx="32">
                  <c:v>0</c:v>
                </c:pt>
                <c:pt idx="33">
                  <c:v>2</c:v>
                </c:pt>
                <c:pt idx="34">
                  <c:v>2</c:v>
                </c:pt>
                <c:pt idx="35">
                  <c:v>1</c:v>
                </c:pt>
                <c:pt idx="36">
                  <c:v>1</c:v>
                </c:pt>
                <c:pt idx="37">
                  <c:v>1</c:v>
                </c:pt>
                <c:pt idx="38">
                  <c:v>2</c:v>
                </c:pt>
                <c:pt idx="39">
                  <c:v>1</c:v>
                </c:pt>
                <c:pt idx="40">
                  <c:v>2</c:v>
                </c:pt>
                <c:pt idx="41">
                  <c:v>1</c:v>
                </c:pt>
                <c:pt idx="42">
                  <c:v>2</c:v>
                </c:pt>
                <c:pt idx="43">
                  <c:v>1</c:v>
                </c:pt>
                <c:pt idx="44">
                  <c:v>1</c:v>
                </c:pt>
                <c:pt idx="45">
                  <c:v>1</c:v>
                </c:pt>
                <c:pt idx="46">
                  <c:v>1</c:v>
                </c:pt>
                <c:pt idx="47">
                  <c:v>4</c:v>
                </c:pt>
                <c:pt idx="48">
                  <c:v>2</c:v>
                </c:pt>
                <c:pt idx="49">
                  <c:v>1</c:v>
                </c:pt>
                <c:pt idx="50">
                  <c:v>1</c:v>
                </c:pt>
                <c:pt idx="51">
                  <c:v>1</c:v>
                </c:pt>
                <c:pt idx="52">
                  <c:v>1</c:v>
                </c:pt>
                <c:pt idx="53">
                  <c:v>1</c:v>
                </c:pt>
                <c:pt idx="54">
                  <c:v>3</c:v>
                </c:pt>
                <c:pt idx="55">
                  <c:v>1</c:v>
                </c:pt>
                <c:pt idx="56">
                  <c:v>2</c:v>
                </c:pt>
                <c:pt idx="57">
                  <c:v>1</c:v>
                </c:pt>
                <c:pt idx="58">
                  <c:v>1</c:v>
                </c:pt>
                <c:pt idx="59">
                  <c:v>1</c:v>
                </c:pt>
                <c:pt idx="60">
                  <c:v>1</c:v>
                </c:pt>
                <c:pt idx="61">
                  <c:v>1</c:v>
                </c:pt>
                <c:pt idx="62">
                  <c:v>2</c:v>
                </c:pt>
                <c:pt idx="63">
                  <c:v>1</c:v>
                </c:pt>
                <c:pt idx="64">
                  <c:v>3</c:v>
                </c:pt>
                <c:pt idx="65">
                  <c:v>1</c:v>
                </c:pt>
                <c:pt idx="66">
                  <c:v>3</c:v>
                </c:pt>
                <c:pt idx="67">
                  <c:v>1</c:v>
                </c:pt>
                <c:pt idx="68">
                  <c:v>1</c:v>
                </c:pt>
                <c:pt idx="69">
                  <c:v>1</c:v>
                </c:pt>
                <c:pt idx="70">
                  <c:v>1</c:v>
                </c:pt>
                <c:pt idx="71">
                  <c:v>2</c:v>
                </c:pt>
                <c:pt idx="72">
                  <c:v>0</c:v>
                </c:pt>
                <c:pt idx="73">
                  <c:v>0</c:v>
                </c:pt>
                <c:pt idx="74">
                  <c:v>0</c:v>
                </c:pt>
                <c:pt idx="75">
                  <c:v>0</c:v>
                </c:pt>
                <c:pt idx="76">
                  <c:v>0</c:v>
                </c:pt>
                <c:pt idx="77">
                  <c:v>0</c:v>
                </c:pt>
                <c:pt idx="78">
                  <c:v>0</c:v>
                </c:pt>
                <c:pt idx="79">
                  <c:v>0</c:v>
                </c:pt>
                <c:pt idx="80">
                  <c:v>0</c:v>
                </c:pt>
                <c:pt idx="81">
                  <c:v>0</c:v>
                </c:pt>
                <c:pt idx="82">
                  <c:v>0</c:v>
                </c:pt>
                <c:pt idx="83">
                  <c:v>12</c:v>
                </c:pt>
                <c:pt idx="84">
                  <c:v>2</c:v>
                </c:pt>
                <c:pt idx="85">
                  <c:v>1</c:v>
                </c:pt>
                <c:pt idx="86">
                  <c:v>0</c:v>
                </c:pt>
                <c:pt idx="87">
                  <c:v>1</c:v>
                </c:pt>
                <c:pt idx="88">
                  <c:v>4</c:v>
                </c:pt>
                <c:pt idx="89">
                  <c:v>3</c:v>
                </c:pt>
                <c:pt idx="90">
                  <c:v>1</c:v>
                </c:pt>
                <c:pt idx="91">
                  <c:v>1</c:v>
                </c:pt>
                <c:pt idx="92">
                  <c:v>1</c:v>
                </c:pt>
                <c:pt idx="93">
                  <c:v>1</c:v>
                </c:pt>
                <c:pt idx="94">
                  <c:v>3</c:v>
                </c:pt>
                <c:pt idx="95">
                  <c:v>2</c:v>
                </c:pt>
                <c:pt idx="96">
                  <c:v>0</c:v>
                </c:pt>
                <c:pt idx="97">
                  <c:v>0</c:v>
                </c:pt>
                <c:pt idx="98">
                  <c:v>4</c:v>
                </c:pt>
                <c:pt idx="99">
                  <c:v>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1</c:v>
                </c:pt>
                <c:pt idx="127">
                  <c:v>0</c:v>
                </c:pt>
                <c:pt idx="128">
                  <c:v>0</c:v>
                </c:pt>
                <c:pt idx="129">
                  <c:v>0</c:v>
                </c:pt>
                <c:pt idx="130">
                  <c:v>0</c:v>
                </c:pt>
                <c:pt idx="131">
                  <c:v>1</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1</c:v>
                </c:pt>
                <c:pt idx="193">
                  <c:v>1</c:v>
                </c:pt>
                <c:pt idx="194">
                  <c:v>1</c:v>
                </c:pt>
                <c:pt idx="195">
                  <c:v>1</c:v>
                </c:pt>
                <c:pt idx="196">
                  <c:v>1</c:v>
                </c:pt>
                <c:pt idx="197">
                  <c:v>1</c:v>
                </c:pt>
                <c:pt idx="198">
                  <c:v>3</c:v>
                </c:pt>
                <c:pt idx="199">
                  <c:v>2</c:v>
                </c:pt>
                <c:pt idx="200">
                  <c:v>2</c:v>
                </c:pt>
                <c:pt idx="201">
                  <c:v>1</c:v>
                </c:pt>
                <c:pt idx="202">
                  <c:v>3</c:v>
                </c:pt>
                <c:pt idx="203">
                  <c:v>1</c:v>
                </c:pt>
                <c:pt idx="204">
                  <c:v>2</c:v>
                </c:pt>
                <c:pt idx="205">
                  <c:v>10</c:v>
                </c:pt>
                <c:pt idx="206">
                  <c:v>0</c:v>
                </c:pt>
                <c:pt idx="207">
                  <c:v>0</c:v>
                </c:pt>
                <c:pt idx="208">
                  <c:v>0</c:v>
                </c:pt>
                <c:pt idx="209">
                  <c:v>1</c:v>
                </c:pt>
                <c:pt idx="210">
                  <c:v>0</c:v>
                </c:pt>
                <c:pt idx="211">
                  <c:v>4</c:v>
                </c:pt>
                <c:pt idx="212">
                  <c:v>5</c:v>
                </c:pt>
                <c:pt idx="213">
                  <c:v>1</c:v>
                </c:pt>
                <c:pt idx="214">
                  <c:v>0</c:v>
                </c:pt>
                <c:pt idx="215">
                  <c:v>28</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3</c:v>
                </c:pt>
                <c:pt idx="254">
                  <c:v>0</c:v>
                </c:pt>
                <c:pt idx="255">
                  <c:v>0</c:v>
                </c:pt>
                <c:pt idx="256">
                  <c:v>3</c:v>
                </c:pt>
                <c:pt idx="257">
                  <c:v>0</c:v>
                </c:pt>
                <c:pt idx="258">
                  <c:v>4</c:v>
                </c:pt>
                <c:pt idx="259">
                  <c:v>2</c:v>
                </c:pt>
                <c:pt idx="260">
                  <c:v>1</c:v>
                </c:pt>
                <c:pt idx="261">
                  <c:v>1</c:v>
                </c:pt>
                <c:pt idx="262">
                  <c:v>1</c:v>
                </c:pt>
                <c:pt idx="263">
                  <c:v>1</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2</c:v>
                </c:pt>
                <c:pt idx="289">
                  <c:v>2</c:v>
                </c:pt>
                <c:pt idx="290">
                  <c:v>1</c:v>
                </c:pt>
                <c:pt idx="291">
                  <c:v>2</c:v>
                </c:pt>
                <c:pt idx="292">
                  <c:v>1</c:v>
                </c:pt>
                <c:pt idx="293">
                  <c:v>1</c:v>
                </c:pt>
                <c:pt idx="294">
                  <c:v>1</c:v>
                </c:pt>
                <c:pt idx="295">
                  <c:v>18</c:v>
                </c:pt>
                <c:pt idx="296">
                  <c:v>2</c:v>
                </c:pt>
                <c:pt idx="297">
                  <c:v>1</c:v>
                </c:pt>
                <c:pt idx="298">
                  <c:v>4</c:v>
                </c:pt>
                <c:pt idx="299">
                  <c:v>1</c:v>
                </c:pt>
                <c:pt idx="300">
                  <c:v>1</c:v>
                </c:pt>
                <c:pt idx="301">
                  <c:v>2</c:v>
                </c:pt>
                <c:pt idx="302">
                  <c:v>1</c:v>
                </c:pt>
                <c:pt idx="303">
                  <c:v>1</c:v>
                </c:pt>
                <c:pt idx="304">
                  <c:v>1</c:v>
                </c:pt>
                <c:pt idx="305">
                  <c:v>1</c:v>
                </c:pt>
                <c:pt idx="306">
                  <c:v>3</c:v>
                </c:pt>
                <c:pt idx="307">
                  <c:v>1</c:v>
                </c:pt>
                <c:pt idx="308">
                  <c:v>1</c:v>
                </c:pt>
                <c:pt idx="309">
                  <c:v>1</c:v>
                </c:pt>
                <c:pt idx="310">
                  <c:v>3</c:v>
                </c:pt>
                <c:pt idx="311">
                  <c:v>3</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5</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4</c:v>
                </c:pt>
                <c:pt idx="361">
                  <c:v>7</c:v>
                </c:pt>
                <c:pt idx="362">
                  <c:v>1</c:v>
                </c:pt>
                <c:pt idx="363">
                  <c:v>2</c:v>
                </c:pt>
                <c:pt idx="364">
                  <c:v>2</c:v>
                </c:pt>
                <c:pt idx="365">
                  <c:v>1</c:v>
                </c:pt>
                <c:pt idx="366">
                  <c:v>1</c:v>
                </c:pt>
                <c:pt idx="367">
                  <c:v>1</c:v>
                </c:pt>
                <c:pt idx="368">
                  <c:v>1</c:v>
                </c:pt>
                <c:pt idx="369">
                  <c:v>1</c:v>
                </c:pt>
                <c:pt idx="370">
                  <c:v>1</c:v>
                </c:pt>
                <c:pt idx="371">
                  <c:v>1</c:v>
                </c:pt>
                <c:pt idx="372">
                  <c:v>5</c:v>
                </c:pt>
                <c:pt idx="373">
                  <c:v>1</c:v>
                </c:pt>
                <c:pt idx="374">
                  <c:v>1</c:v>
                </c:pt>
                <c:pt idx="375">
                  <c:v>1</c:v>
                </c:pt>
                <c:pt idx="376">
                  <c:v>1</c:v>
                </c:pt>
                <c:pt idx="377">
                  <c:v>1</c:v>
                </c:pt>
                <c:pt idx="378">
                  <c:v>3</c:v>
                </c:pt>
                <c:pt idx="379">
                  <c:v>1</c:v>
                </c:pt>
                <c:pt idx="380">
                  <c:v>1</c:v>
                </c:pt>
                <c:pt idx="381">
                  <c:v>1</c:v>
                </c:pt>
                <c:pt idx="382">
                  <c:v>2</c:v>
                </c:pt>
                <c:pt idx="383">
                  <c:v>1</c:v>
                </c:pt>
                <c:pt idx="384">
                  <c:v>3</c:v>
                </c:pt>
                <c:pt idx="385">
                  <c:v>6</c:v>
                </c:pt>
                <c:pt idx="386">
                  <c:v>1</c:v>
                </c:pt>
                <c:pt idx="387">
                  <c:v>1</c:v>
                </c:pt>
                <c:pt idx="388">
                  <c:v>1</c:v>
                </c:pt>
                <c:pt idx="389">
                  <c:v>1</c:v>
                </c:pt>
                <c:pt idx="390">
                  <c:v>1</c:v>
                </c:pt>
                <c:pt idx="391">
                  <c:v>7</c:v>
                </c:pt>
                <c:pt idx="392">
                  <c:v>1</c:v>
                </c:pt>
                <c:pt idx="393">
                  <c:v>1</c:v>
                </c:pt>
                <c:pt idx="394">
                  <c:v>2</c:v>
                </c:pt>
                <c:pt idx="395">
                  <c:v>1</c:v>
                </c:pt>
                <c:pt idx="396">
                  <c:v>3</c:v>
                </c:pt>
                <c:pt idx="397">
                  <c:v>2</c:v>
                </c:pt>
                <c:pt idx="398">
                  <c:v>2</c:v>
                </c:pt>
                <c:pt idx="399">
                  <c:v>1</c:v>
                </c:pt>
                <c:pt idx="400">
                  <c:v>2</c:v>
                </c:pt>
                <c:pt idx="401">
                  <c:v>1</c:v>
                </c:pt>
                <c:pt idx="402">
                  <c:v>3</c:v>
                </c:pt>
                <c:pt idx="403">
                  <c:v>2</c:v>
                </c:pt>
                <c:pt idx="404">
                  <c:v>1</c:v>
                </c:pt>
                <c:pt idx="405">
                  <c:v>3</c:v>
                </c:pt>
                <c:pt idx="406">
                  <c:v>2</c:v>
                </c:pt>
                <c:pt idx="407">
                  <c:v>1</c:v>
                </c:pt>
                <c:pt idx="408">
                  <c:v>1</c:v>
                </c:pt>
                <c:pt idx="409">
                  <c:v>1</c:v>
                </c:pt>
                <c:pt idx="410">
                  <c:v>6</c:v>
                </c:pt>
                <c:pt idx="411">
                  <c:v>1</c:v>
                </c:pt>
                <c:pt idx="412">
                  <c:v>1</c:v>
                </c:pt>
                <c:pt idx="413">
                  <c:v>2</c:v>
                </c:pt>
                <c:pt idx="414">
                  <c:v>1</c:v>
                </c:pt>
                <c:pt idx="415">
                  <c:v>1</c:v>
                </c:pt>
                <c:pt idx="416">
                  <c:v>0</c:v>
                </c:pt>
                <c:pt idx="417">
                  <c:v>0</c:v>
                </c:pt>
                <c:pt idx="418">
                  <c:v>2</c:v>
                </c:pt>
                <c:pt idx="419">
                  <c:v>1</c:v>
                </c:pt>
                <c:pt idx="420">
                  <c:v>1</c:v>
                </c:pt>
                <c:pt idx="421">
                  <c:v>2</c:v>
                </c:pt>
                <c:pt idx="422">
                  <c:v>1</c:v>
                </c:pt>
                <c:pt idx="423">
                  <c:v>0</c:v>
                </c:pt>
                <c:pt idx="424">
                  <c:v>1</c:v>
                </c:pt>
                <c:pt idx="425">
                  <c:v>4</c:v>
                </c:pt>
                <c:pt idx="426">
                  <c:v>1</c:v>
                </c:pt>
                <c:pt idx="427">
                  <c:v>1</c:v>
                </c:pt>
                <c:pt idx="428">
                  <c:v>2</c:v>
                </c:pt>
                <c:pt idx="429">
                  <c:v>1</c:v>
                </c:pt>
                <c:pt idx="430">
                  <c:v>1</c:v>
                </c:pt>
                <c:pt idx="431">
                  <c:v>6</c:v>
                </c:pt>
                <c:pt idx="432">
                  <c:v>0</c:v>
                </c:pt>
                <c:pt idx="433">
                  <c:v>1</c:v>
                </c:pt>
                <c:pt idx="434">
                  <c:v>1</c:v>
                </c:pt>
                <c:pt idx="435">
                  <c:v>3</c:v>
                </c:pt>
                <c:pt idx="436">
                  <c:v>4</c:v>
                </c:pt>
                <c:pt idx="437">
                  <c:v>3</c:v>
                </c:pt>
                <c:pt idx="438">
                  <c:v>1</c:v>
                </c:pt>
                <c:pt idx="439">
                  <c:v>5</c:v>
                </c:pt>
                <c:pt idx="440">
                  <c:v>1</c:v>
                </c:pt>
                <c:pt idx="441">
                  <c:v>4</c:v>
                </c:pt>
                <c:pt idx="442">
                  <c:v>1</c:v>
                </c:pt>
                <c:pt idx="443">
                  <c:v>1</c:v>
                </c:pt>
                <c:pt idx="444">
                  <c:v>5</c:v>
                </c:pt>
                <c:pt idx="445">
                  <c:v>2</c:v>
                </c:pt>
                <c:pt idx="446">
                  <c:v>1</c:v>
                </c:pt>
                <c:pt idx="447">
                  <c:v>1</c:v>
                </c:pt>
                <c:pt idx="448">
                  <c:v>1</c:v>
                </c:pt>
                <c:pt idx="449">
                  <c:v>1</c:v>
                </c:pt>
                <c:pt idx="450">
                  <c:v>3</c:v>
                </c:pt>
                <c:pt idx="451">
                  <c:v>1</c:v>
                </c:pt>
                <c:pt idx="452">
                  <c:v>1</c:v>
                </c:pt>
                <c:pt idx="453">
                  <c:v>1</c:v>
                </c:pt>
                <c:pt idx="454">
                  <c:v>1</c:v>
                </c:pt>
                <c:pt idx="455">
                  <c:v>5</c:v>
                </c:pt>
                <c:pt idx="456">
                  <c:v>1.1600877192982457</c:v>
                </c:pt>
              </c:numCache>
            </c:numRef>
          </c:yVal>
          <c:smooth val="0"/>
          <c:extLst>
            <c:ext xmlns:c16="http://schemas.microsoft.com/office/drawing/2014/chart" uri="{C3380CC4-5D6E-409C-BE32-E72D297353CC}">
              <c16:uniqueId val="{00000000-03DF-4AE7-8CBF-80CF407A7A15}"/>
            </c:ext>
          </c:extLst>
        </c:ser>
        <c:dLbls>
          <c:showLegendKey val="0"/>
          <c:showVal val="0"/>
          <c:showCatName val="0"/>
          <c:showSerName val="0"/>
          <c:showPercent val="0"/>
          <c:showBubbleSize val="0"/>
        </c:dLbls>
        <c:axId val="950529408"/>
        <c:axId val="950517888"/>
      </c:scatterChart>
      <c:valAx>
        <c:axId val="950529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0517888"/>
        <c:crosses val="autoZero"/>
        <c:crossBetween val="midCat"/>
      </c:valAx>
      <c:valAx>
        <c:axId val="95051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0529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Main!$J$1</c:f>
              <c:strCache>
                <c:ptCount val="1"/>
                <c:pt idx="0">
                  <c:v>lockons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8041084205364232"/>
                  <c:y val="-0.55657006415864685"/>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Main!$J$2:$J$507</c:f>
              <c:numCache>
                <c:formatCode>General</c:formatCode>
                <c:ptCount val="506"/>
                <c:pt idx="0">
                  <c:v>16</c:v>
                </c:pt>
                <c:pt idx="1">
                  <c:v>7</c:v>
                </c:pt>
                <c:pt idx="2">
                  <c:v>7</c:v>
                </c:pt>
                <c:pt idx="3">
                  <c:v>4</c:v>
                </c:pt>
                <c:pt idx="4">
                  <c:v>5</c:v>
                </c:pt>
                <c:pt idx="5">
                  <c:v>4</c:v>
                </c:pt>
                <c:pt idx="6">
                  <c:v>4</c:v>
                </c:pt>
                <c:pt idx="7">
                  <c:v>4</c:v>
                </c:pt>
                <c:pt idx="8">
                  <c:v>2</c:v>
                </c:pt>
                <c:pt idx="9">
                  <c:v>9</c:v>
                </c:pt>
                <c:pt idx="10">
                  <c:v>4</c:v>
                </c:pt>
                <c:pt idx="11">
                  <c:v>1</c:v>
                </c:pt>
                <c:pt idx="12">
                  <c:v>1</c:v>
                </c:pt>
                <c:pt idx="13">
                  <c:v>5</c:v>
                </c:pt>
                <c:pt idx="14">
                  <c:v>5</c:v>
                </c:pt>
                <c:pt idx="15">
                  <c:v>2</c:v>
                </c:pt>
                <c:pt idx="16">
                  <c:v>5</c:v>
                </c:pt>
                <c:pt idx="17">
                  <c:v>2</c:v>
                </c:pt>
                <c:pt idx="18">
                  <c:v>3</c:v>
                </c:pt>
                <c:pt idx="19">
                  <c:v>3</c:v>
                </c:pt>
                <c:pt idx="20">
                  <c:v>2</c:v>
                </c:pt>
                <c:pt idx="21">
                  <c:v>1</c:v>
                </c:pt>
                <c:pt idx="22">
                  <c:v>15</c:v>
                </c:pt>
                <c:pt idx="23">
                  <c:v>5</c:v>
                </c:pt>
                <c:pt idx="24">
                  <c:v>5</c:v>
                </c:pt>
                <c:pt idx="25">
                  <c:v>7</c:v>
                </c:pt>
                <c:pt idx="26">
                  <c:v>1</c:v>
                </c:pt>
                <c:pt idx="27">
                  <c:v>2</c:v>
                </c:pt>
                <c:pt idx="28">
                  <c:v>1</c:v>
                </c:pt>
                <c:pt idx="29">
                  <c:v>1</c:v>
                </c:pt>
                <c:pt idx="30">
                  <c:v>4</c:v>
                </c:pt>
                <c:pt idx="31">
                  <c:v>3</c:v>
                </c:pt>
                <c:pt idx="32">
                  <c:v>5</c:v>
                </c:pt>
                <c:pt idx="33">
                  <c:v>3</c:v>
                </c:pt>
                <c:pt idx="34">
                  <c:v>2</c:v>
                </c:pt>
                <c:pt idx="35">
                  <c:v>2</c:v>
                </c:pt>
                <c:pt idx="36">
                  <c:v>1</c:v>
                </c:pt>
                <c:pt idx="37">
                  <c:v>1</c:v>
                </c:pt>
                <c:pt idx="38">
                  <c:v>2</c:v>
                </c:pt>
                <c:pt idx="39">
                  <c:v>1</c:v>
                </c:pt>
                <c:pt idx="40">
                  <c:v>2</c:v>
                </c:pt>
                <c:pt idx="41">
                  <c:v>1</c:v>
                </c:pt>
                <c:pt idx="42">
                  <c:v>2</c:v>
                </c:pt>
                <c:pt idx="43">
                  <c:v>1</c:v>
                </c:pt>
                <c:pt idx="44">
                  <c:v>1</c:v>
                </c:pt>
                <c:pt idx="45">
                  <c:v>1</c:v>
                </c:pt>
                <c:pt idx="46">
                  <c:v>1</c:v>
                </c:pt>
                <c:pt idx="47">
                  <c:v>5</c:v>
                </c:pt>
                <c:pt idx="48">
                  <c:v>6</c:v>
                </c:pt>
                <c:pt idx="49">
                  <c:v>1</c:v>
                </c:pt>
                <c:pt idx="50">
                  <c:v>1</c:v>
                </c:pt>
                <c:pt idx="51">
                  <c:v>1</c:v>
                </c:pt>
                <c:pt idx="52">
                  <c:v>1</c:v>
                </c:pt>
                <c:pt idx="53">
                  <c:v>1</c:v>
                </c:pt>
                <c:pt idx="54">
                  <c:v>3</c:v>
                </c:pt>
                <c:pt idx="55">
                  <c:v>1</c:v>
                </c:pt>
                <c:pt idx="56">
                  <c:v>2</c:v>
                </c:pt>
                <c:pt idx="57">
                  <c:v>1</c:v>
                </c:pt>
                <c:pt idx="58">
                  <c:v>1</c:v>
                </c:pt>
                <c:pt idx="59">
                  <c:v>3</c:v>
                </c:pt>
                <c:pt idx="60">
                  <c:v>1</c:v>
                </c:pt>
                <c:pt idx="61">
                  <c:v>2</c:v>
                </c:pt>
                <c:pt idx="62">
                  <c:v>2</c:v>
                </c:pt>
                <c:pt idx="63">
                  <c:v>1</c:v>
                </c:pt>
                <c:pt idx="64">
                  <c:v>3</c:v>
                </c:pt>
                <c:pt idx="65">
                  <c:v>1</c:v>
                </c:pt>
                <c:pt idx="66">
                  <c:v>3</c:v>
                </c:pt>
                <c:pt idx="67">
                  <c:v>1</c:v>
                </c:pt>
                <c:pt idx="68">
                  <c:v>1</c:v>
                </c:pt>
                <c:pt idx="69">
                  <c:v>1</c:v>
                </c:pt>
                <c:pt idx="70">
                  <c:v>1</c:v>
                </c:pt>
                <c:pt idx="71">
                  <c:v>2</c:v>
                </c:pt>
                <c:pt idx="72">
                  <c:v>10</c:v>
                </c:pt>
                <c:pt idx="73">
                  <c:v>2</c:v>
                </c:pt>
                <c:pt idx="74">
                  <c:v>1</c:v>
                </c:pt>
                <c:pt idx="75">
                  <c:v>2</c:v>
                </c:pt>
                <c:pt idx="76">
                  <c:v>1</c:v>
                </c:pt>
                <c:pt idx="77">
                  <c:v>1</c:v>
                </c:pt>
                <c:pt idx="78">
                  <c:v>5</c:v>
                </c:pt>
                <c:pt idx="79">
                  <c:v>8</c:v>
                </c:pt>
                <c:pt idx="80">
                  <c:v>2</c:v>
                </c:pt>
                <c:pt idx="81">
                  <c:v>5</c:v>
                </c:pt>
                <c:pt idx="82">
                  <c:v>9</c:v>
                </c:pt>
                <c:pt idx="83">
                  <c:v>4</c:v>
                </c:pt>
                <c:pt idx="84">
                  <c:v>2</c:v>
                </c:pt>
                <c:pt idx="85">
                  <c:v>1</c:v>
                </c:pt>
                <c:pt idx="86">
                  <c:v>1</c:v>
                </c:pt>
                <c:pt idx="87">
                  <c:v>1</c:v>
                </c:pt>
                <c:pt idx="88">
                  <c:v>3</c:v>
                </c:pt>
                <c:pt idx="89">
                  <c:v>1</c:v>
                </c:pt>
                <c:pt idx="90">
                  <c:v>1</c:v>
                </c:pt>
                <c:pt idx="91">
                  <c:v>1</c:v>
                </c:pt>
                <c:pt idx="92">
                  <c:v>1</c:v>
                </c:pt>
                <c:pt idx="93">
                  <c:v>1</c:v>
                </c:pt>
                <c:pt idx="94">
                  <c:v>4</c:v>
                </c:pt>
                <c:pt idx="95">
                  <c:v>4</c:v>
                </c:pt>
                <c:pt idx="96">
                  <c:v>2</c:v>
                </c:pt>
                <c:pt idx="97">
                  <c:v>11</c:v>
                </c:pt>
                <c:pt idx="98">
                  <c:v>5</c:v>
                </c:pt>
                <c:pt idx="99">
                  <c:v>7</c:v>
                </c:pt>
                <c:pt idx="100">
                  <c:v>1</c:v>
                </c:pt>
                <c:pt idx="101">
                  <c:v>2</c:v>
                </c:pt>
                <c:pt idx="102">
                  <c:v>3</c:v>
                </c:pt>
                <c:pt idx="103">
                  <c:v>2</c:v>
                </c:pt>
                <c:pt idx="104">
                  <c:v>2</c:v>
                </c:pt>
                <c:pt idx="105">
                  <c:v>1</c:v>
                </c:pt>
                <c:pt idx="106">
                  <c:v>2</c:v>
                </c:pt>
                <c:pt idx="107">
                  <c:v>2</c:v>
                </c:pt>
                <c:pt idx="108">
                  <c:v>2</c:v>
                </c:pt>
                <c:pt idx="109">
                  <c:v>1</c:v>
                </c:pt>
                <c:pt idx="110">
                  <c:v>3</c:v>
                </c:pt>
                <c:pt idx="111">
                  <c:v>1</c:v>
                </c:pt>
                <c:pt idx="112">
                  <c:v>1</c:v>
                </c:pt>
                <c:pt idx="113">
                  <c:v>1</c:v>
                </c:pt>
                <c:pt idx="114">
                  <c:v>1</c:v>
                </c:pt>
                <c:pt idx="115">
                  <c:v>1</c:v>
                </c:pt>
                <c:pt idx="116">
                  <c:v>1</c:v>
                </c:pt>
                <c:pt idx="117">
                  <c:v>1</c:v>
                </c:pt>
                <c:pt idx="118">
                  <c:v>2</c:v>
                </c:pt>
                <c:pt idx="119">
                  <c:v>1</c:v>
                </c:pt>
                <c:pt idx="120">
                  <c:v>8</c:v>
                </c:pt>
                <c:pt idx="121">
                  <c:v>2</c:v>
                </c:pt>
                <c:pt idx="122">
                  <c:v>6</c:v>
                </c:pt>
                <c:pt idx="123">
                  <c:v>9</c:v>
                </c:pt>
                <c:pt idx="124">
                  <c:v>1</c:v>
                </c:pt>
                <c:pt idx="125">
                  <c:v>6</c:v>
                </c:pt>
                <c:pt idx="126">
                  <c:v>7</c:v>
                </c:pt>
                <c:pt idx="127">
                  <c:v>2</c:v>
                </c:pt>
                <c:pt idx="128">
                  <c:v>2</c:v>
                </c:pt>
                <c:pt idx="129">
                  <c:v>2</c:v>
                </c:pt>
                <c:pt idx="130">
                  <c:v>5</c:v>
                </c:pt>
                <c:pt idx="131">
                  <c:v>2</c:v>
                </c:pt>
                <c:pt idx="132">
                  <c:v>5</c:v>
                </c:pt>
                <c:pt idx="133">
                  <c:v>3</c:v>
                </c:pt>
                <c:pt idx="134">
                  <c:v>2</c:v>
                </c:pt>
                <c:pt idx="135">
                  <c:v>1</c:v>
                </c:pt>
                <c:pt idx="136">
                  <c:v>2</c:v>
                </c:pt>
                <c:pt idx="137">
                  <c:v>2</c:v>
                </c:pt>
                <c:pt idx="138">
                  <c:v>4</c:v>
                </c:pt>
                <c:pt idx="139">
                  <c:v>2</c:v>
                </c:pt>
                <c:pt idx="140">
                  <c:v>4</c:v>
                </c:pt>
                <c:pt idx="141">
                  <c:v>1</c:v>
                </c:pt>
                <c:pt idx="142">
                  <c:v>3</c:v>
                </c:pt>
                <c:pt idx="143">
                  <c:v>2</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10</c:v>
                </c:pt>
                <c:pt idx="169">
                  <c:v>8</c:v>
                </c:pt>
                <c:pt idx="170">
                  <c:v>10</c:v>
                </c:pt>
                <c:pt idx="171">
                  <c:v>1</c:v>
                </c:pt>
                <c:pt idx="172">
                  <c:v>1</c:v>
                </c:pt>
                <c:pt idx="173">
                  <c:v>6</c:v>
                </c:pt>
                <c:pt idx="174">
                  <c:v>4</c:v>
                </c:pt>
                <c:pt idx="175">
                  <c:v>6</c:v>
                </c:pt>
                <c:pt idx="176">
                  <c:v>4</c:v>
                </c:pt>
                <c:pt idx="177">
                  <c:v>9</c:v>
                </c:pt>
                <c:pt idx="178">
                  <c:v>11</c:v>
                </c:pt>
                <c:pt idx="179">
                  <c:v>1</c:v>
                </c:pt>
                <c:pt idx="180">
                  <c:v>10</c:v>
                </c:pt>
                <c:pt idx="181">
                  <c:v>6</c:v>
                </c:pt>
                <c:pt idx="182">
                  <c:v>3</c:v>
                </c:pt>
                <c:pt idx="183">
                  <c:v>3</c:v>
                </c:pt>
                <c:pt idx="184">
                  <c:v>10</c:v>
                </c:pt>
                <c:pt idx="185">
                  <c:v>1</c:v>
                </c:pt>
                <c:pt idx="186">
                  <c:v>7</c:v>
                </c:pt>
                <c:pt idx="187">
                  <c:v>8</c:v>
                </c:pt>
                <c:pt idx="188">
                  <c:v>1</c:v>
                </c:pt>
                <c:pt idx="189">
                  <c:v>3</c:v>
                </c:pt>
                <c:pt idx="190">
                  <c:v>4</c:v>
                </c:pt>
                <c:pt idx="191">
                  <c:v>6</c:v>
                </c:pt>
                <c:pt idx="192">
                  <c:v>1</c:v>
                </c:pt>
                <c:pt idx="193">
                  <c:v>1</c:v>
                </c:pt>
                <c:pt idx="194">
                  <c:v>1</c:v>
                </c:pt>
                <c:pt idx="195">
                  <c:v>1</c:v>
                </c:pt>
                <c:pt idx="196">
                  <c:v>1</c:v>
                </c:pt>
                <c:pt idx="197">
                  <c:v>1</c:v>
                </c:pt>
                <c:pt idx="198">
                  <c:v>3</c:v>
                </c:pt>
                <c:pt idx="199">
                  <c:v>2</c:v>
                </c:pt>
                <c:pt idx="200">
                  <c:v>1</c:v>
                </c:pt>
                <c:pt idx="201">
                  <c:v>1</c:v>
                </c:pt>
                <c:pt idx="202">
                  <c:v>2</c:v>
                </c:pt>
                <c:pt idx="203">
                  <c:v>1</c:v>
                </c:pt>
                <c:pt idx="204">
                  <c:v>2</c:v>
                </c:pt>
                <c:pt idx="205">
                  <c:v>1</c:v>
                </c:pt>
                <c:pt idx="206">
                  <c:v>1</c:v>
                </c:pt>
                <c:pt idx="207">
                  <c:v>1</c:v>
                </c:pt>
                <c:pt idx="208">
                  <c:v>1</c:v>
                </c:pt>
                <c:pt idx="209">
                  <c:v>1</c:v>
                </c:pt>
                <c:pt idx="210">
                  <c:v>1</c:v>
                </c:pt>
                <c:pt idx="211">
                  <c:v>4</c:v>
                </c:pt>
                <c:pt idx="212">
                  <c:v>1</c:v>
                </c:pt>
                <c:pt idx="213">
                  <c:v>1</c:v>
                </c:pt>
                <c:pt idx="214">
                  <c:v>2</c:v>
                </c:pt>
                <c:pt idx="215">
                  <c:v>2</c:v>
                </c:pt>
                <c:pt idx="216">
                  <c:v>4</c:v>
                </c:pt>
                <c:pt idx="217">
                  <c:v>9</c:v>
                </c:pt>
                <c:pt idx="218">
                  <c:v>4</c:v>
                </c:pt>
                <c:pt idx="219">
                  <c:v>3</c:v>
                </c:pt>
                <c:pt idx="220">
                  <c:v>2</c:v>
                </c:pt>
                <c:pt idx="221">
                  <c:v>2</c:v>
                </c:pt>
                <c:pt idx="222">
                  <c:v>2</c:v>
                </c:pt>
                <c:pt idx="223">
                  <c:v>2</c:v>
                </c:pt>
                <c:pt idx="224">
                  <c:v>2</c:v>
                </c:pt>
                <c:pt idx="225">
                  <c:v>1</c:v>
                </c:pt>
                <c:pt idx="226">
                  <c:v>3</c:v>
                </c:pt>
                <c:pt idx="227">
                  <c:v>1</c:v>
                </c:pt>
                <c:pt idx="228">
                  <c:v>3</c:v>
                </c:pt>
                <c:pt idx="229">
                  <c:v>1</c:v>
                </c:pt>
                <c:pt idx="230">
                  <c:v>1</c:v>
                </c:pt>
                <c:pt idx="231">
                  <c:v>2</c:v>
                </c:pt>
                <c:pt idx="232">
                  <c:v>1</c:v>
                </c:pt>
                <c:pt idx="233">
                  <c:v>0</c:v>
                </c:pt>
                <c:pt idx="234">
                  <c:v>1</c:v>
                </c:pt>
                <c:pt idx="235">
                  <c:v>1</c:v>
                </c:pt>
                <c:pt idx="236">
                  <c:v>3</c:v>
                </c:pt>
                <c:pt idx="237">
                  <c:v>1</c:v>
                </c:pt>
                <c:pt idx="238">
                  <c:v>3</c:v>
                </c:pt>
                <c:pt idx="239">
                  <c:v>3</c:v>
                </c:pt>
                <c:pt idx="240">
                  <c:v>1</c:v>
                </c:pt>
                <c:pt idx="241">
                  <c:v>29</c:v>
                </c:pt>
                <c:pt idx="242">
                  <c:v>2</c:v>
                </c:pt>
                <c:pt idx="243">
                  <c:v>2</c:v>
                </c:pt>
                <c:pt idx="244">
                  <c:v>1</c:v>
                </c:pt>
                <c:pt idx="245">
                  <c:v>2</c:v>
                </c:pt>
                <c:pt idx="246">
                  <c:v>8</c:v>
                </c:pt>
                <c:pt idx="247">
                  <c:v>1</c:v>
                </c:pt>
                <c:pt idx="248">
                  <c:v>18</c:v>
                </c:pt>
                <c:pt idx="249">
                  <c:v>3</c:v>
                </c:pt>
                <c:pt idx="250">
                  <c:v>1</c:v>
                </c:pt>
                <c:pt idx="251">
                  <c:v>1</c:v>
                </c:pt>
                <c:pt idx="252">
                  <c:v>2</c:v>
                </c:pt>
                <c:pt idx="253">
                  <c:v>1</c:v>
                </c:pt>
                <c:pt idx="254">
                  <c:v>2</c:v>
                </c:pt>
                <c:pt idx="255">
                  <c:v>1</c:v>
                </c:pt>
                <c:pt idx="256">
                  <c:v>23</c:v>
                </c:pt>
                <c:pt idx="257">
                  <c:v>2</c:v>
                </c:pt>
                <c:pt idx="258">
                  <c:v>4</c:v>
                </c:pt>
                <c:pt idx="259">
                  <c:v>2</c:v>
                </c:pt>
                <c:pt idx="260">
                  <c:v>1</c:v>
                </c:pt>
                <c:pt idx="261">
                  <c:v>1</c:v>
                </c:pt>
                <c:pt idx="262">
                  <c:v>1</c:v>
                </c:pt>
                <c:pt idx="263">
                  <c:v>1</c:v>
                </c:pt>
                <c:pt idx="264">
                  <c:v>4</c:v>
                </c:pt>
                <c:pt idx="265">
                  <c:v>6</c:v>
                </c:pt>
                <c:pt idx="266">
                  <c:v>2</c:v>
                </c:pt>
                <c:pt idx="267">
                  <c:v>0</c:v>
                </c:pt>
                <c:pt idx="268">
                  <c:v>1</c:v>
                </c:pt>
                <c:pt idx="269">
                  <c:v>6</c:v>
                </c:pt>
                <c:pt idx="270">
                  <c:v>4</c:v>
                </c:pt>
                <c:pt idx="271">
                  <c:v>0</c:v>
                </c:pt>
                <c:pt idx="272">
                  <c:v>0</c:v>
                </c:pt>
                <c:pt idx="273">
                  <c:v>4</c:v>
                </c:pt>
                <c:pt idx="274">
                  <c:v>1</c:v>
                </c:pt>
                <c:pt idx="275">
                  <c:v>1</c:v>
                </c:pt>
                <c:pt idx="276">
                  <c:v>3</c:v>
                </c:pt>
                <c:pt idx="277">
                  <c:v>1</c:v>
                </c:pt>
                <c:pt idx="278">
                  <c:v>1</c:v>
                </c:pt>
                <c:pt idx="279">
                  <c:v>1</c:v>
                </c:pt>
                <c:pt idx="280">
                  <c:v>3</c:v>
                </c:pt>
                <c:pt idx="281">
                  <c:v>1</c:v>
                </c:pt>
                <c:pt idx="282">
                  <c:v>2</c:v>
                </c:pt>
                <c:pt idx="283">
                  <c:v>1</c:v>
                </c:pt>
                <c:pt idx="284">
                  <c:v>1</c:v>
                </c:pt>
                <c:pt idx="285">
                  <c:v>1</c:v>
                </c:pt>
                <c:pt idx="286">
                  <c:v>2</c:v>
                </c:pt>
                <c:pt idx="287">
                  <c:v>3</c:v>
                </c:pt>
                <c:pt idx="288">
                  <c:v>2</c:v>
                </c:pt>
                <c:pt idx="289">
                  <c:v>2</c:v>
                </c:pt>
                <c:pt idx="290">
                  <c:v>1</c:v>
                </c:pt>
                <c:pt idx="291">
                  <c:v>2</c:v>
                </c:pt>
                <c:pt idx="292">
                  <c:v>1</c:v>
                </c:pt>
                <c:pt idx="293">
                  <c:v>1</c:v>
                </c:pt>
                <c:pt idx="294">
                  <c:v>1</c:v>
                </c:pt>
                <c:pt idx="295">
                  <c:v>18</c:v>
                </c:pt>
                <c:pt idx="296">
                  <c:v>2</c:v>
                </c:pt>
                <c:pt idx="297">
                  <c:v>1</c:v>
                </c:pt>
                <c:pt idx="298">
                  <c:v>2</c:v>
                </c:pt>
                <c:pt idx="299">
                  <c:v>1</c:v>
                </c:pt>
                <c:pt idx="300">
                  <c:v>1</c:v>
                </c:pt>
                <c:pt idx="301">
                  <c:v>2</c:v>
                </c:pt>
                <c:pt idx="302">
                  <c:v>1</c:v>
                </c:pt>
                <c:pt idx="303">
                  <c:v>1</c:v>
                </c:pt>
                <c:pt idx="304">
                  <c:v>1</c:v>
                </c:pt>
                <c:pt idx="305">
                  <c:v>1</c:v>
                </c:pt>
                <c:pt idx="306">
                  <c:v>3</c:v>
                </c:pt>
                <c:pt idx="307">
                  <c:v>1</c:v>
                </c:pt>
                <c:pt idx="308">
                  <c:v>1</c:v>
                </c:pt>
                <c:pt idx="309">
                  <c:v>1</c:v>
                </c:pt>
                <c:pt idx="310">
                  <c:v>3</c:v>
                </c:pt>
                <c:pt idx="311">
                  <c:v>3</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7</c:v>
                </c:pt>
                <c:pt idx="337">
                  <c:v>12</c:v>
                </c:pt>
                <c:pt idx="338">
                  <c:v>3</c:v>
                </c:pt>
                <c:pt idx="339">
                  <c:v>1</c:v>
                </c:pt>
                <c:pt idx="340">
                  <c:v>4</c:v>
                </c:pt>
                <c:pt idx="341">
                  <c:v>3</c:v>
                </c:pt>
                <c:pt idx="342">
                  <c:v>1</c:v>
                </c:pt>
                <c:pt idx="343">
                  <c:v>1</c:v>
                </c:pt>
                <c:pt idx="344">
                  <c:v>3</c:v>
                </c:pt>
                <c:pt idx="345">
                  <c:v>2</c:v>
                </c:pt>
                <c:pt idx="346">
                  <c:v>2</c:v>
                </c:pt>
                <c:pt idx="347">
                  <c:v>2</c:v>
                </c:pt>
                <c:pt idx="348">
                  <c:v>3</c:v>
                </c:pt>
                <c:pt idx="349">
                  <c:v>1</c:v>
                </c:pt>
                <c:pt idx="350">
                  <c:v>1</c:v>
                </c:pt>
                <c:pt idx="351">
                  <c:v>1</c:v>
                </c:pt>
                <c:pt idx="352">
                  <c:v>2</c:v>
                </c:pt>
                <c:pt idx="353">
                  <c:v>1</c:v>
                </c:pt>
                <c:pt idx="354">
                  <c:v>2</c:v>
                </c:pt>
                <c:pt idx="355">
                  <c:v>2</c:v>
                </c:pt>
                <c:pt idx="356">
                  <c:v>1</c:v>
                </c:pt>
                <c:pt idx="357">
                  <c:v>1</c:v>
                </c:pt>
                <c:pt idx="358">
                  <c:v>1</c:v>
                </c:pt>
                <c:pt idx="359">
                  <c:v>2</c:v>
                </c:pt>
                <c:pt idx="360">
                  <c:v>13</c:v>
                </c:pt>
                <c:pt idx="361">
                  <c:v>7</c:v>
                </c:pt>
                <c:pt idx="362">
                  <c:v>1</c:v>
                </c:pt>
                <c:pt idx="363">
                  <c:v>2</c:v>
                </c:pt>
                <c:pt idx="364">
                  <c:v>2</c:v>
                </c:pt>
                <c:pt idx="365">
                  <c:v>1</c:v>
                </c:pt>
                <c:pt idx="366">
                  <c:v>1</c:v>
                </c:pt>
                <c:pt idx="367">
                  <c:v>1</c:v>
                </c:pt>
                <c:pt idx="368">
                  <c:v>1</c:v>
                </c:pt>
                <c:pt idx="369">
                  <c:v>1</c:v>
                </c:pt>
                <c:pt idx="370">
                  <c:v>1</c:v>
                </c:pt>
                <c:pt idx="371">
                  <c:v>1</c:v>
                </c:pt>
                <c:pt idx="372">
                  <c:v>5</c:v>
                </c:pt>
                <c:pt idx="373">
                  <c:v>1</c:v>
                </c:pt>
                <c:pt idx="374">
                  <c:v>1</c:v>
                </c:pt>
                <c:pt idx="375">
                  <c:v>1</c:v>
                </c:pt>
                <c:pt idx="376">
                  <c:v>1</c:v>
                </c:pt>
                <c:pt idx="377">
                  <c:v>1</c:v>
                </c:pt>
                <c:pt idx="378">
                  <c:v>1</c:v>
                </c:pt>
                <c:pt idx="379">
                  <c:v>1</c:v>
                </c:pt>
                <c:pt idx="380">
                  <c:v>1</c:v>
                </c:pt>
                <c:pt idx="381">
                  <c:v>1</c:v>
                </c:pt>
                <c:pt idx="382">
                  <c:v>2</c:v>
                </c:pt>
                <c:pt idx="383">
                  <c:v>1</c:v>
                </c:pt>
                <c:pt idx="384">
                  <c:v>4</c:v>
                </c:pt>
                <c:pt idx="385">
                  <c:v>7</c:v>
                </c:pt>
                <c:pt idx="386">
                  <c:v>3</c:v>
                </c:pt>
                <c:pt idx="387">
                  <c:v>1</c:v>
                </c:pt>
                <c:pt idx="388">
                  <c:v>1</c:v>
                </c:pt>
                <c:pt idx="389">
                  <c:v>2</c:v>
                </c:pt>
                <c:pt idx="390">
                  <c:v>1</c:v>
                </c:pt>
                <c:pt idx="391">
                  <c:v>6</c:v>
                </c:pt>
                <c:pt idx="392">
                  <c:v>1</c:v>
                </c:pt>
                <c:pt idx="393">
                  <c:v>1</c:v>
                </c:pt>
                <c:pt idx="394">
                  <c:v>3</c:v>
                </c:pt>
                <c:pt idx="395">
                  <c:v>1</c:v>
                </c:pt>
                <c:pt idx="396">
                  <c:v>3</c:v>
                </c:pt>
                <c:pt idx="397">
                  <c:v>2</c:v>
                </c:pt>
                <c:pt idx="398">
                  <c:v>2</c:v>
                </c:pt>
                <c:pt idx="399">
                  <c:v>1</c:v>
                </c:pt>
                <c:pt idx="400">
                  <c:v>2</c:v>
                </c:pt>
                <c:pt idx="401">
                  <c:v>2</c:v>
                </c:pt>
                <c:pt idx="402">
                  <c:v>3</c:v>
                </c:pt>
                <c:pt idx="403">
                  <c:v>2</c:v>
                </c:pt>
                <c:pt idx="404">
                  <c:v>1</c:v>
                </c:pt>
                <c:pt idx="405">
                  <c:v>3</c:v>
                </c:pt>
                <c:pt idx="406">
                  <c:v>2</c:v>
                </c:pt>
                <c:pt idx="407">
                  <c:v>1</c:v>
                </c:pt>
                <c:pt idx="408">
                  <c:v>3</c:v>
                </c:pt>
                <c:pt idx="409">
                  <c:v>4</c:v>
                </c:pt>
                <c:pt idx="410">
                  <c:v>6</c:v>
                </c:pt>
                <c:pt idx="411">
                  <c:v>1</c:v>
                </c:pt>
                <c:pt idx="412">
                  <c:v>1</c:v>
                </c:pt>
                <c:pt idx="413">
                  <c:v>2</c:v>
                </c:pt>
                <c:pt idx="414">
                  <c:v>2</c:v>
                </c:pt>
                <c:pt idx="415">
                  <c:v>1</c:v>
                </c:pt>
                <c:pt idx="416">
                  <c:v>1</c:v>
                </c:pt>
                <c:pt idx="417">
                  <c:v>0</c:v>
                </c:pt>
                <c:pt idx="418">
                  <c:v>2</c:v>
                </c:pt>
                <c:pt idx="419">
                  <c:v>3</c:v>
                </c:pt>
                <c:pt idx="420">
                  <c:v>2</c:v>
                </c:pt>
                <c:pt idx="421">
                  <c:v>2</c:v>
                </c:pt>
                <c:pt idx="422">
                  <c:v>1</c:v>
                </c:pt>
                <c:pt idx="423">
                  <c:v>1</c:v>
                </c:pt>
                <c:pt idx="424">
                  <c:v>2</c:v>
                </c:pt>
                <c:pt idx="425">
                  <c:v>4</c:v>
                </c:pt>
                <c:pt idx="426">
                  <c:v>1</c:v>
                </c:pt>
                <c:pt idx="427">
                  <c:v>1</c:v>
                </c:pt>
                <c:pt idx="428">
                  <c:v>2</c:v>
                </c:pt>
                <c:pt idx="429">
                  <c:v>1</c:v>
                </c:pt>
                <c:pt idx="430">
                  <c:v>1</c:v>
                </c:pt>
                <c:pt idx="431">
                  <c:v>5</c:v>
                </c:pt>
                <c:pt idx="432">
                  <c:v>1</c:v>
                </c:pt>
                <c:pt idx="433">
                  <c:v>13</c:v>
                </c:pt>
                <c:pt idx="434">
                  <c:v>1</c:v>
                </c:pt>
                <c:pt idx="435">
                  <c:v>1</c:v>
                </c:pt>
                <c:pt idx="436">
                  <c:v>2</c:v>
                </c:pt>
                <c:pt idx="437">
                  <c:v>3</c:v>
                </c:pt>
                <c:pt idx="438">
                  <c:v>1</c:v>
                </c:pt>
                <c:pt idx="439">
                  <c:v>6</c:v>
                </c:pt>
                <c:pt idx="440">
                  <c:v>1</c:v>
                </c:pt>
                <c:pt idx="441">
                  <c:v>4</c:v>
                </c:pt>
                <c:pt idx="442">
                  <c:v>1</c:v>
                </c:pt>
                <c:pt idx="443">
                  <c:v>1</c:v>
                </c:pt>
                <c:pt idx="444">
                  <c:v>8</c:v>
                </c:pt>
                <c:pt idx="445">
                  <c:v>2</c:v>
                </c:pt>
                <c:pt idx="446">
                  <c:v>1</c:v>
                </c:pt>
                <c:pt idx="447">
                  <c:v>1</c:v>
                </c:pt>
                <c:pt idx="448">
                  <c:v>1</c:v>
                </c:pt>
                <c:pt idx="449">
                  <c:v>1</c:v>
                </c:pt>
                <c:pt idx="450">
                  <c:v>3</c:v>
                </c:pt>
                <c:pt idx="451">
                  <c:v>1</c:v>
                </c:pt>
                <c:pt idx="452">
                  <c:v>1</c:v>
                </c:pt>
                <c:pt idx="453">
                  <c:v>1</c:v>
                </c:pt>
                <c:pt idx="454">
                  <c:v>1</c:v>
                </c:pt>
                <c:pt idx="455">
                  <c:v>5</c:v>
                </c:pt>
                <c:pt idx="456">
                  <c:v>2.4758771929824563</c:v>
                </c:pt>
              </c:numCache>
            </c:numRef>
          </c:yVal>
          <c:smooth val="0"/>
          <c:extLst>
            <c:ext xmlns:c16="http://schemas.microsoft.com/office/drawing/2014/chart" uri="{C3380CC4-5D6E-409C-BE32-E72D297353CC}">
              <c16:uniqueId val="{00000000-E646-487F-AF48-B0EDA6474642}"/>
            </c:ext>
          </c:extLst>
        </c:ser>
        <c:dLbls>
          <c:showLegendKey val="0"/>
          <c:showVal val="0"/>
          <c:showCatName val="0"/>
          <c:showSerName val="0"/>
          <c:showPercent val="0"/>
          <c:showBubbleSize val="0"/>
        </c:dLbls>
        <c:axId val="948142224"/>
        <c:axId val="1005870608"/>
      </c:scatterChart>
      <c:valAx>
        <c:axId val="94814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05870608"/>
        <c:crosses val="autoZero"/>
        <c:crossBetween val="midCat"/>
      </c:valAx>
      <c:valAx>
        <c:axId val="100587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42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Main!$K$1</c:f>
              <c:strCache>
                <c:ptCount val="1"/>
                <c:pt idx="0">
                  <c:v>consumeable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778950679512398"/>
                  <c:y val="-0.55824876057159523"/>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y = 1,1897x + 1,3462</a:t>
                    </a:r>
                    <a:br>
                      <a:rPr lang="en-US" sz="1200" baseline="0"/>
                    </a:br>
                    <a:r>
                      <a:rPr lang="en-US" sz="1200" baseline="0"/>
                      <a:t>R² = 0,0511</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rendlineLbl>
          </c:trendline>
          <c:xVal>
            <c:numRef>
              <c:f>Main!$C$2:$C$507</c:f>
              <c:numCache>
                <c:formatCode>General</c:formatCode>
                <c:ptCount val="506"/>
                <c:pt idx="0">
                  <c:v>1</c:v>
                </c:pt>
                <c:pt idx="1">
                  <c:v>3</c:v>
                </c:pt>
                <c:pt idx="2">
                  <c:v>1</c:v>
                </c:pt>
                <c:pt idx="3">
                  <c:v>1</c:v>
                </c:pt>
                <c:pt idx="4">
                  <c:v>1</c:v>
                </c:pt>
                <c:pt idx="5">
                  <c:v>2</c:v>
                </c:pt>
                <c:pt idx="6">
                  <c:v>2</c:v>
                </c:pt>
                <c:pt idx="7">
                  <c:v>3</c:v>
                </c:pt>
                <c:pt idx="8">
                  <c:v>4</c:v>
                </c:pt>
                <c:pt idx="9">
                  <c:v>2</c:v>
                </c:pt>
                <c:pt idx="10">
                  <c:v>4</c:v>
                </c:pt>
                <c:pt idx="11">
                  <c:v>4</c:v>
                </c:pt>
                <c:pt idx="12">
                  <c:v>3</c:v>
                </c:pt>
                <c:pt idx="13">
                  <c:v>3</c:v>
                </c:pt>
                <c:pt idx="14">
                  <c:v>2</c:v>
                </c:pt>
                <c:pt idx="15">
                  <c:v>2</c:v>
                </c:pt>
                <c:pt idx="16">
                  <c:v>4</c:v>
                </c:pt>
                <c:pt idx="17">
                  <c:v>2</c:v>
                </c:pt>
                <c:pt idx="18">
                  <c:v>2</c:v>
                </c:pt>
                <c:pt idx="19">
                  <c:v>4</c:v>
                </c:pt>
                <c:pt idx="20">
                  <c:v>2</c:v>
                </c:pt>
                <c:pt idx="21">
                  <c:v>4</c:v>
                </c:pt>
                <c:pt idx="22">
                  <c:v>4</c:v>
                </c:pt>
                <c:pt idx="23">
                  <c:v>4</c:v>
                </c:pt>
                <c:pt idx="24">
                  <c:v>1</c:v>
                </c:pt>
                <c:pt idx="25">
                  <c:v>1</c:v>
                </c:pt>
                <c:pt idx="26">
                  <c:v>1</c:v>
                </c:pt>
                <c:pt idx="27">
                  <c:v>2</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4</c:v>
                </c:pt>
                <c:pt idx="63">
                  <c:v>1</c:v>
                </c:pt>
                <c:pt idx="64">
                  <c:v>2</c:v>
                </c:pt>
                <c:pt idx="65">
                  <c:v>3</c:v>
                </c:pt>
                <c:pt idx="66">
                  <c:v>1</c:v>
                </c:pt>
                <c:pt idx="67">
                  <c:v>1</c:v>
                </c:pt>
                <c:pt idx="68">
                  <c:v>1</c:v>
                </c:pt>
                <c:pt idx="69">
                  <c:v>4</c:v>
                </c:pt>
                <c:pt idx="70">
                  <c:v>2</c:v>
                </c:pt>
                <c:pt idx="71">
                  <c:v>3</c:v>
                </c:pt>
                <c:pt idx="72">
                  <c:v>4</c:v>
                </c:pt>
                <c:pt idx="73">
                  <c:v>1</c:v>
                </c:pt>
                <c:pt idx="74">
                  <c:v>1</c:v>
                </c:pt>
                <c:pt idx="75">
                  <c:v>2</c:v>
                </c:pt>
                <c:pt idx="76">
                  <c:v>1</c:v>
                </c:pt>
                <c:pt idx="77">
                  <c:v>2</c:v>
                </c:pt>
                <c:pt idx="78">
                  <c:v>3</c:v>
                </c:pt>
                <c:pt idx="79">
                  <c:v>3</c:v>
                </c:pt>
                <c:pt idx="80">
                  <c:v>3</c:v>
                </c:pt>
                <c:pt idx="81">
                  <c:v>2</c:v>
                </c:pt>
                <c:pt idx="82">
                  <c:v>4</c:v>
                </c:pt>
                <c:pt idx="83">
                  <c:v>1</c:v>
                </c:pt>
                <c:pt idx="84">
                  <c:v>2</c:v>
                </c:pt>
                <c:pt idx="85">
                  <c:v>1</c:v>
                </c:pt>
                <c:pt idx="86">
                  <c:v>1</c:v>
                </c:pt>
                <c:pt idx="87">
                  <c:v>1</c:v>
                </c:pt>
                <c:pt idx="88">
                  <c:v>2</c:v>
                </c:pt>
                <c:pt idx="89">
                  <c:v>1</c:v>
                </c:pt>
                <c:pt idx="90">
                  <c:v>2</c:v>
                </c:pt>
                <c:pt idx="91">
                  <c:v>2</c:v>
                </c:pt>
                <c:pt idx="92">
                  <c:v>1</c:v>
                </c:pt>
                <c:pt idx="93">
                  <c:v>1</c:v>
                </c:pt>
                <c:pt idx="94">
                  <c:v>4</c:v>
                </c:pt>
                <c:pt idx="95">
                  <c:v>4</c:v>
                </c:pt>
                <c:pt idx="96">
                  <c:v>2</c:v>
                </c:pt>
                <c:pt idx="97">
                  <c:v>4</c:v>
                </c:pt>
                <c:pt idx="98">
                  <c:v>4</c:v>
                </c:pt>
                <c:pt idx="99">
                  <c:v>3</c:v>
                </c:pt>
                <c:pt idx="100">
                  <c:v>1</c:v>
                </c:pt>
                <c:pt idx="101">
                  <c:v>4</c:v>
                </c:pt>
                <c:pt idx="102">
                  <c:v>4</c:v>
                </c:pt>
                <c:pt idx="103">
                  <c:v>4</c:v>
                </c:pt>
                <c:pt idx="104">
                  <c:v>3</c:v>
                </c:pt>
                <c:pt idx="105">
                  <c:v>3</c:v>
                </c:pt>
                <c:pt idx="106">
                  <c:v>2</c:v>
                </c:pt>
                <c:pt idx="107">
                  <c:v>1</c:v>
                </c:pt>
                <c:pt idx="108">
                  <c:v>4</c:v>
                </c:pt>
                <c:pt idx="109">
                  <c:v>4</c:v>
                </c:pt>
                <c:pt idx="110">
                  <c:v>3</c:v>
                </c:pt>
                <c:pt idx="111">
                  <c:v>3</c:v>
                </c:pt>
                <c:pt idx="112">
                  <c:v>4</c:v>
                </c:pt>
                <c:pt idx="113">
                  <c:v>3</c:v>
                </c:pt>
                <c:pt idx="114">
                  <c:v>3</c:v>
                </c:pt>
                <c:pt idx="115">
                  <c:v>3</c:v>
                </c:pt>
                <c:pt idx="116">
                  <c:v>3</c:v>
                </c:pt>
                <c:pt idx="117">
                  <c:v>1</c:v>
                </c:pt>
                <c:pt idx="118">
                  <c:v>3</c:v>
                </c:pt>
                <c:pt idx="119">
                  <c:v>4</c:v>
                </c:pt>
                <c:pt idx="120">
                  <c:v>3</c:v>
                </c:pt>
                <c:pt idx="121">
                  <c:v>4</c:v>
                </c:pt>
                <c:pt idx="122">
                  <c:v>4</c:v>
                </c:pt>
                <c:pt idx="123">
                  <c:v>4</c:v>
                </c:pt>
                <c:pt idx="124">
                  <c:v>1</c:v>
                </c:pt>
                <c:pt idx="125">
                  <c:v>3</c:v>
                </c:pt>
                <c:pt idx="126">
                  <c:v>4</c:v>
                </c:pt>
                <c:pt idx="127">
                  <c:v>1</c:v>
                </c:pt>
                <c:pt idx="128">
                  <c:v>3</c:v>
                </c:pt>
                <c:pt idx="129">
                  <c:v>1</c:v>
                </c:pt>
                <c:pt idx="130">
                  <c:v>4</c:v>
                </c:pt>
                <c:pt idx="131">
                  <c:v>2</c:v>
                </c:pt>
                <c:pt idx="132">
                  <c:v>3</c:v>
                </c:pt>
                <c:pt idx="133">
                  <c:v>3</c:v>
                </c:pt>
                <c:pt idx="134">
                  <c:v>1</c:v>
                </c:pt>
                <c:pt idx="135">
                  <c:v>2</c:v>
                </c:pt>
                <c:pt idx="136">
                  <c:v>3</c:v>
                </c:pt>
                <c:pt idx="137">
                  <c:v>2</c:v>
                </c:pt>
                <c:pt idx="138">
                  <c:v>4</c:v>
                </c:pt>
                <c:pt idx="139">
                  <c:v>3</c:v>
                </c:pt>
                <c:pt idx="140">
                  <c:v>4</c:v>
                </c:pt>
                <c:pt idx="141">
                  <c:v>2</c:v>
                </c:pt>
                <c:pt idx="142">
                  <c:v>1</c:v>
                </c:pt>
                <c:pt idx="143">
                  <c:v>4</c:v>
                </c:pt>
                <c:pt idx="144">
                  <c:v>1</c:v>
                </c:pt>
                <c:pt idx="145">
                  <c:v>2</c:v>
                </c:pt>
                <c:pt idx="146">
                  <c:v>3</c:v>
                </c:pt>
                <c:pt idx="147">
                  <c:v>4</c:v>
                </c:pt>
                <c:pt idx="148">
                  <c:v>2</c:v>
                </c:pt>
                <c:pt idx="149">
                  <c:v>2</c:v>
                </c:pt>
                <c:pt idx="150">
                  <c:v>2</c:v>
                </c:pt>
                <c:pt idx="151">
                  <c:v>2</c:v>
                </c:pt>
                <c:pt idx="152">
                  <c:v>2</c:v>
                </c:pt>
                <c:pt idx="153">
                  <c:v>2</c:v>
                </c:pt>
                <c:pt idx="154">
                  <c:v>2</c:v>
                </c:pt>
                <c:pt idx="155">
                  <c:v>2</c:v>
                </c:pt>
                <c:pt idx="156">
                  <c:v>2</c:v>
                </c:pt>
                <c:pt idx="157">
                  <c:v>2</c:v>
                </c:pt>
                <c:pt idx="158">
                  <c:v>3</c:v>
                </c:pt>
                <c:pt idx="159">
                  <c:v>3</c:v>
                </c:pt>
                <c:pt idx="160">
                  <c:v>2</c:v>
                </c:pt>
                <c:pt idx="161">
                  <c:v>3</c:v>
                </c:pt>
                <c:pt idx="162">
                  <c:v>2</c:v>
                </c:pt>
                <c:pt idx="163">
                  <c:v>3</c:v>
                </c:pt>
                <c:pt idx="164">
                  <c:v>3</c:v>
                </c:pt>
                <c:pt idx="165">
                  <c:v>3</c:v>
                </c:pt>
                <c:pt idx="166">
                  <c:v>3</c:v>
                </c:pt>
                <c:pt idx="167">
                  <c:v>4</c:v>
                </c:pt>
                <c:pt idx="168">
                  <c:v>3</c:v>
                </c:pt>
                <c:pt idx="169">
                  <c:v>3</c:v>
                </c:pt>
                <c:pt idx="170">
                  <c:v>4</c:v>
                </c:pt>
                <c:pt idx="171">
                  <c:v>3</c:v>
                </c:pt>
                <c:pt idx="172">
                  <c:v>1</c:v>
                </c:pt>
                <c:pt idx="173">
                  <c:v>3</c:v>
                </c:pt>
                <c:pt idx="174">
                  <c:v>3</c:v>
                </c:pt>
                <c:pt idx="175">
                  <c:v>2</c:v>
                </c:pt>
                <c:pt idx="176">
                  <c:v>4</c:v>
                </c:pt>
                <c:pt idx="177">
                  <c:v>4</c:v>
                </c:pt>
                <c:pt idx="178">
                  <c:v>4</c:v>
                </c:pt>
                <c:pt idx="179">
                  <c:v>1</c:v>
                </c:pt>
                <c:pt idx="180">
                  <c:v>4</c:v>
                </c:pt>
                <c:pt idx="181">
                  <c:v>4</c:v>
                </c:pt>
                <c:pt idx="182">
                  <c:v>1</c:v>
                </c:pt>
                <c:pt idx="183">
                  <c:v>1</c:v>
                </c:pt>
                <c:pt idx="184">
                  <c:v>4</c:v>
                </c:pt>
                <c:pt idx="185">
                  <c:v>1</c:v>
                </c:pt>
                <c:pt idx="186">
                  <c:v>4</c:v>
                </c:pt>
                <c:pt idx="187">
                  <c:v>1</c:v>
                </c:pt>
                <c:pt idx="188">
                  <c:v>1</c:v>
                </c:pt>
                <c:pt idx="189">
                  <c:v>4</c:v>
                </c:pt>
                <c:pt idx="190">
                  <c:v>4</c:v>
                </c:pt>
                <c:pt idx="191">
                  <c:v>4</c:v>
                </c:pt>
                <c:pt idx="192">
                  <c:v>1</c:v>
                </c:pt>
                <c:pt idx="193">
                  <c:v>2</c:v>
                </c:pt>
                <c:pt idx="194">
                  <c:v>1</c:v>
                </c:pt>
                <c:pt idx="195">
                  <c:v>1</c:v>
                </c:pt>
                <c:pt idx="196">
                  <c:v>1</c:v>
                </c:pt>
                <c:pt idx="197">
                  <c:v>1</c:v>
                </c:pt>
                <c:pt idx="198">
                  <c:v>4</c:v>
                </c:pt>
                <c:pt idx="199">
                  <c:v>3</c:v>
                </c:pt>
                <c:pt idx="200">
                  <c:v>2</c:v>
                </c:pt>
                <c:pt idx="201">
                  <c:v>2</c:v>
                </c:pt>
                <c:pt idx="202">
                  <c:v>4</c:v>
                </c:pt>
                <c:pt idx="203">
                  <c:v>4</c:v>
                </c:pt>
                <c:pt idx="204">
                  <c:v>3</c:v>
                </c:pt>
                <c:pt idx="205">
                  <c:v>1</c:v>
                </c:pt>
                <c:pt idx="206">
                  <c:v>1</c:v>
                </c:pt>
                <c:pt idx="207">
                  <c:v>1</c:v>
                </c:pt>
                <c:pt idx="208">
                  <c:v>1</c:v>
                </c:pt>
                <c:pt idx="209">
                  <c:v>1</c:v>
                </c:pt>
                <c:pt idx="210">
                  <c:v>1</c:v>
                </c:pt>
                <c:pt idx="211">
                  <c:v>4</c:v>
                </c:pt>
                <c:pt idx="212">
                  <c:v>1</c:v>
                </c:pt>
                <c:pt idx="213">
                  <c:v>4</c:v>
                </c:pt>
                <c:pt idx="214">
                  <c:v>4</c:v>
                </c:pt>
                <c:pt idx="215">
                  <c:v>4</c:v>
                </c:pt>
                <c:pt idx="216">
                  <c:v>3</c:v>
                </c:pt>
                <c:pt idx="217">
                  <c:v>3</c:v>
                </c:pt>
                <c:pt idx="218">
                  <c:v>3</c:v>
                </c:pt>
                <c:pt idx="219">
                  <c:v>3</c:v>
                </c:pt>
                <c:pt idx="220">
                  <c:v>2</c:v>
                </c:pt>
                <c:pt idx="221">
                  <c:v>3</c:v>
                </c:pt>
                <c:pt idx="222">
                  <c:v>4</c:v>
                </c:pt>
                <c:pt idx="223">
                  <c:v>3</c:v>
                </c:pt>
                <c:pt idx="224">
                  <c:v>4</c:v>
                </c:pt>
                <c:pt idx="225">
                  <c:v>3</c:v>
                </c:pt>
                <c:pt idx="226">
                  <c:v>3</c:v>
                </c:pt>
                <c:pt idx="227">
                  <c:v>2</c:v>
                </c:pt>
                <c:pt idx="228">
                  <c:v>2</c:v>
                </c:pt>
                <c:pt idx="229">
                  <c:v>2</c:v>
                </c:pt>
                <c:pt idx="230">
                  <c:v>2</c:v>
                </c:pt>
                <c:pt idx="231">
                  <c:v>3</c:v>
                </c:pt>
                <c:pt idx="232">
                  <c:v>3</c:v>
                </c:pt>
                <c:pt idx="233">
                  <c:v>3</c:v>
                </c:pt>
                <c:pt idx="234">
                  <c:v>2</c:v>
                </c:pt>
                <c:pt idx="235">
                  <c:v>3</c:v>
                </c:pt>
                <c:pt idx="236">
                  <c:v>3</c:v>
                </c:pt>
                <c:pt idx="237">
                  <c:v>2</c:v>
                </c:pt>
                <c:pt idx="238">
                  <c:v>3</c:v>
                </c:pt>
                <c:pt idx="239">
                  <c:v>3</c:v>
                </c:pt>
                <c:pt idx="240">
                  <c:v>1</c:v>
                </c:pt>
                <c:pt idx="241">
                  <c:v>4</c:v>
                </c:pt>
                <c:pt idx="242">
                  <c:v>2</c:v>
                </c:pt>
                <c:pt idx="243">
                  <c:v>3</c:v>
                </c:pt>
                <c:pt idx="244">
                  <c:v>1</c:v>
                </c:pt>
                <c:pt idx="245">
                  <c:v>1</c:v>
                </c:pt>
                <c:pt idx="246">
                  <c:v>1</c:v>
                </c:pt>
                <c:pt idx="247">
                  <c:v>4</c:v>
                </c:pt>
                <c:pt idx="248">
                  <c:v>4</c:v>
                </c:pt>
                <c:pt idx="249">
                  <c:v>2</c:v>
                </c:pt>
                <c:pt idx="250">
                  <c:v>1</c:v>
                </c:pt>
                <c:pt idx="251">
                  <c:v>1</c:v>
                </c:pt>
                <c:pt idx="252">
                  <c:v>2</c:v>
                </c:pt>
                <c:pt idx="253">
                  <c:v>2</c:v>
                </c:pt>
                <c:pt idx="254">
                  <c:v>4</c:v>
                </c:pt>
                <c:pt idx="255">
                  <c:v>3</c:v>
                </c:pt>
                <c:pt idx="256">
                  <c:v>4</c:v>
                </c:pt>
                <c:pt idx="257">
                  <c:v>1</c:v>
                </c:pt>
                <c:pt idx="258">
                  <c:v>2</c:v>
                </c:pt>
                <c:pt idx="259">
                  <c:v>2</c:v>
                </c:pt>
                <c:pt idx="260">
                  <c:v>1</c:v>
                </c:pt>
                <c:pt idx="261">
                  <c:v>1</c:v>
                </c:pt>
                <c:pt idx="262">
                  <c:v>2</c:v>
                </c:pt>
                <c:pt idx="263">
                  <c:v>2</c:v>
                </c:pt>
                <c:pt idx="264">
                  <c:v>2</c:v>
                </c:pt>
                <c:pt idx="265">
                  <c:v>3</c:v>
                </c:pt>
                <c:pt idx="266">
                  <c:v>2</c:v>
                </c:pt>
                <c:pt idx="267">
                  <c:v>1</c:v>
                </c:pt>
                <c:pt idx="268">
                  <c:v>2</c:v>
                </c:pt>
                <c:pt idx="269">
                  <c:v>2</c:v>
                </c:pt>
                <c:pt idx="270">
                  <c:v>1</c:v>
                </c:pt>
                <c:pt idx="271">
                  <c:v>1</c:v>
                </c:pt>
                <c:pt idx="272">
                  <c:v>1</c:v>
                </c:pt>
                <c:pt idx="273">
                  <c:v>3</c:v>
                </c:pt>
                <c:pt idx="274">
                  <c:v>1</c:v>
                </c:pt>
                <c:pt idx="275">
                  <c:v>1</c:v>
                </c:pt>
                <c:pt idx="276">
                  <c:v>2</c:v>
                </c:pt>
                <c:pt idx="277">
                  <c:v>2</c:v>
                </c:pt>
                <c:pt idx="278">
                  <c:v>1</c:v>
                </c:pt>
                <c:pt idx="279">
                  <c:v>2</c:v>
                </c:pt>
                <c:pt idx="280">
                  <c:v>4</c:v>
                </c:pt>
                <c:pt idx="281">
                  <c:v>2</c:v>
                </c:pt>
                <c:pt idx="282">
                  <c:v>2</c:v>
                </c:pt>
                <c:pt idx="283">
                  <c:v>2</c:v>
                </c:pt>
                <c:pt idx="284">
                  <c:v>2</c:v>
                </c:pt>
                <c:pt idx="285">
                  <c:v>2</c:v>
                </c:pt>
                <c:pt idx="286">
                  <c:v>1</c:v>
                </c:pt>
                <c:pt idx="287">
                  <c:v>3</c:v>
                </c:pt>
                <c:pt idx="288">
                  <c:v>1</c:v>
                </c:pt>
                <c:pt idx="289">
                  <c:v>1</c:v>
                </c:pt>
                <c:pt idx="290">
                  <c:v>1</c:v>
                </c:pt>
                <c:pt idx="291">
                  <c:v>1</c:v>
                </c:pt>
                <c:pt idx="292">
                  <c:v>1</c:v>
                </c:pt>
                <c:pt idx="293">
                  <c:v>1</c:v>
                </c:pt>
                <c:pt idx="294">
                  <c:v>1</c:v>
                </c:pt>
                <c:pt idx="295">
                  <c:v>2</c:v>
                </c:pt>
                <c:pt idx="296">
                  <c:v>1</c:v>
                </c:pt>
                <c:pt idx="297">
                  <c:v>1</c:v>
                </c:pt>
                <c:pt idx="298">
                  <c:v>1</c:v>
                </c:pt>
                <c:pt idx="299">
                  <c:v>1</c:v>
                </c:pt>
                <c:pt idx="300">
                  <c:v>1</c:v>
                </c:pt>
                <c:pt idx="301">
                  <c:v>1</c:v>
                </c:pt>
                <c:pt idx="302">
                  <c:v>1</c:v>
                </c:pt>
                <c:pt idx="303">
                  <c:v>1</c:v>
                </c:pt>
                <c:pt idx="304">
                  <c:v>1</c:v>
                </c:pt>
                <c:pt idx="305">
                  <c:v>1</c:v>
                </c:pt>
                <c:pt idx="306">
                  <c:v>2</c:v>
                </c:pt>
                <c:pt idx="307">
                  <c:v>1</c:v>
                </c:pt>
                <c:pt idx="308">
                  <c:v>1</c:v>
                </c:pt>
                <c:pt idx="309">
                  <c:v>2</c:v>
                </c:pt>
                <c:pt idx="310">
                  <c:v>1</c:v>
                </c:pt>
                <c:pt idx="311">
                  <c:v>2</c:v>
                </c:pt>
                <c:pt idx="312">
                  <c:v>3</c:v>
                </c:pt>
                <c:pt idx="313">
                  <c:v>3</c:v>
                </c:pt>
                <c:pt idx="314">
                  <c:v>4</c:v>
                </c:pt>
                <c:pt idx="315">
                  <c:v>3</c:v>
                </c:pt>
                <c:pt idx="316">
                  <c:v>3</c:v>
                </c:pt>
                <c:pt idx="317">
                  <c:v>4</c:v>
                </c:pt>
                <c:pt idx="318">
                  <c:v>3</c:v>
                </c:pt>
                <c:pt idx="319">
                  <c:v>1</c:v>
                </c:pt>
                <c:pt idx="320">
                  <c:v>2</c:v>
                </c:pt>
                <c:pt idx="321">
                  <c:v>2</c:v>
                </c:pt>
                <c:pt idx="322">
                  <c:v>2</c:v>
                </c:pt>
                <c:pt idx="323">
                  <c:v>1</c:v>
                </c:pt>
                <c:pt idx="324">
                  <c:v>4</c:v>
                </c:pt>
                <c:pt idx="325">
                  <c:v>2</c:v>
                </c:pt>
                <c:pt idx="326">
                  <c:v>3</c:v>
                </c:pt>
                <c:pt idx="327">
                  <c:v>1</c:v>
                </c:pt>
                <c:pt idx="328">
                  <c:v>4</c:v>
                </c:pt>
                <c:pt idx="329">
                  <c:v>2</c:v>
                </c:pt>
                <c:pt idx="330">
                  <c:v>2</c:v>
                </c:pt>
                <c:pt idx="331">
                  <c:v>3</c:v>
                </c:pt>
                <c:pt idx="332">
                  <c:v>2</c:v>
                </c:pt>
                <c:pt idx="333">
                  <c:v>1</c:v>
                </c:pt>
                <c:pt idx="334">
                  <c:v>1</c:v>
                </c:pt>
                <c:pt idx="335">
                  <c:v>4</c:v>
                </c:pt>
                <c:pt idx="336">
                  <c:v>4</c:v>
                </c:pt>
                <c:pt idx="337">
                  <c:v>4</c:v>
                </c:pt>
                <c:pt idx="338">
                  <c:v>4</c:v>
                </c:pt>
                <c:pt idx="339">
                  <c:v>2</c:v>
                </c:pt>
                <c:pt idx="340">
                  <c:v>1</c:v>
                </c:pt>
                <c:pt idx="341">
                  <c:v>2</c:v>
                </c:pt>
                <c:pt idx="342">
                  <c:v>1</c:v>
                </c:pt>
                <c:pt idx="343">
                  <c:v>1</c:v>
                </c:pt>
                <c:pt idx="344">
                  <c:v>4</c:v>
                </c:pt>
                <c:pt idx="345">
                  <c:v>1</c:v>
                </c:pt>
                <c:pt idx="346">
                  <c:v>1</c:v>
                </c:pt>
                <c:pt idx="347">
                  <c:v>1</c:v>
                </c:pt>
                <c:pt idx="348">
                  <c:v>1</c:v>
                </c:pt>
                <c:pt idx="349">
                  <c:v>4</c:v>
                </c:pt>
                <c:pt idx="350">
                  <c:v>2</c:v>
                </c:pt>
                <c:pt idx="351">
                  <c:v>1</c:v>
                </c:pt>
                <c:pt idx="352">
                  <c:v>4</c:v>
                </c:pt>
                <c:pt idx="353">
                  <c:v>1</c:v>
                </c:pt>
                <c:pt idx="354">
                  <c:v>3</c:v>
                </c:pt>
                <c:pt idx="355">
                  <c:v>3</c:v>
                </c:pt>
                <c:pt idx="356">
                  <c:v>1</c:v>
                </c:pt>
                <c:pt idx="357">
                  <c:v>1</c:v>
                </c:pt>
                <c:pt idx="358">
                  <c:v>1</c:v>
                </c:pt>
                <c:pt idx="359">
                  <c:v>2</c:v>
                </c:pt>
                <c:pt idx="360">
                  <c:v>2</c:v>
                </c:pt>
                <c:pt idx="361">
                  <c:v>4</c:v>
                </c:pt>
                <c:pt idx="362">
                  <c:v>1</c:v>
                </c:pt>
                <c:pt idx="363">
                  <c:v>1</c:v>
                </c:pt>
                <c:pt idx="364">
                  <c:v>1</c:v>
                </c:pt>
                <c:pt idx="365">
                  <c:v>1</c:v>
                </c:pt>
                <c:pt idx="366">
                  <c:v>1</c:v>
                </c:pt>
                <c:pt idx="367">
                  <c:v>2</c:v>
                </c:pt>
                <c:pt idx="368">
                  <c:v>1</c:v>
                </c:pt>
                <c:pt idx="369">
                  <c:v>1</c:v>
                </c:pt>
                <c:pt idx="370">
                  <c:v>1</c:v>
                </c:pt>
                <c:pt idx="371">
                  <c:v>3</c:v>
                </c:pt>
                <c:pt idx="372">
                  <c:v>4</c:v>
                </c:pt>
                <c:pt idx="373">
                  <c:v>3</c:v>
                </c:pt>
                <c:pt idx="374">
                  <c:v>2</c:v>
                </c:pt>
                <c:pt idx="375">
                  <c:v>1</c:v>
                </c:pt>
                <c:pt idx="376">
                  <c:v>2</c:v>
                </c:pt>
                <c:pt idx="377">
                  <c:v>1</c:v>
                </c:pt>
                <c:pt idx="378">
                  <c:v>2</c:v>
                </c:pt>
                <c:pt idx="379">
                  <c:v>2</c:v>
                </c:pt>
                <c:pt idx="380">
                  <c:v>2</c:v>
                </c:pt>
                <c:pt idx="381">
                  <c:v>1</c:v>
                </c:pt>
                <c:pt idx="382">
                  <c:v>3</c:v>
                </c:pt>
                <c:pt idx="383">
                  <c:v>2</c:v>
                </c:pt>
                <c:pt idx="384">
                  <c:v>2</c:v>
                </c:pt>
                <c:pt idx="385">
                  <c:v>3</c:v>
                </c:pt>
                <c:pt idx="386">
                  <c:v>1</c:v>
                </c:pt>
                <c:pt idx="387">
                  <c:v>1</c:v>
                </c:pt>
                <c:pt idx="388">
                  <c:v>1</c:v>
                </c:pt>
                <c:pt idx="389">
                  <c:v>1</c:v>
                </c:pt>
                <c:pt idx="390">
                  <c:v>1</c:v>
                </c:pt>
                <c:pt idx="391">
                  <c:v>3</c:v>
                </c:pt>
                <c:pt idx="392">
                  <c:v>1</c:v>
                </c:pt>
                <c:pt idx="393">
                  <c:v>1</c:v>
                </c:pt>
                <c:pt idx="394">
                  <c:v>2</c:v>
                </c:pt>
                <c:pt idx="395">
                  <c:v>1</c:v>
                </c:pt>
                <c:pt idx="396">
                  <c:v>3</c:v>
                </c:pt>
                <c:pt idx="397">
                  <c:v>2</c:v>
                </c:pt>
                <c:pt idx="398">
                  <c:v>1</c:v>
                </c:pt>
                <c:pt idx="399">
                  <c:v>1</c:v>
                </c:pt>
                <c:pt idx="400">
                  <c:v>1</c:v>
                </c:pt>
                <c:pt idx="401">
                  <c:v>1</c:v>
                </c:pt>
                <c:pt idx="402">
                  <c:v>2</c:v>
                </c:pt>
                <c:pt idx="403">
                  <c:v>1</c:v>
                </c:pt>
                <c:pt idx="404">
                  <c:v>1</c:v>
                </c:pt>
                <c:pt idx="405">
                  <c:v>1</c:v>
                </c:pt>
                <c:pt idx="406">
                  <c:v>1</c:v>
                </c:pt>
                <c:pt idx="407">
                  <c:v>3</c:v>
                </c:pt>
                <c:pt idx="408">
                  <c:v>3</c:v>
                </c:pt>
                <c:pt idx="409">
                  <c:v>2</c:v>
                </c:pt>
                <c:pt idx="410">
                  <c:v>4</c:v>
                </c:pt>
                <c:pt idx="411">
                  <c:v>1</c:v>
                </c:pt>
                <c:pt idx="412">
                  <c:v>1</c:v>
                </c:pt>
                <c:pt idx="413">
                  <c:v>2</c:v>
                </c:pt>
                <c:pt idx="414">
                  <c:v>1</c:v>
                </c:pt>
                <c:pt idx="415">
                  <c:v>2</c:v>
                </c:pt>
                <c:pt idx="416">
                  <c:v>1</c:v>
                </c:pt>
                <c:pt idx="417">
                  <c:v>4</c:v>
                </c:pt>
                <c:pt idx="418">
                  <c:v>3</c:v>
                </c:pt>
                <c:pt idx="419">
                  <c:v>2</c:v>
                </c:pt>
                <c:pt idx="420">
                  <c:v>4</c:v>
                </c:pt>
                <c:pt idx="421">
                  <c:v>4</c:v>
                </c:pt>
                <c:pt idx="422">
                  <c:v>1</c:v>
                </c:pt>
                <c:pt idx="423">
                  <c:v>1</c:v>
                </c:pt>
                <c:pt idx="424">
                  <c:v>4</c:v>
                </c:pt>
                <c:pt idx="425">
                  <c:v>1</c:v>
                </c:pt>
                <c:pt idx="426">
                  <c:v>1</c:v>
                </c:pt>
                <c:pt idx="427">
                  <c:v>4</c:v>
                </c:pt>
                <c:pt idx="428">
                  <c:v>3</c:v>
                </c:pt>
                <c:pt idx="429">
                  <c:v>1</c:v>
                </c:pt>
                <c:pt idx="430">
                  <c:v>4</c:v>
                </c:pt>
                <c:pt idx="431">
                  <c:v>4</c:v>
                </c:pt>
                <c:pt idx="432">
                  <c:v>1</c:v>
                </c:pt>
                <c:pt idx="433">
                  <c:v>4</c:v>
                </c:pt>
                <c:pt idx="434">
                  <c:v>1</c:v>
                </c:pt>
                <c:pt idx="435">
                  <c:v>1</c:v>
                </c:pt>
                <c:pt idx="436">
                  <c:v>1</c:v>
                </c:pt>
                <c:pt idx="437">
                  <c:v>3</c:v>
                </c:pt>
                <c:pt idx="438">
                  <c:v>1</c:v>
                </c:pt>
                <c:pt idx="439">
                  <c:v>3</c:v>
                </c:pt>
                <c:pt idx="440">
                  <c:v>1</c:v>
                </c:pt>
                <c:pt idx="441">
                  <c:v>3</c:v>
                </c:pt>
                <c:pt idx="442">
                  <c:v>1</c:v>
                </c:pt>
                <c:pt idx="443">
                  <c:v>1</c:v>
                </c:pt>
                <c:pt idx="444">
                  <c:v>4</c:v>
                </c:pt>
                <c:pt idx="445">
                  <c:v>3</c:v>
                </c:pt>
                <c:pt idx="446">
                  <c:v>1</c:v>
                </c:pt>
                <c:pt idx="447">
                  <c:v>1</c:v>
                </c:pt>
                <c:pt idx="448">
                  <c:v>1</c:v>
                </c:pt>
                <c:pt idx="449">
                  <c:v>1</c:v>
                </c:pt>
                <c:pt idx="450">
                  <c:v>3</c:v>
                </c:pt>
                <c:pt idx="451">
                  <c:v>1</c:v>
                </c:pt>
                <c:pt idx="452">
                  <c:v>1</c:v>
                </c:pt>
                <c:pt idx="453">
                  <c:v>1</c:v>
                </c:pt>
                <c:pt idx="454">
                  <c:v>1</c:v>
                </c:pt>
                <c:pt idx="455">
                  <c:v>4</c:v>
                </c:pt>
                <c:pt idx="456">
                  <c:v>2.1403508771929824</c:v>
                </c:pt>
              </c:numCache>
            </c:numRef>
          </c:xVal>
          <c:yVal>
            <c:numRef>
              <c:f>Main!$K$2:$K$507</c:f>
              <c:numCache>
                <c:formatCode>General</c:formatCode>
                <c:ptCount val="506"/>
                <c:pt idx="0">
                  <c:v>17</c:v>
                </c:pt>
                <c:pt idx="1">
                  <c:v>9</c:v>
                </c:pt>
                <c:pt idx="2">
                  <c:v>8</c:v>
                </c:pt>
                <c:pt idx="3">
                  <c:v>1</c:v>
                </c:pt>
                <c:pt idx="4">
                  <c:v>0</c:v>
                </c:pt>
                <c:pt idx="5">
                  <c:v>3</c:v>
                </c:pt>
                <c:pt idx="6">
                  <c:v>2</c:v>
                </c:pt>
                <c:pt idx="7">
                  <c:v>5</c:v>
                </c:pt>
                <c:pt idx="8">
                  <c:v>5</c:v>
                </c:pt>
                <c:pt idx="9">
                  <c:v>2</c:v>
                </c:pt>
                <c:pt idx="10">
                  <c:v>4</c:v>
                </c:pt>
                <c:pt idx="11">
                  <c:v>0</c:v>
                </c:pt>
                <c:pt idx="12">
                  <c:v>1</c:v>
                </c:pt>
                <c:pt idx="13">
                  <c:v>2</c:v>
                </c:pt>
                <c:pt idx="14">
                  <c:v>3</c:v>
                </c:pt>
                <c:pt idx="15">
                  <c:v>3</c:v>
                </c:pt>
                <c:pt idx="16">
                  <c:v>17</c:v>
                </c:pt>
                <c:pt idx="17">
                  <c:v>2</c:v>
                </c:pt>
                <c:pt idx="18">
                  <c:v>9</c:v>
                </c:pt>
                <c:pt idx="19">
                  <c:v>5</c:v>
                </c:pt>
                <c:pt idx="20">
                  <c:v>9</c:v>
                </c:pt>
                <c:pt idx="21">
                  <c:v>1</c:v>
                </c:pt>
                <c:pt idx="22">
                  <c:v>14</c:v>
                </c:pt>
                <c:pt idx="23">
                  <c:v>14</c:v>
                </c:pt>
                <c:pt idx="24">
                  <c:v>2</c:v>
                </c:pt>
                <c:pt idx="25">
                  <c:v>2</c:v>
                </c:pt>
                <c:pt idx="26">
                  <c:v>7</c:v>
                </c:pt>
                <c:pt idx="27">
                  <c:v>6</c:v>
                </c:pt>
                <c:pt idx="28">
                  <c:v>5</c:v>
                </c:pt>
                <c:pt idx="29">
                  <c:v>3</c:v>
                </c:pt>
                <c:pt idx="30">
                  <c:v>9</c:v>
                </c:pt>
                <c:pt idx="31">
                  <c:v>4</c:v>
                </c:pt>
                <c:pt idx="32">
                  <c:v>11</c:v>
                </c:pt>
                <c:pt idx="33">
                  <c:v>8</c:v>
                </c:pt>
                <c:pt idx="34">
                  <c:v>3</c:v>
                </c:pt>
                <c:pt idx="35">
                  <c:v>0</c:v>
                </c:pt>
                <c:pt idx="36">
                  <c:v>2</c:v>
                </c:pt>
                <c:pt idx="37">
                  <c:v>3</c:v>
                </c:pt>
                <c:pt idx="38">
                  <c:v>4</c:v>
                </c:pt>
                <c:pt idx="39">
                  <c:v>2</c:v>
                </c:pt>
                <c:pt idx="40">
                  <c:v>6</c:v>
                </c:pt>
                <c:pt idx="41">
                  <c:v>1</c:v>
                </c:pt>
                <c:pt idx="42">
                  <c:v>8</c:v>
                </c:pt>
                <c:pt idx="43">
                  <c:v>2</c:v>
                </c:pt>
                <c:pt idx="44">
                  <c:v>2</c:v>
                </c:pt>
                <c:pt idx="45">
                  <c:v>2</c:v>
                </c:pt>
                <c:pt idx="46">
                  <c:v>4</c:v>
                </c:pt>
                <c:pt idx="47">
                  <c:v>10</c:v>
                </c:pt>
                <c:pt idx="48">
                  <c:v>20</c:v>
                </c:pt>
                <c:pt idx="49">
                  <c:v>3</c:v>
                </c:pt>
                <c:pt idx="50">
                  <c:v>1</c:v>
                </c:pt>
                <c:pt idx="51">
                  <c:v>2</c:v>
                </c:pt>
                <c:pt idx="52">
                  <c:v>1</c:v>
                </c:pt>
                <c:pt idx="53">
                  <c:v>0</c:v>
                </c:pt>
                <c:pt idx="54">
                  <c:v>6</c:v>
                </c:pt>
                <c:pt idx="55">
                  <c:v>2</c:v>
                </c:pt>
                <c:pt idx="56">
                  <c:v>5</c:v>
                </c:pt>
                <c:pt idx="57">
                  <c:v>2</c:v>
                </c:pt>
                <c:pt idx="58">
                  <c:v>2</c:v>
                </c:pt>
                <c:pt idx="59">
                  <c:v>0</c:v>
                </c:pt>
                <c:pt idx="60">
                  <c:v>4</c:v>
                </c:pt>
                <c:pt idx="61">
                  <c:v>4</c:v>
                </c:pt>
                <c:pt idx="62">
                  <c:v>1</c:v>
                </c:pt>
                <c:pt idx="63">
                  <c:v>0</c:v>
                </c:pt>
                <c:pt idx="64">
                  <c:v>6</c:v>
                </c:pt>
                <c:pt idx="65">
                  <c:v>0</c:v>
                </c:pt>
                <c:pt idx="66">
                  <c:v>3</c:v>
                </c:pt>
                <c:pt idx="67">
                  <c:v>3</c:v>
                </c:pt>
                <c:pt idx="68">
                  <c:v>2</c:v>
                </c:pt>
                <c:pt idx="69">
                  <c:v>0</c:v>
                </c:pt>
                <c:pt idx="70">
                  <c:v>3</c:v>
                </c:pt>
                <c:pt idx="71">
                  <c:v>9</c:v>
                </c:pt>
                <c:pt idx="72">
                  <c:v>5</c:v>
                </c:pt>
                <c:pt idx="73">
                  <c:v>7</c:v>
                </c:pt>
                <c:pt idx="74">
                  <c:v>2</c:v>
                </c:pt>
                <c:pt idx="75">
                  <c:v>3</c:v>
                </c:pt>
                <c:pt idx="76">
                  <c:v>0</c:v>
                </c:pt>
                <c:pt idx="77">
                  <c:v>4</c:v>
                </c:pt>
                <c:pt idx="78">
                  <c:v>10</c:v>
                </c:pt>
                <c:pt idx="79">
                  <c:v>16</c:v>
                </c:pt>
                <c:pt idx="80">
                  <c:v>7</c:v>
                </c:pt>
                <c:pt idx="81">
                  <c:v>5</c:v>
                </c:pt>
                <c:pt idx="82">
                  <c:v>20</c:v>
                </c:pt>
                <c:pt idx="83">
                  <c:v>0</c:v>
                </c:pt>
                <c:pt idx="84">
                  <c:v>5</c:v>
                </c:pt>
                <c:pt idx="85">
                  <c:v>2</c:v>
                </c:pt>
                <c:pt idx="86">
                  <c:v>3</c:v>
                </c:pt>
                <c:pt idx="87">
                  <c:v>4</c:v>
                </c:pt>
                <c:pt idx="88">
                  <c:v>15</c:v>
                </c:pt>
                <c:pt idx="89">
                  <c:v>4</c:v>
                </c:pt>
                <c:pt idx="90">
                  <c:v>7</c:v>
                </c:pt>
                <c:pt idx="91">
                  <c:v>2</c:v>
                </c:pt>
                <c:pt idx="92">
                  <c:v>2</c:v>
                </c:pt>
                <c:pt idx="93">
                  <c:v>0</c:v>
                </c:pt>
                <c:pt idx="94">
                  <c:v>11</c:v>
                </c:pt>
                <c:pt idx="95">
                  <c:v>13</c:v>
                </c:pt>
                <c:pt idx="96">
                  <c:v>4</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18</c:v>
                </c:pt>
                <c:pt idx="121">
                  <c:v>2</c:v>
                </c:pt>
                <c:pt idx="122">
                  <c:v>0</c:v>
                </c:pt>
                <c:pt idx="123">
                  <c:v>11</c:v>
                </c:pt>
                <c:pt idx="124">
                  <c:v>3</c:v>
                </c:pt>
                <c:pt idx="125">
                  <c:v>14</c:v>
                </c:pt>
                <c:pt idx="126">
                  <c:v>14</c:v>
                </c:pt>
                <c:pt idx="127">
                  <c:v>4</c:v>
                </c:pt>
                <c:pt idx="128">
                  <c:v>5</c:v>
                </c:pt>
                <c:pt idx="129">
                  <c:v>5</c:v>
                </c:pt>
                <c:pt idx="130">
                  <c:v>9</c:v>
                </c:pt>
                <c:pt idx="131">
                  <c:v>0</c:v>
                </c:pt>
                <c:pt idx="132">
                  <c:v>4</c:v>
                </c:pt>
                <c:pt idx="133">
                  <c:v>3</c:v>
                </c:pt>
                <c:pt idx="134">
                  <c:v>2</c:v>
                </c:pt>
                <c:pt idx="135">
                  <c:v>4</c:v>
                </c:pt>
                <c:pt idx="136">
                  <c:v>12</c:v>
                </c:pt>
                <c:pt idx="137">
                  <c:v>10</c:v>
                </c:pt>
                <c:pt idx="138">
                  <c:v>1</c:v>
                </c:pt>
                <c:pt idx="139">
                  <c:v>3</c:v>
                </c:pt>
                <c:pt idx="140">
                  <c:v>13</c:v>
                </c:pt>
                <c:pt idx="141">
                  <c:v>4</c:v>
                </c:pt>
                <c:pt idx="142">
                  <c:v>5</c:v>
                </c:pt>
                <c:pt idx="143">
                  <c:v>7</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14</c:v>
                </c:pt>
                <c:pt idx="169">
                  <c:v>4</c:v>
                </c:pt>
                <c:pt idx="170">
                  <c:v>13</c:v>
                </c:pt>
                <c:pt idx="171">
                  <c:v>0</c:v>
                </c:pt>
                <c:pt idx="172">
                  <c:v>0</c:v>
                </c:pt>
                <c:pt idx="173">
                  <c:v>11</c:v>
                </c:pt>
                <c:pt idx="174">
                  <c:v>10</c:v>
                </c:pt>
                <c:pt idx="175">
                  <c:v>13</c:v>
                </c:pt>
                <c:pt idx="176">
                  <c:v>13</c:v>
                </c:pt>
                <c:pt idx="177">
                  <c:v>7</c:v>
                </c:pt>
                <c:pt idx="178">
                  <c:v>11</c:v>
                </c:pt>
                <c:pt idx="179">
                  <c:v>1</c:v>
                </c:pt>
                <c:pt idx="180">
                  <c:v>7</c:v>
                </c:pt>
                <c:pt idx="181">
                  <c:v>5</c:v>
                </c:pt>
                <c:pt idx="182">
                  <c:v>10</c:v>
                </c:pt>
                <c:pt idx="183">
                  <c:v>12</c:v>
                </c:pt>
                <c:pt idx="184">
                  <c:v>15</c:v>
                </c:pt>
                <c:pt idx="185">
                  <c:v>5</c:v>
                </c:pt>
                <c:pt idx="186">
                  <c:v>8</c:v>
                </c:pt>
                <c:pt idx="187">
                  <c:v>14</c:v>
                </c:pt>
                <c:pt idx="188">
                  <c:v>6</c:v>
                </c:pt>
                <c:pt idx="189">
                  <c:v>6</c:v>
                </c:pt>
                <c:pt idx="190">
                  <c:v>3</c:v>
                </c:pt>
                <c:pt idx="191">
                  <c:v>3</c:v>
                </c:pt>
                <c:pt idx="192">
                  <c:v>2</c:v>
                </c:pt>
                <c:pt idx="193">
                  <c:v>3</c:v>
                </c:pt>
                <c:pt idx="194">
                  <c:v>3</c:v>
                </c:pt>
                <c:pt idx="195">
                  <c:v>1</c:v>
                </c:pt>
                <c:pt idx="196">
                  <c:v>0</c:v>
                </c:pt>
                <c:pt idx="197">
                  <c:v>1</c:v>
                </c:pt>
                <c:pt idx="198">
                  <c:v>6</c:v>
                </c:pt>
                <c:pt idx="199">
                  <c:v>4</c:v>
                </c:pt>
                <c:pt idx="200">
                  <c:v>2</c:v>
                </c:pt>
                <c:pt idx="201">
                  <c:v>2</c:v>
                </c:pt>
                <c:pt idx="202">
                  <c:v>3</c:v>
                </c:pt>
                <c:pt idx="203">
                  <c:v>0</c:v>
                </c:pt>
                <c:pt idx="204">
                  <c:v>6</c:v>
                </c:pt>
                <c:pt idx="205">
                  <c:v>4</c:v>
                </c:pt>
                <c:pt idx="206">
                  <c:v>0</c:v>
                </c:pt>
                <c:pt idx="207">
                  <c:v>1</c:v>
                </c:pt>
                <c:pt idx="208">
                  <c:v>6</c:v>
                </c:pt>
                <c:pt idx="209">
                  <c:v>1</c:v>
                </c:pt>
                <c:pt idx="210">
                  <c:v>3</c:v>
                </c:pt>
                <c:pt idx="211">
                  <c:v>7</c:v>
                </c:pt>
                <c:pt idx="212">
                  <c:v>0</c:v>
                </c:pt>
                <c:pt idx="213">
                  <c:v>0</c:v>
                </c:pt>
                <c:pt idx="214">
                  <c:v>1</c:v>
                </c:pt>
                <c:pt idx="215">
                  <c:v>6</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4</c:v>
                </c:pt>
                <c:pt idx="241">
                  <c:v>27</c:v>
                </c:pt>
                <c:pt idx="242">
                  <c:v>3</c:v>
                </c:pt>
                <c:pt idx="243">
                  <c:v>3</c:v>
                </c:pt>
                <c:pt idx="244">
                  <c:v>0</c:v>
                </c:pt>
                <c:pt idx="245">
                  <c:v>4</c:v>
                </c:pt>
                <c:pt idx="246">
                  <c:v>3</c:v>
                </c:pt>
                <c:pt idx="247">
                  <c:v>2</c:v>
                </c:pt>
                <c:pt idx="248">
                  <c:v>32</c:v>
                </c:pt>
                <c:pt idx="249">
                  <c:v>3</c:v>
                </c:pt>
                <c:pt idx="250">
                  <c:v>4</c:v>
                </c:pt>
                <c:pt idx="251">
                  <c:v>1</c:v>
                </c:pt>
                <c:pt idx="252">
                  <c:v>5</c:v>
                </c:pt>
                <c:pt idx="253">
                  <c:v>5</c:v>
                </c:pt>
                <c:pt idx="254">
                  <c:v>4</c:v>
                </c:pt>
                <c:pt idx="255">
                  <c:v>4</c:v>
                </c:pt>
                <c:pt idx="256">
                  <c:v>38</c:v>
                </c:pt>
                <c:pt idx="257">
                  <c:v>4</c:v>
                </c:pt>
                <c:pt idx="258">
                  <c:v>4</c:v>
                </c:pt>
                <c:pt idx="259">
                  <c:v>4</c:v>
                </c:pt>
                <c:pt idx="260">
                  <c:v>1</c:v>
                </c:pt>
                <c:pt idx="261">
                  <c:v>0</c:v>
                </c:pt>
                <c:pt idx="262">
                  <c:v>1</c:v>
                </c:pt>
                <c:pt idx="263">
                  <c:v>3</c:v>
                </c:pt>
                <c:pt idx="264">
                  <c:v>2</c:v>
                </c:pt>
                <c:pt idx="265">
                  <c:v>3</c:v>
                </c:pt>
                <c:pt idx="266">
                  <c:v>1</c:v>
                </c:pt>
                <c:pt idx="267">
                  <c:v>0</c:v>
                </c:pt>
                <c:pt idx="268">
                  <c:v>8</c:v>
                </c:pt>
                <c:pt idx="269">
                  <c:v>5</c:v>
                </c:pt>
                <c:pt idx="270">
                  <c:v>54</c:v>
                </c:pt>
                <c:pt idx="271">
                  <c:v>0</c:v>
                </c:pt>
                <c:pt idx="272">
                  <c:v>0</c:v>
                </c:pt>
                <c:pt idx="273">
                  <c:v>16</c:v>
                </c:pt>
                <c:pt idx="274">
                  <c:v>1</c:v>
                </c:pt>
                <c:pt idx="275">
                  <c:v>0</c:v>
                </c:pt>
                <c:pt idx="276">
                  <c:v>4</c:v>
                </c:pt>
                <c:pt idx="277">
                  <c:v>7</c:v>
                </c:pt>
                <c:pt idx="278">
                  <c:v>1</c:v>
                </c:pt>
                <c:pt idx="279">
                  <c:v>7</c:v>
                </c:pt>
                <c:pt idx="280">
                  <c:v>1</c:v>
                </c:pt>
                <c:pt idx="281">
                  <c:v>3</c:v>
                </c:pt>
                <c:pt idx="282">
                  <c:v>4</c:v>
                </c:pt>
                <c:pt idx="283">
                  <c:v>5</c:v>
                </c:pt>
                <c:pt idx="284">
                  <c:v>2</c:v>
                </c:pt>
                <c:pt idx="285">
                  <c:v>2</c:v>
                </c:pt>
                <c:pt idx="286">
                  <c:v>5</c:v>
                </c:pt>
                <c:pt idx="287">
                  <c:v>4</c:v>
                </c:pt>
                <c:pt idx="288">
                  <c:v>0</c:v>
                </c:pt>
                <c:pt idx="289">
                  <c:v>0</c:v>
                </c:pt>
                <c:pt idx="290">
                  <c:v>0</c:v>
                </c:pt>
                <c:pt idx="291">
                  <c:v>0</c:v>
                </c:pt>
                <c:pt idx="292">
                  <c:v>0</c:v>
                </c:pt>
                <c:pt idx="293">
                  <c:v>0</c:v>
                </c:pt>
                <c:pt idx="294">
                  <c:v>0</c:v>
                </c:pt>
                <c:pt idx="295">
                  <c:v>4</c:v>
                </c:pt>
                <c:pt idx="296">
                  <c:v>6</c:v>
                </c:pt>
                <c:pt idx="297">
                  <c:v>0</c:v>
                </c:pt>
                <c:pt idx="298">
                  <c:v>3</c:v>
                </c:pt>
                <c:pt idx="299">
                  <c:v>0</c:v>
                </c:pt>
                <c:pt idx="300">
                  <c:v>1</c:v>
                </c:pt>
                <c:pt idx="301">
                  <c:v>4</c:v>
                </c:pt>
                <c:pt idx="302">
                  <c:v>0</c:v>
                </c:pt>
                <c:pt idx="303">
                  <c:v>0</c:v>
                </c:pt>
                <c:pt idx="304">
                  <c:v>1</c:v>
                </c:pt>
                <c:pt idx="305">
                  <c:v>0</c:v>
                </c:pt>
                <c:pt idx="306">
                  <c:v>7</c:v>
                </c:pt>
                <c:pt idx="307">
                  <c:v>1</c:v>
                </c:pt>
                <c:pt idx="308">
                  <c:v>1</c:v>
                </c:pt>
                <c:pt idx="309">
                  <c:v>3</c:v>
                </c:pt>
                <c:pt idx="310">
                  <c:v>1</c:v>
                </c:pt>
                <c:pt idx="311">
                  <c:v>7</c:v>
                </c:pt>
                <c:pt idx="312">
                  <c:v>1</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1</c:v>
                </c:pt>
                <c:pt idx="338">
                  <c:v>2</c:v>
                </c:pt>
                <c:pt idx="339">
                  <c:v>2</c:v>
                </c:pt>
                <c:pt idx="340">
                  <c:v>0</c:v>
                </c:pt>
                <c:pt idx="341">
                  <c:v>2</c:v>
                </c:pt>
                <c:pt idx="342">
                  <c:v>1</c:v>
                </c:pt>
                <c:pt idx="343">
                  <c:v>2</c:v>
                </c:pt>
                <c:pt idx="344">
                  <c:v>3</c:v>
                </c:pt>
                <c:pt idx="345">
                  <c:v>2</c:v>
                </c:pt>
                <c:pt idx="346">
                  <c:v>1</c:v>
                </c:pt>
                <c:pt idx="347">
                  <c:v>0</c:v>
                </c:pt>
                <c:pt idx="348">
                  <c:v>0</c:v>
                </c:pt>
                <c:pt idx="349">
                  <c:v>0</c:v>
                </c:pt>
                <c:pt idx="350">
                  <c:v>0</c:v>
                </c:pt>
                <c:pt idx="351">
                  <c:v>1</c:v>
                </c:pt>
                <c:pt idx="352">
                  <c:v>1</c:v>
                </c:pt>
                <c:pt idx="353">
                  <c:v>1</c:v>
                </c:pt>
                <c:pt idx="354">
                  <c:v>1</c:v>
                </c:pt>
                <c:pt idx="355">
                  <c:v>0</c:v>
                </c:pt>
                <c:pt idx="356">
                  <c:v>2</c:v>
                </c:pt>
                <c:pt idx="357">
                  <c:v>1</c:v>
                </c:pt>
                <c:pt idx="358">
                  <c:v>0</c:v>
                </c:pt>
                <c:pt idx="359">
                  <c:v>1</c:v>
                </c:pt>
                <c:pt idx="360">
                  <c:v>0</c:v>
                </c:pt>
                <c:pt idx="361">
                  <c:v>1</c:v>
                </c:pt>
                <c:pt idx="362">
                  <c:v>0</c:v>
                </c:pt>
                <c:pt idx="363">
                  <c:v>5</c:v>
                </c:pt>
                <c:pt idx="364">
                  <c:v>1</c:v>
                </c:pt>
                <c:pt idx="365">
                  <c:v>2</c:v>
                </c:pt>
                <c:pt idx="366">
                  <c:v>5</c:v>
                </c:pt>
                <c:pt idx="367">
                  <c:v>9</c:v>
                </c:pt>
                <c:pt idx="368">
                  <c:v>3</c:v>
                </c:pt>
                <c:pt idx="369">
                  <c:v>1</c:v>
                </c:pt>
                <c:pt idx="370">
                  <c:v>2</c:v>
                </c:pt>
                <c:pt idx="371">
                  <c:v>0</c:v>
                </c:pt>
                <c:pt idx="372">
                  <c:v>17</c:v>
                </c:pt>
                <c:pt idx="373">
                  <c:v>3</c:v>
                </c:pt>
                <c:pt idx="374">
                  <c:v>3</c:v>
                </c:pt>
                <c:pt idx="375">
                  <c:v>2</c:v>
                </c:pt>
                <c:pt idx="376">
                  <c:v>9</c:v>
                </c:pt>
                <c:pt idx="377">
                  <c:v>4</c:v>
                </c:pt>
                <c:pt idx="378">
                  <c:v>4</c:v>
                </c:pt>
                <c:pt idx="379">
                  <c:v>3</c:v>
                </c:pt>
                <c:pt idx="380">
                  <c:v>9</c:v>
                </c:pt>
                <c:pt idx="381">
                  <c:v>0</c:v>
                </c:pt>
                <c:pt idx="382">
                  <c:v>8</c:v>
                </c:pt>
                <c:pt idx="383">
                  <c:v>4</c:v>
                </c:pt>
                <c:pt idx="384">
                  <c:v>11</c:v>
                </c:pt>
                <c:pt idx="385">
                  <c:v>9</c:v>
                </c:pt>
                <c:pt idx="386">
                  <c:v>4</c:v>
                </c:pt>
                <c:pt idx="387">
                  <c:v>2</c:v>
                </c:pt>
                <c:pt idx="388">
                  <c:v>0</c:v>
                </c:pt>
                <c:pt idx="389">
                  <c:v>1</c:v>
                </c:pt>
                <c:pt idx="390">
                  <c:v>0</c:v>
                </c:pt>
                <c:pt idx="391">
                  <c:v>13</c:v>
                </c:pt>
                <c:pt idx="392">
                  <c:v>2</c:v>
                </c:pt>
                <c:pt idx="393">
                  <c:v>1</c:v>
                </c:pt>
                <c:pt idx="394">
                  <c:v>2</c:v>
                </c:pt>
                <c:pt idx="395">
                  <c:v>0</c:v>
                </c:pt>
                <c:pt idx="396">
                  <c:v>4</c:v>
                </c:pt>
                <c:pt idx="397">
                  <c:v>9</c:v>
                </c:pt>
                <c:pt idx="398">
                  <c:v>0</c:v>
                </c:pt>
                <c:pt idx="399">
                  <c:v>3</c:v>
                </c:pt>
                <c:pt idx="400">
                  <c:v>1</c:v>
                </c:pt>
                <c:pt idx="401">
                  <c:v>2</c:v>
                </c:pt>
                <c:pt idx="402">
                  <c:v>6</c:v>
                </c:pt>
                <c:pt idx="403">
                  <c:v>0</c:v>
                </c:pt>
                <c:pt idx="404">
                  <c:v>1</c:v>
                </c:pt>
                <c:pt idx="405">
                  <c:v>1</c:v>
                </c:pt>
                <c:pt idx="406">
                  <c:v>1</c:v>
                </c:pt>
                <c:pt idx="407">
                  <c:v>2</c:v>
                </c:pt>
                <c:pt idx="408">
                  <c:v>6</c:v>
                </c:pt>
                <c:pt idx="409">
                  <c:v>2</c:v>
                </c:pt>
                <c:pt idx="410">
                  <c:v>13</c:v>
                </c:pt>
                <c:pt idx="411">
                  <c:v>2</c:v>
                </c:pt>
                <c:pt idx="412">
                  <c:v>6</c:v>
                </c:pt>
                <c:pt idx="413">
                  <c:v>9</c:v>
                </c:pt>
                <c:pt idx="414">
                  <c:v>3</c:v>
                </c:pt>
                <c:pt idx="415">
                  <c:v>24</c:v>
                </c:pt>
                <c:pt idx="416">
                  <c:v>1</c:v>
                </c:pt>
                <c:pt idx="417">
                  <c:v>0</c:v>
                </c:pt>
                <c:pt idx="418">
                  <c:v>17</c:v>
                </c:pt>
                <c:pt idx="419">
                  <c:v>0</c:v>
                </c:pt>
                <c:pt idx="420">
                  <c:v>6</c:v>
                </c:pt>
                <c:pt idx="421">
                  <c:v>9</c:v>
                </c:pt>
                <c:pt idx="422">
                  <c:v>1</c:v>
                </c:pt>
                <c:pt idx="423">
                  <c:v>2</c:v>
                </c:pt>
                <c:pt idx="424">
                  <c:v>2</c:v>
                </c:pt>
                <c:pt idx="425">
                  <c:v>3</c:v>
                </c:pt>
                <c:pt idx="426">
                  <c:v>3</c:v>
                </c:pt>
                <c:pt idx="427">
                  <c:v>5</c:v>
                </c:pt>
                <c:pt idx="428">
                  <c:v>6</c:v>
                </c:pt>
                <c:pt idx="429">
                  <c:v>0</c:v>
                </c:pt>
                <c:pt idx="430">
                  <c:v>1</c:v>
                </c:pt>
                <c:pt idx="431">
                  <c:v>21</c:v>
                </c:pt>
                <c:pt idx="432">
                  <c:v>9</c:v>
                </c:pt>
                <c:pt idx="433">
                  <c:v>38</c:v>
                </c:pt>
                <c:pt idx="434">
                  <c:v>9</c:v>
                </c:pt>
                <c:pt idx="435">
                  <c:v>4</c:v>
                </c:pt>
                <c:pt idx="436">
                  <c:v>2</c:v>
                </c:pt>
                <c:pt idx="437">
                  <c:v>8</c:v>
                </c:pt>
                <c:pt idx="438">
                  <c:v>2</c:v>
                </c:pt>
                <c:pt idx="439">
                  <c:v>24</c:v>
                </c:pt>
                <c:pt idx="440">
                  <c:v>2</c:v>
                </c:pt>
                <c:pt idx="441">
                  <c:v>21</c:v>
                </c:pt>
                <c:pt idx="442">
                  <c:v>1</c:v>
                </c:pt>
                <c:pt idx="443">
                  <c:v>0</c:v>
                </c:pt>
                <c:pt idx="444">
                  <c:v>21</c:v>
                </c:pt>
                <c:pt idx="445">
                  <c:v>20</c:v>
                </c:pt>
                <c:pt idx="446">
                  <c:v>1</c:v>
                </c:pt>
                <c:pt idx="447">
                  <c:v>5</c:v>
                </c:pt>
                <c:pt idx="448">
                  <c:v>2</c:v>
                </c:pt>
                <c:pt idx="449">
                  <c:v>0</c:v>
                </c:pt>
                <c:pt idx="450">
                  <c:v>15</c:v>
                </c:pt>
                <c:pt idx="451">
                  <c:v>0</c:v>
                </c:pt>
                <c:pt idx="452">
                  <c:v>2</c:v>
                </c:pt>
                <c:pt idx="453">
                  <c:v>1</c:v>
                </c:pt>
                <c:pt idx="454">
                  <c:v>9</c:v>
                </c:pt>
                <c:pt idx="455">
                  <c:v>31</c:v>
                </c:pt>
                <c:pt idx="456">
                  <c:v>3.8925438596491229</c:v>
                </c:pt>
              </c:numCache>
            </c:numRef>
          </c:yVal>
          <c:smooth val="0"/>
          <c:extLst>
            <c:ext xmlns:c16="http://schemas.microsoft.com/office/drawing/2014/chart" uri="{C3380CC4-5D6E-409C-BE32-E72D297353CC}">
              <c16:uniqueId val="{00000000-7840-4C0E-AFB4-FFF3267ACA8B}"/>
            </c:ext>
          </c:extLst>
        </c:ser>
        <c:dLbls>
          <c:showLegendKey val="0"/>
          <c:showVal val="0"/>
          <c:showCatName val="0"/>
          <c:showSerName val="0"/>
          <c:showPercent val="0"/>
          <c:showBubbleSize val="0"/>
        </c:dLbls>
        <c:axId val="950527968"/>
        <c:axId val="950527008"/>
      </c:scatterChart>
      <c:valAx>
        <c:axId val="95052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0527008"/>
        <c:crosses val="autoZero"/>
        <c:crossBetween val="midCat"/>
      </c:valAx>
      <c:valAx>
        <c:axId val="95052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0527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14092</xdr:colOff>
      <xdr:row>500</xdr:row>
      <xdr:rowOff>187848</xdr:rowOff>
    </xdr:from>
    <xdr:to>
      <xdr:col>18</xdr:col>
      <xdr:colOff>234217</xdr:colOff>
      <xdr:row>515</xdr:row>
      <xdr:rowOff>68505</xdr:rowOff>
    </xdr:to>
    <xdr:graphicFrame macro="">
      <xdr:nvGraphicFramePr>
        <xdr:cNvPr id="3" name="Chart 2">
          <a:extLst>
            <a:ext uri="{FF2B5EF4-FFF2-40B4-BE49-F238E27FC236}">
              <a16:creationId xmlns:a16="http://schemas.microsoft.com/office/drawing/2014/main" id="{7FF427A9-10B6-1525-E9EC-514805208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235238</xdr:colOff>
      <xdr:row>500</xdr:row>
      <xdr:rowOff>189840</xdr:rowOff>
    </xdr:from>
    <xdr:to>
      <xdr:col>25</xdr:col>
      <xdr:colOff>520221</xdr:colOff>
      <xdr:row>515</xdr:row>
      <xdr:rowOff>75540</xdr:rowOff>
    </xdr:to>
    <xdr:graphicFrame macro="">
      <xdr:nvGraphicFramePr>
        <xdr:cNvPr id="4" name="Chart 3">
          <a:extLst>
            <a:ext uri="{FF2B5EF4-FFF2-40B4-BE49-F238E27FC236}">
              <a16:creationId xmlns:a16="http://schemas.microsoft.com/office/drawing/2014/main" id="{3572F8A2-9416-8FA9-762A-3BD3C1D09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8335</xdr:colOff>
      <xdr:row>529</xdr:row>
      <xdr:rowOff>164306</xdr:rowOff>
    </xdr:from>
    <xdr:to>
      <xdr:col>18</xdr:col>
      <xdr:colOff>235744</xdr:colOff>
      <xdr:row>544</xdr:row>
      <xdr:rowOff>50006</xdr:rowOff>
    </xdr:to>
    <xdr:graphicFrame macro="">
      <xdr:nvGraphicFramePr>
        <xdr:cNvPr id="5" name="Chart 4">
          <a:extLst>
            <a:ext uri="{FF2B5EF4-FFF2-40B4-BE49-F238E27FC236}">
              <a16:creationId xmlns:a16="http://schemas.microsoft.com/office/drawing/2014/main" id="{8405DD9A-711D-33A4-EBE5-966E52B94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1192</xdr:colOff>
      <xdr:row>515</xdr:row>
      <xdr:rowOff>80112</xdr:rowOff>
    </xdr:from>
    <xdr:to>
      <xdr:col>18</xdr:col>
      <xdr:colOff>251732</xdr:colOff>
      <xdr:row>529</xdr:row>
      <xdr:rowOff>156312</xdr:rowOff>
    </xdr:to>
    <xdr:graphicFrame macro="">
      <xdr:nvGraphicFramePr>
        <xdr:cNvPr id="6" name="Chart 5">
          <a:extLst>
            <a:ext uri="{FF2B5EF4-FFF2-40B4-BE49-F238E27FC236}">
              <a16:creationId xmlns:a16="http://schemas.microsoft.com/office/drawing/2014/main" id="{012CA503-FC01-A7C7-F20F-BA295E37A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230641</xdr:colOff>
      <xdr:row>529</xdr:row>
      <xdr:rowOff>150018</xdr:rowOff>
    </xdr:from>
    <xdr:to>
      <xdr:col>25</xdr:col>
      <xdr:colOff>519112</xdr:colOff>
      <xdr:row>544</xdr:row>
      <xdr:rowOff>35718</xdr:rowOff>
    </xdr:to>
    <xdr:graphicFrame macro="">
      <xdr:nvGraphicFramePr>
        <xdr:cNvPr id="7" name="Chart 6">
          <a:extLst>
            <a:ext uri="{FF2B5EF4-FFF2-40B4-BE49-F238E27FC236}">
              <a16:creationId xmlns:a16="http://schemas.microsoft.com/office/drawing/2014/main" id="{40C84A8D-1FDB-01DD-2C9F-3A114577A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229789</xdr:colOff>
      <xdr:row>515</xdr:row>
      <xdr:rowOff>87935</xdr:rowOff>
    </xdr:from>
    <xdr:to>
      <xdr:col>25</xdr:col>
      <xdr:colOff>519621</xdr:colOff>
      <xdr:row>529</xdr:row>
      <xdr:rowOff>164135</xdr:rowOff>
    </xdr:to>
    <xdr:graphicFrame macro="">
      <xdr:nvGraphicFramePr>
        <xdr:cNvPr id="8" name="Chart 7">
          <a:extLst>
            <a:ext uri="{FF2B5EF4-FFF2-40B4-BE49-F238E27FC236}">
              <a16:creationId xmlns:a16="http://schemas.microsoft.com/office/drawing/2014/main" id="{E6F2A365-C6FB-7573-8F8B-394F8331F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229450</xdr:colOff>
      <xdr:row>544</xdr:row>
      <xdr:rowOff>34187</xdr:rowOff>
    </xdr:from>
    <xdr:to>
      <xdr:col>25</xdr:col>
      <xdr:colOff>519282</xdr:colOff>
      <xdr:row>558</xdr:row>
      <xdr:rowOff>110387</xdr:rowOff>
    </xdr:to>
    <xdr:graphicFrame macro="">
      <xdr:nvGraphicFramePr>
        <xdr:cNvPr id="9" name="Chart 8">
          <a:extLst>
            <a:ext uri="{FF2B5EF4-FFF2-40B4-BE49-F238E27FC236}">
              <a16:creationId xmlns:a16="http://schemas.microsoft.com/office/drawing/2014/main" id="{E36D21BA-CA23-1E90-CFCC-6D8AC7C61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5444</xdr:colOff>
      <xdr:row>544</xdr:row>
      <xdr:rowOff>37930</xdr:rowOff>
    </xdr:from>
    <xdr:to>
      <xdr:col>18</xdr:col>
      <xdr:colOff>234213</xdr:colOff>
      <xdr:row>558</xdr:row>
      <xdr:rowOff>114130</xdr:rowOff>
    </xdr:to>
    <xdr:graphicFrame macro="">
      <xdr:nvGraphicFramePr>
        <xdr:cNvPr id="10" name="Chart 9">
          <a:extLst>
            <a:ext uri="{FF2B5EF4-FFF2-40B4-BE49-F238E27FC236}">
              <a16:creationId xmlns:a16="http://schemas.microsoft.com/office/drawing/2014/main" id="{EC663429-DD73-F154-C388-583842248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6803</xdr:colOff>
      <xdr:row>558</xdr:row>
      <xdr:rowOff>106816</xdr:rowOff>
    </xdr:from>
    <xdr:to>
      <xdr:col>18</xdr:col>
      <xdr:colOff>235572</xdr:colOff>
      <xdr:row>572</xdr:row>
      <xdr:rowOff>183016</xdr:rowOff>
    </xdr:to>
    <xdr:graphicFrame macro="">
      <xdr:nvGraphicFramePr>
        <xdr:cNvPr id="11" name="Chart 10">
          <a:extLst>
            <a:ext uri="{FF2B5EF4-FFF2-40B4-BE49-F238E27FC236}">
              <a16:creationId xmlns:a16="http://schemas.microsoft.com/office/drawing/2014/main" id="{87E47A9A-D147-5432-3DBB-F1DE95F4C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234146</xdr:colOff>
      <xdr:row>558</xdr:row>
      <xdr:rowOff>113295</xdr:rowOff>
    </xdr:from>
    <xdr:to>
      <xdr:col>25</xdr:col>
      <xdr:colOff>519896</xdr:colOff>
      <xdr:row>572</xdr:row>
      <xdr:rowOff>189495</xdr:rowOff>
    </xdr:to>
    <xdr:graphicFrame macro="">
      <xdr:nvGraphicFramePr>
        <xdr:cNvPr id="12" name="Chart 11">
          <a:extLst>
            <a:ext uri="{FF2B5EF4-FFF2-40B4-BE49-F238E27FC236}">
              <a16:creationId xmlns:a16="http://schemas.microsoft.com/office/drawing/2014/main" id="{BEF1FBAB-62EF-2839-1A1B-6B7369CCF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702470</xdr:colOff>
      <xdr:row>572</xdr:row>
      <xdr:rowOff>184546</xdr:rowOff>
    </xdr:from>
    <xdr:to>
      <xdr:col>22</xdr:col>
      <xdr:colOff>79942</xdr:colOff>
      <xdr:row>587</xdr:row>
      <xdr:rowOff>70246</xdr:rowOff>
    </xdr:to>
    <xdr:graphicFrame macro="">
      <xdr:nvGraphicFramePr>
        <xdr:cNvPr id="13" name="Chart 12">
          <a:extLst>
            <a:ext uri="{FF2B5EF4-FFF2-40B4-BE49-F238E27FC236}">
              <a16:creationId xmlns:a16="http://schemas.microsoft.com/office/drawing/2014/main" id="{563E0B57-CE32-3143-3E60-079CB8AA5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4" connectionId="23" xr16:uid="{23818EFC-F99A-4606-B522-0D4DCCA331CE}"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5" connectionId="13" xr16:uid="{645510FF-B3FD-4620-975C-D88E418BDA84}"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4" connectionId="12" xr16:uid="{AB133D01-4621-4575-9872-DC1228970CB1}"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3" connectionId="11" xr16:uid="{6C3C3B97-4473-402E-946D-979A326A1CB2}"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2" connectionId="10" xr16:uid="{E21CD9CF-B6C3-407E-9829-8C498E0B8545}"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1" connectionId="9" xr16:uid="{0BB9D900-EFD1-4928-A198-D11E8F2EDD28}"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0" connectionId="8" xr16:uid="{B790714D-8DA2-4F81-997C-A3C8A3C7CC16}"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9" connectionId="30" xr16:uid="{90688201-BB6C-432F-9056-25C360EECBF5}"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8" connectionId="29" xr16:uid="{206E853D-0DAB-4D04-8157-D9E17DFEE66D}"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7" connectionId="28" xr16:uid="{FAFAD1CA-6DB2-411C-899E-4F15E62CFC6A}"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6" connectionId="27" xr16:uid="{7C906516-4AEE-4442-A537-66375570AA92}"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3" connectionId="22" xr16:uid="{ADDE5553-EC5C-4201-9BE7-FDAF6C1949F5}"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5" connectionId="26" xr16:uid="{6C651F15-646D-42FE-8DE4-505CCAF2521C}"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4" connectionId="25" xr16:uid="{2FE257D4-41E3-4D15-97F4-7FC28A9A1205}"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3" connectionId="24" xr16:uid="{F94BC160-B33C-44F8-89F2-10135B0B4F4A}"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2" connectionId="18" xr16:uid="{545909AD-3CCD-4C9E-A19E-316E5B5F4AC2}"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ernalData_1" connectionId="7" xr16:uid="{671211EE-BE0B-4261-9891-326434656A38}"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ExternalData_1" connectionId="1" xr16:uid="{F1110C05-5C3C-4CCE-9D34-7038AB4664DF}" autoFormatId="16" applyNumberFormats="0" applyBorderFormats="0" applyFontFormats="0" applyPatternFormats="0" applyAlignmentFormats="0" applyWidthHeightFormats="0">
  <queryTableRefresh nextId="14">
    <queryTableFields count="13">
      <queryTableField id="1" name="Source.Name" tableColumnId="1"/>
      <queryTableField id="2" name="Column1" tableColumnId="2"/>
      <queryTableField id="3" name="Column2" tableColumnId="3"/>
      <queryTableField id="4" name="Column3" tableColumnId="4"/>
      <queryTableField id="5" name="Column4" tableColumnId="5"/>
      <queryTableField id="6" name="Column5" tableColumnId="6"/>
      <queryTableField id="7" name="Column6" tableColumnId="7"/>
      <queryTableField id="8" name="Column7" tableColumnId="8"/>
      <queryTableField id="9" name="Column8" tableColumnId="9"/>
      <queryTableField id="10" name="Column9" tableColumnId="10"/>
      <queryTableField id="11" name="Column10" tableColumnId="11"/>
      <queryTableField id="12" name="Column11" tableColumnId="12"/>
      <queryTableField id="13" name="Column12" tableColumnId="13"/>
    </queryTableFields>
  </queryTableRefresh>
</queryTable>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ExternalData_1" connectionId="2" xr16:uid="{1E800B08-57EF-4C34-8D59-567B05097F17}" autoFormatId="16" applyNumberFormats="0" applyBorderFormats="0" applyFontFormats="0" applyPatternFormats="0" applyAlignmentFormats="0" applyWidthHeightFormats="0">
  <queryTableRefresh nextId="14">
    <queryTableFields count="13">
      <queryTableField id="1" name="Source.Name" tableColumnId="1"/>
      <queryTableField id="2" name="Column1" tableColumnId="2"/>
      <queryTableField id="3" name="Column2" tableColumnId="3"/>
      <queryTableField id="4" name="Column3" tableColumnId="4"/>
      <queryTableField id="5" name="Column4" tableColumnId="5"/>
      <queryTableField id="6" name="Column5" tableColumnId="6"/>
      <queryTableField id="7" name="Column6" tableColumnId="7"/>
      <queryTableField id="8" name="Column7" tableColumnId="8"/>
      <queryTableField id="9" name="Column8" tableColumnId="9"/>
      <queryTableField id="10" name="Column9" tableColumnId="10"/>
      <queryTableField id="11" name="Column10" tableColumnId="11"/>
      <queryTableField id="12" name="Column11" tableColumnId="12"/>
      <queryTableField id="13" name="Column12"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2" connectionId="21" xr16:uid="{CB5FA899-F39B-4759-A7CC-12B6C30D8301}"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1" connectionId="20" xr16:uid="{6A49C5FB-F0CB-4972-8522-A7BADA0F503D}"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0" connectionId="19" xr16:uid="{B726DFF6-CF7E-4A59-9829-8F324F6DBE1B}"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9" connectionId="17" xr16:uid="{EDA477BD-58BD-4A39-B86B-E71EDC918FB0}"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8" connectionId="16" xr16:uid="{02EF8242-DA37-4E4F-B72D-DA92F95026DD}"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7" connectionId="15" xr16:uid="{DB874EB0-C164-4B54-A6D1-43C6BA1632FD}"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6" connectionId="14" xr16:uid="{2AF83D6B-1114-4924-8F2A-63B6B3B1A8D0}"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83F7DD2-5762-49AD-A698-FD0B09B3B8B6}" name="temp24" displayName="temp24" ref="A1:L21" tableType="queryTable" totalsRowCount="1">
  <autoFilter ref="A1:L20" xr:uid="{083F7DD2-5762-49AD-A698-FD0B09B3B8B6}"/>
  <tableColumns count="12">
    <tableColumn id="1" xr3:uid="{6AC085FA-C80F-4AA0-81D6-678F65A8F6C2}" uniqueName="1" name="Column1" totalsRowFunction="average" queryTableFieldId="1"/>
    <tableColumn id="2" xr3:uid="{490C1A13-1582-4E1C-8BF1-7B9B5221AE33}" uniqueName="2" name="Column2" totalsRowFunction="average" queryTableFieldId="2"/>
    <tableColumn id="3" xr3:uid="{AC9DF418-843D-4DAA-BCEC-C6EADD79AEB2}" uniqueName="3" name="Column3" totalsRowFunction="average" queryTableFieldId="3"/>
    <tableColumn id="4" xr3:uid="{E537E16B-6FCD-4A0D-BFC1-A74687081506}" uniqueName="4" name="Column4" totalsRowFunction="average" queryTableFieldId="4"/>
    <tableColumn id="5" xr3:uid="{5D9BE692-1EE4-489E-B1ED-128FEE6D100B}" uniqueName="5" name="Column5" totalsRowFunction="average" queryTableFieldId="5"/>
    <tableColumn id="6" xr3:uid="{CC9B70D4-70F0-4A7C-87CD-7383838F2E62}" uniqueName="6" name="Column6" totalsRowFunction="average" queryTableFieldId="6"/>
    <tableColumn id="7" xr3:uid="{C259AE77-FA6C-4B4B-B4BE-0FF633A9D4D8}" uniqueName="7" name="Column7" totalsRowFunction="average" queryTableFieldId="7"/>
    <tableColumn id="8" xr3:uid="{CB12B60D-CEE3-4B8A-B9BC-3825B909D006}" uniqueName="8" name="Column8" totalsRowFunction="average" queryTableFieldId="8"/>
    <tableColumn id="9" xr3:uid="{F2E666B8-9A86-498C-B171-1E3511065715}" uniqueName="9" name="Column9" totalsRowFunction="average" queryTableFieldId="9"/>
    <tableColumn id="10" xr3:uid="{46EA947B-3384-4E76-A25C-29793C1B5F28}" uniqueName="10" name="Column10" totalsRowFunction="average" queryTableFieldId="10"/>
    <tableColumn id="11" xr3:uid="{8D8B8EBA-C364-4FDD-9CED-250A6BDD2447}" uniqueName="11" name="Column11" totalsRowFunction="average" queryTableFieldId="11"/>
    <tableColumn id="12" xr3:uid="{47DA8A80-EAB2-4C46-8B26-9BB28487A992}" uniqueName="12" name="Column12" totalsRowFunction="average" queryTableFieldId="1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EB698E9-370F-408D-91C6-EE8225E75C08}" name="temp15" displayName="temp15" ref="A1:L21" tableType="queryTable" totalsRowCount="1">
  <autoFilter ref="A1:L20" xr:uid="{5EB698E9-370F-408D-91C6-EE8225E75C08}"/>
  <tableColumns count="12">
    <tableColumn id="1" xr3:uid="{5B92B0D9-BAB6-4E5D-A00C-8C114A1EFF85}" uniqueName="1" name="Column1" totalsRowFunction="average" queryTableFieldId="1"/>
    <tableColumn id="2" xr3:uid="{BBFE7C3C-813F-4204-80C0-03ABAC1C1BDF}" uniqueName="2" name="Column2" totalsRowFunction="average" queryTableFieldId="2"/>
    <tableColumn id="3" xr3:uid="{DC7EA5E9-2D8D-4582-8D3A-CFC9F1560D5F}" uniqueName="3" name="Column3" totalsRowFunction="average" queryTableFieldId="3"/>
    <tableColumn id="4" xr3:uid="{45C21F42-6C13-41D0-8E49-CE2A5938AD22}" uniqueName="4" name="Column4" totalsRowFunction="average" queryTableFieldId="4"/>
    <tableColumn id="5" xr3:uid="{821D612D-7E33-404E-BB52-57D9D926D900}" uniqueName="5" name="Column5" totalsRowFunction="average" queryTableFieldId="5"/>
    <tableColumn id="6" xr3:uid="{EDFCFA00-1CE9-4392-8D7A-8FABBCF78737}" uniqueName="6" name="Column6" totalsRowFunction="average" queryTableFieldId="6"/>
    <tableColumn id="7" xr3:uid="{24A62304-3D67-4D6F-BA49-596D9526BA00}" uniqueName="7" name="Column7" totalsRowFunction="average" queryTableFieldId="7"/>
    <tableColumn id="8" xr3:uid="{E7B47202-700D-4CCB-B640-5714C79E3E1F}" uniqueName="8" name="Column8" totalsRowFunction="average" queryTableFieldId="8"/>
    <tableColumn id="9" xr3:uid="{EC4AAFB0-1456-431B-ABBB-E71A624D4CD7}" uniqueName="9" name="Column9" totalsRowFunction="average" queryTableFieldId="9"/>
    <tableColumn id="10" xr3:uid="{765840FB-CA0E-4B3C-9E06-FB9AAA60991A}" uniqueName="10" name="Column10" totalsRowFunction="average" queryTableFieldId="10"/>
    <tableColumn id="11" xr3:uid="{82B12156-FC61-4CD7-85A2-70F3E8A7EF8A}" uniqueName="11" name="Column11" totalsRowFunction="average" queryTableFieldId="11"/>
    <tableColumn id="12" xr3:uid="{A2955AA9-4707-4779-82D3-9C0177BC6DAD}" uniqueName="12" name="Column12" totalsRowFunction="average" queryTableFieldId="1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95B0C3E-E8AD-4F1F-830F-693CE3C2AA28}" name="temp14" displayName="temp14" ref="A1:L21" tableType="queryTable" totalsRowCount="1">
  <autoFilter ref="A1:L20" xr:uid="{395B0C3E-E8AD-4F1F-830F-693CE3C2AA28}"/>
  <tableColumns count="12">
    <tableColumn id="1" xr3:uid="{839BA3F8-1E4A-4E96-888B-07BF2BFD0480}" uniqueName="1" name="Column1" totalsRowFunction="average" queryTableFieldId="1"/>
    <tableColumn id="2" xr3:uid="{EBA271F7-07FE-45BE-96B6-951210D5DD67}" uniqueName="2" name="Column2" totalsRowFunction="average" queryTableFieldId="2"/>
    <tableColumn id="3" xr3:uid="{619198DF-5A9F-45F0-9601-B829532E797D}" uniqueName="3" name="Column3" totalsRowFunction="average" queryTableFieldId="3"/>
    <tableColumn id="4" xr3:uid="{70855F6F-D861-4ABA-B949-E98BDAA47C75}" uniqueName="4" name="Column4" totalsRowFunction="average" queryTableFieldId="4"/>
    <tableColumn id="5" xr3:uid="{8C43CE51-CBFF-435B-86CC-C0015EBF8034}" uniqueName="5" name="Column5" totalsRowFunction="average" queryTableFieldId="5"/>
    <tableColumn id="6" xr3:uid="{D4FA591E-9DFB-4F1C-BDA3-720DE58D783A}" uniqueName="6" name="Column6" totalsRowFunction="average" queryTableFieldId="6"/>
    <tableColumn id="7" xr3:uid="{9E810ECE-D726-48A7-A2A7-5BC779CD7C80}" uniqueName="7" name="Column7" totalsRowFunction="average" queryTableFieldId="7"/>
    <tableColumn id="8" xr3:uid="{D9A7CFA9-15C5-4B2D-AF23-A4B4440C4AF8}" uniqueName="8" name="Column8" totalsRowFunction="average" queryTableFieldId="8"/>
    <tableColumn id="9" xr3:uid="{ECF4062E-B939-46EA-9CFB-9A0229B5EF0C}" uniqueName="9" name="Column9" totalsRowFunction="average" queryTableFieldId="9"/>
    <tableColumn id="10" xr3:uid="{16C47ECF-784F-45DF-82A7-7CBD864E796E}" uniqueName="10" name="Column10" totalsRowFunction="average" queryTableFieldId="10"/>
    <tableColumn id="11" xr3:uid="{ECC4D6F3-1DEB-4425-9027-ACDAFD171B60}" uniqueName="11" name="Column11" totalsRowFunction="average" queryTableFieldId="11"/>
    <tableColumn id="12" xr3:uid="{BE91627D-9339-4F74-86E3-92210E39BF67}" uniqueName="12" name="Column12" totalsRowFunction="average" queryTableFieldId="1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BEC1EDA-B047-4420-80BB-D2DBD025B35B}" name="temp13" displayName="temp13" ref="A1:L21" tableType="queryTable" totalsRowCount="1">
  <autoFilter ref="A1:L20" xr:uid="{2BEC1EDA-B047-4420-80BB-D2DBD025B35B}"/>
  <tableColumns count="12">
    <tableColumn id="1" xr3:uid="{78FE5DA5-9F7B-41C5-9C02-466EDDC3B1DB}" uniqueName="1" name="Column1" totalsRowFunction="average" queryTableFieldId="1"/>
    <tableColumn id="2" xr3:uid="{4F330A7D-10B3-4C29-BA67-71096DB9BC3C}" uniqueName="2" name="Column2" totalsRowFunction="average" queryTableFieldId="2"/>
    <tableColumn id="3" xr3:uid="{DD781428-6E0E-43DE-A3AA-A90AB58B6ECD}" uniqueName="3" name="Column3" totalsRowFunction="average" queryTableFieldId="3"/>
    <tableColumn id="4" xr3:uid="{3D79F9DB-1F0C-4D92-B768-3D698F0E1B3D}" uniqueName="4" name="Column4" totalsRowFunction="average" queryTableFieldId="4"/>
    <tableColumn id="5" xr3:uid="{DCA7EEE5-3FD4-4797-85D8-7E91D43D892F}" uniqueName="5" name="Column5" totalsRowFunction="average" queryTableFieldId="5"/>
    <tableColumn id="6" xr3:uid="{E81D3211-37FF-476D-8E95-37D38009A418}" uniqueName="6" name="Column6" totalsRowFunction="average" queryTableFieldId="6"/>
    <tableColumn id="7" xr3:uid="{1AA6DEB9-559F-453B-81F0-03953F37C59A}" uniqueName="7" name="Column7" totalsRowFunction="average" queryTableFieldId="7"/>
    <tableColumn id="8" xr3:uid="{B8FD71D1-FDD8-4780-89E3-2C4C5F007211}" uniqueName="8" name="Column8" totalsRowFunction="average" queryTableFieldId="8"/>
    <tableColumn id="9" xr3:uid="{812AF9A0-AFF1-4A55-B15F-F42EC394ABC7}" uniqueName="9" name="Column9" totalsRowFunction="average" queryTableFieldId="9"/>
    <tableColumn id="10" xr3:uid="{8FEDDDCF-CD99-4B22-80A0-E082368C677E}" uniqueName="10" name="Column10" totalsRowFunction="average" queryTableFieldId="10"/>
    <tableColumn id="11" xr3:uid="{C20A145C-E589-4598-80E0-1E302BE60298}" uniqueName="11" name="Column11" totalsRowFunction="average" queryTableFieldId="11"/>
    <tableColumn id="12" xr3:uid="{FDEE46E1-00A6-4784-85C9-F0320BDE00EA}" uniqueName="12" name="Column12" totalsRowFunction="average" queryTableFieldId="1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C84BA3-6DB3-47BD-97AD-DD840A9C6EAA}" name="temp12" displayName="temp12" ref="A1:L21" tableType="queryTable" totalsRowCount="1">
  <autoFilter ref="A1:L20" xr:uid="{D2C84BA3-6DB3-47BD-97AD-DD840A9C6EAA}"/>
  <tableColumns count="12">
    <tableColumn id="1" xr3:uid="{A6090B21-BA78-4DEB-A7E8-E60696EE7276}" uniqueName="1" name="Column1" totalsRowFunction="average" queryTableFieldId="1"/>
    <tableColumn id="2" xr3:uid="{F4B6A452-AD3A-4260-A487-E3B5091B9FA3}" uniqueName="2" name="Column2" totalsRowFunction="average" queryTableFieldId="2"/>
    <tableColumn id="3" xr3:uid="{64D6D362-DBAE-482E-A5C3-0FB75187B61B}" uniqueName="3" name="Column3" totalsRowFunction="average" queryTableFieldId="3"/>
    <tableColumn id="4" xr3:uid="{88FBBB21-86A5-4B98-B669-F34B9032AA05}" uniqueName="4" name="Column4" totalsRowFunction="average" queryTableFieldId="4"/>
    <tableColumn id="5" xr3:uid="{47DA4520-05FF-42EA-AAB6-2858AB67F08C}" uniqueName="5" name="Column5" totalsRowFunction="average" queryTableFieldId="5"/>
    <tableColumn id="6" xr3:uid="{D7DE4677-A50A-401F-BA10-0A7543C9116E}" uniqueName="6" name="Column6" totalsRowFunction="average" queryTableFieldId="6"/>
    <tableColumn id="7" xr3:uid="{5D0E0783-C7BC-47E0-86E5-DA850FAB6CE3}" uniqueName="7" name="Column7" totalsRowFunction="average" queryTableFieldId="7"/>
    <tableColumn id="8" xr3:uid="{1E29E419-DFCD-47AC-9589-E832DE7FC20B}" uniqueName="8" name="Column8" totalsRowFunction="average" queryTableFieldId="8"/>
    <tableColumn id="9" xr3:uid="{508F2D7F-6CC4-4A1A-9651-B190AE41D0C1}" uniqueName="9" name="Column9" totalsRowFunction="average" queryTableFieldId="9"/>
    <tableColumn id="10" xr3:uid="{A9271904-0CEE-445D-ADBD-75080EC8A404}" uniqueName="10" name="Column10" totalsRowFunction="average" queryTableFieldId="10"/>
    <tableColumn id="11" xr3:uid="{23D11802-D781-49E5-B632-8620C4A5102E}" uniqueName="11" name="Column11" totalsRowFunction="average" queryTableFieldId="11"/>
    <tableColumn id="12" xr3:uid="{66121A77-9EE3-4A23-A563-147A1060D0A9}" uniqueName="12" name="Column12" totalsRowFunction="average" queryTableFieldId="1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5564A9C-0D1C-47BB-98DC-1334A2D7B519}" name="temp11" displayName="temp11" ref="A1:L21" tableType="queryTable" totalsRowCount="1">
  <autoFilter ref="A1:L20" xr:uid="{A5564A9C-0D1C-47BB-98DC-1334A2D7B519}"/>
  <tableColumns count="12">
    <tableColumn id="1" xr3:uid="{B0DB2B25-032F-44CE-A263-F6E315A26B7E}" uniqueName="1" name="Column1" totalsRowFunction="average" queryTableFieldId="1"/>
    <tableColumn id="2" xr3:uid="{0AC0378A-10CF-431A-BD3E-CA3188E4CAE8}" uniqueName="2" name="Column2" totalsRowFunction="average" queryTableFieldId="2"/>
    <tableColumn id="3" xr3:uid="{0E1393C5-C603-40DE-A131-F1100AC7E900}" uniqueName="3" name="Column3" totalsRowFunction="average" queryTableFieldId="3"/>
    <tableColumn id="4" xr3:uid="{97848D0F-FE9C-4CBD-A91E-9E1E3776231F}" uniqueName="4" name="Column4" totalsRowFunction="average" queryTableFieldId="4"/>
    <tableColumn id="5" xr3:uid="{C8E563D4-A4D0-432C-B9BE-7F2DCD222AEE}" uniqueName="5" name="Column5" totalsRowFunction="average" queryTableFieldId="5"/>
    <tableColumn id="6" xr3:uid="{5CE450D0-D781-4AFA-97AA-5E866AEBB37B}" uniqueName="6" name="Column6" totalsRowFunction="average" queryTableFieldId="6"/>
    <tableColumn id="7" xr3:uid="{A3C24CC8-0249-4BBA-A875-F9DCFAB7F364}" uniqueName="7" name="Column7" totalsRowFunction="average" queryTableFieldId="7"/>
    <tableColumn id="8" xr3:uid="{B0EE3FC3-13E7-486D-A792-2DDE3BC7C0D7}" uniqueName="8" name="Column8" totalsRowFunction="average" queryTableFieldId="8"/>
    <tableColumn id="9" xr3:uid="{1428872C-1503-4CD1-BCA1-77E480E97D58}" uniqueName="9" name="Column9" totalsRowFunction="average" queryTableFieldId="9"/>
    <tableColumn id="10" xr3:uid="{5F47BB4B-1F7F-4D8B-9002-8AA485DED43E}" uniqueName="10" name="Column10" totalsRowFunction="average" queryTableFieldId="10"/>
    <tableColumn id="11" xr3:uid="{E0293437-7D87-4B5E-BF00-0E8E74454C41}" uniqueName="11" name="Column11" totalsRowFunction="average" queryTableFieldId="11"/>
    <tableColumn id="12" xr3:uid="{B250CF9F-0471-43D9-B3F1-E4CA412E52C7}" uniqueName="12" name="Column12" totalsRowFunction="average" queryTableFieldId="12"/>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8615273-846F-4FC3-8B36-46209AB43854}" name="temp10" displayName="temp10" ref="A1:L21" tableType="queryTable" totalsRowCount="1">
  <autoFilter ref="A1:L20" xr:uid="{38615273-846F-4FC3-8B36-46209AB43854}"/>
  <tableColumns count="12">
    <tableColumn id="1" xr3:uid="{1274C4E6-1115-42AC-81B2-1F71AF7715D9}" uniqueName="1" name="Column1" totalsRowFunction="average" queryTableFieldId="1"/>
    <tableColumn id="2" xr3:uid="{8B1ED3BE-E6FF-4BA1-A59B-5EBDC4904486}" uniqueName="2" name="Column2" totalsRowFunction="average" queryTableFieldId="2"/>
    <tableColumn id="3" xr3:uid="{F7F03460-A48B-49C3-BEA8-7D652065CD02}" uniqueName="3" name="Column3" totalsRowFunction="average" queryTableFieldId="3"/>
    <tableColumn id="4" xr3:uid="{CD7FE49F-3C14-4A0D-8E58-EABD1ED2BEC8}" uniqueName="4" name="Column4" totalsRowFunction="average" queryTableFieldId="4"/>
    <tableColumn id="5" xr3:uid="{04A4829E-C923-4753-B340-B74E825F68CB}" uniqueName="5" name="Column5" totalsRowFunction="average" queryTableFieldId="5"/>
    <tableColumn id="6" xr3:uid="{1B6D3F09-BE75-4840-A501-39E91D81E74D}" uniqueName="6" name="Column6" totalsRowFunction="average" queryTableFieldId="6"/>
    <tableColumn id="7" xr3:uid="{69743B18-A802-4698-89D6-05FB26632EFD}" uniqueName="7" name="Column7" totalsRowFunction="average" queryTableFieldId="7"/>
    <tableColumn id="8" xr3:uid="{27C1DE4E-815F-4272-9AF0-7A1F894BFA18}" uniqueName="8" name="Column8" totalsRowFunction="average" queryTableFieldId="8"/>
    <tableColumn id="9" xr3:uid="{92752EAE-C7F6-4F98-9F0A-3BC42B32F770}" uniqueName="9" name="Column9" totalsRowFunction="average" queryTableFieldId="9"/>
    <tableColumn id="10" xr3:uid="{3199B33D-C3BF-447E-A0D5-08B958A9C1DE}" uniqueName="10" name="Column10" totalsRowFunction="average" queryTableFieldId="10"/>
    <tableColumn id="11" xr3:uid="{BA45E131-E929-4825-9A64-F1CB535AC736}" uniqueName="11" name="Column11" totalsRowFunction="average" queryTableFieldId="11"/>
    <tableColumn id="12" xr3:uid="{597ED525-0C8F-4DA2-9F2A-5A470FE1B874}" uniqueName="12" name="Column12" totalsRowFunction="average" queryTableFieldId="12"/>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BECF0B9-4221-4A92-BAE3-52A88320F4D7}" name="temp9" displayName="temp9" ref="A1:L21" tableType="queryTable" totalsRowCount="1">
  <autoFilter ref="A1:L20" xr:uid="{2BECF0B9-4221-4A92-BAE3-52A88320F4D7}"/>
  <tableColumns count="12">
    <tableColumn id="1" xr3:uid="{C84A2FF9-4697-4860-BF18-82BA0F3EC15F}" uniqueName="1" name="Column1" totalsRowFunction="average" queryTableFieldId="1"/>
    <tableColumn id="2" xr3:uid="{680506E7-0F09-4AE8-B0C5-9C0FA86A4131}" uniqueName="2" name="Column2" totalsRowFunction="average" queryTableFieldId="2"/>
    <tableColumn id="3" xr3:uid="{70D0767F-2BF2-4399-A12D-BBC631E5FAE6}" uniqueName="3" name="Column3" totalsRowFunction="average" queryTableFieldId="3"/>
    <tableColumn id="4" xr3:uid="{B6E14BA3-6F50-4D78-909E-962B9D799AF7}" uniqueName="4" name="Column4" totalsRowFunction="average" queryTableFieldId="4"/>
    <tableColumn id="5" xr3:uid="{36754764-FFAA-4804-89AE-AE33516E6B51}" uniqueName="5" name="Column5" totalsRowFunction="average" queryTableFieldId="5"/>
    <tableColumn id="6" xr3:uid="{9750B476-56B4-41C3-8180-A9AAA2632FFE}" uniqueName="6" name="Column6" totalsRowFunction="average" queryTableFieldId="6"/>
    <tableColumn id="7" xr3:uid="{24F64DDD-833C-482B-9ABE-FD4553FFDBB8}" uniqueName="7" name="Column7" totalsRowFunction="average" queryTableFieldId="7"/>
    <tableColumn id="8" xr3:uid="{94FDEE5F-1F41-4122-B595-DFEB7558530C}" uniqueName="8" name="Column8" totalsRowFunction="average" queryTableFieldId="8"/>
    <tableColumn id="9" xr3:uid="{9F557E05-FC76-4BF9-81CD-4FFA091A52C8}" uniqueName="9" name="Column9" totalsRowFunction="average" queryTableFieldId="9"/>
    <tableColumn id="10" xr3:uid="{BA25C1F2-1D20-4B74-BE2E-6F13D057DFDD}" uniqueName="10" name="Column10" totalsRowFunction="average" queryTableFieldId="10"/>
    <tableColumn id="11" xr3:uid="{DFB25170-D30D-4F9F-BAA4-CA9D03A07196}" uniqueName="11" name="Column11" totalsRowFunction="average" queryTableFieldId="11"/>
    <tableColumn id="12" xr3:uid="{2E5DE628-BFC9-4AEE-8385-F1D2954FB504}" uniqueName="12" name="Column12" totalsRowFunction="average" queryTableFieldId="12"/>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D301648-5E3E-40B5-8CAD-B863D6A9346C}" name="temp8" displayName="temp8" ref="A1:L21" tableType="queryTable" totalsRowCount="1">
  <autoFilter ref="A1:L20" xr:uid="{DD301648-5E3E-40B5-8CAD-B863D6A9346C}"/>
  <tableColumns count="12">
    <tableColumn id="1" xr3:uid="{1B7BE35A-1BF9-4DDA-A7FB-F42AF6A9FC18}" uniqueName="1" name="Column1" totalsRowFunction="average" queryTableFieldId="1"/>
    <tableColumn id="2" xr3:uid="{5F967C27-5D1C-4747-8C30-C468E1394839}" uniqueName="2" name="Column2" totalsRowFunction="average" queryTableFieldId="2"/>
    <tableColumn id="3" xr3:uid="{B49B4451-0A8D-4071-A30A-54FE5B2AC239}" uniqueName="3" name="Column3" totalsRowFunction="average" queryTableFieldId="3"/>
    <tableColumn id="4" xr3:uid="{D988DF91-B08B-4BD0-87CB-0743FE0F795F}" uniqueName="4" name="Column4" totalsRowFunction="average" queryTableFieldId="4"/>
    <tableColumn id="5" xr3:uid="{6E824EB0-ADD1-44D1-BD36-C907273AB906}" uniqueName="5" name="Column5" totalsRowFunction="average" queryTableFieldId="5"/>
    <tableColumn id="6" xr3:uid="{D319D069-B665-438A-876B-B7FA77652896}" uniqueName="6" name="Column6" totalsRowFunction="average" queryTableFieldId="6"/>
    <tableColumn id="7" xr3:uid="{00FCD54F-419F-4486-AFA5-921D5CFB6C80}" uniqueName="7" name="Column7" totalsRowFunction="average" queryTableFieldId="7"/>
    <tableColumn id="8" xr3:uid="{0A892E2B-1EB0-44BF-B0B9-F3266285AEA3}" uniqueName="8" name="Column8" totalsRowFunction="average" queryTableFieldId="8"/>
    <tableColumn id="9" xr3:uid="{6AACF79B-0D2C-4489-9944-0EB0A218EEDF}" uniqueName="9" name="Column9" totalsRowFunction="average" queryTableFieldId="9"/>
    <tableColumn id="10" xr3:uid="{C559C53A-4495-4E4A-81AB-D185C3D2FFD6}" uniqueName="10" name="Column10" totalsRowFunction="average" queryTableFieldId="10"/>
    <tableColumn id="11" xr3:uid="{43F170FF-1DCB-4772-A033-9435268DF176}" uniqueName="11" name="Column11" totalsRowFunction="average" queryTableFieldId="11"/>
    <tableColumn id="12" xr3:uid="{04394C68-3926-4DE7-A6D4-4A52D0E1387E}" uniqueName="12" name="Column12" totalsRowFunction="average" queryTableFieldId="12"/>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08D32DA-5224-4F84-8DA8-27B431D82511}" name="temp7" displayName="temp7" ref="A1:L21" tableType="queryTable" totalsRowCount="1">
  <autoFilter ref="A1:L20" xr:uid="{708D32DA-5224-4F84-8DA8-27B431D82511}"/>
  <tableColumns count="12">
    <tableColumn id="1" xr3:uid="{36542D32-57B7-410E-AAEA-7FCDCA6E79C3}" uniqueName="1" name="Column1" totalsRowFunction="average" queryTableFieldId="1"/>
    <tableColumn id="2" xr3:uid="{A27416D9-DDCD-49FC-BCF8-A8111E946F00}" uniqueName="2" name="Column2" totalsRowFunction="average" queryTableFieldId="2"/>
    <tableColumn id="3" xr3:uid="{8619ACC9-0B0D-4DE0-94DD-03CAD941E783}" uniqueName="3" name="Column3" totalsRowFunction="average" queryTableFieldId="3"/>
    <tableColumn id="4" xr3:uid="{222A6D00-E7F5-4F2E-94FF-B6ED80661149}" uniqueName="4" name="Column4" totalsRowFunction="average" queryTableFieldId="4"/>
    <tableColumn id="5" xr3:uid="{35D37B25-5F95-4141-AE4D-55F6F0BAAC22}" uniqueName="5" name="Column5" totalsRowFunction="average" queryTableFieldId="5"/>
    <tableColumn id="6" xr3:uid="{8E511457-5376-4FA0-9C77-58218CC87579}" uniqueName="6" name="Column6" totalsRowFunction="average" queryTableFieldId="6"/>
    <tableColumn id="7" xr3:uid="{F0B74860-1B08-4579-BA4A-5146BE31AE83}" uniqueName="7" name="Column7" totalsRowFunction="average" queryTableFieldId="7"/>
    <tableColumn id="8" xr3:uid="{BC34312F-2360-45FB-B65A-CB4EEAFDBF10}" uniqueName="8" name="Column8" totalsRowFunction="average" queryTableFieldId="8"/>
    <tableColumn id="9" xr3:uid="{173EFC49-98A8-4AE4-B432-ED23D4A20A79}" uniqueName="9" name="Column9" totalsRowFunction="average" queryTableFieldId="9"/>
    <tableColumn id="10" xr3:uid="{A5180875-8192-4AB8-9816-39DA68B96C82}" uniqueName="10" name="Column10" totalsRowFunction="average" queryTableFieldId="10"/>
    <tableColumn id="11" xr3:uid="{6AD2664C-D6A3-4F12-9884-D6D65120E183}" uniqueName="11" name="Column11" totalsRowFunction="average" queryTableFieldId="11"/>
    <tableColumn id="12" xr3:uid="{DA9C0B19-0D6F-4FC4-A382-85955FE605AC}" uniqueName="12" name="Column12" totalsRowFunction="average" queryTableFieldId="12"/>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CFA9B63-DC3B-4782-AAAF-5A2ECC40E96B}" name="temp6" displayName="temp6" ref="A1:L21" tableType="queryTable" totalsRowCount="1">
  <autoFilter ref="A1:L20" xr:uid="{4CFA9B63-DC3B-4782-AAAF-5A2ECC40E96B}"/>
  <tableColumns count="12">
    <tableColumn id="1" xr3:uid="{47C9F96A-3DA4-4E20-8F4A-FB2D8F6A7B78}" uniqueName="1" name="Column1" totalsRowFunction="average" queryTableFieldId="1"/>
    <tableColumn id="2" xr3:uid="{19B0180B-6189-49B4-A8D9-891E72040E39}" uniqueName="2" name="Column2" totalsRowFunction="average" queryTableFieldId="2"/>
    <tableColumn id="3" xr3:uid="{C82A7A3B-9319-4B4B-A09D-8877EF5A4F29}" uniqueName="3" name="Column3" totalsRowFunction="average" queryTableFieldId="3"/>
    <tableColumn id="4" xr3:uid="{724F45B3-AC41-4FD7-A87A-1023CA4A11A0}" uniqueName="4" name="Column4" totalsRowFunction="average" queryTableFieldId="4"/>
    <tableColumn id="5" xr3:uid="{D4D3C9BC-027A-4BB0-916C-C8380F6D2CC5}" uniqueName="5" name="Column5" totalsRowFunction="average" queryTableFieldId="5"/>
    <tableColumn id="6" xr3:uid="{C53485F8-A573-4A03-A2EF-6AC628A4195A}" uniqueName="6" name="Column6" totalsRowFunction="average" queryTableFieldId="6"/>
    <tableColumn id="7" xr3:uid="{965CCBAC-CAEF-4EC2-82BA-817B38A31BD7}" uniqueName="7" name="Column7" totalsRowFunction="average" queryTableFieldId="7"/>
    <tableColumn id="8" xr3:uid="{CEB17EA9-CA3F-4303-A3A9-447B544AAFBA}" uniqueName="8" name="Column8" totalsRowFunction="average" queryTableFieldId="8"/>
    <tableColumn id="9" xr3:uid="{37486D48-CF9F-4502-B2D3-765FAD0C474B}" uniqueName="9" name="Column9" totalsRowFunction="average" queryTableFieldId="9"/>
    <tableColumn id="10" xr3:uid="{E3FC5AE1-8CA9-48DA-802C-9C97622DE4EE}" uniqueName="10" name="Column10" totalsRowFunction="average" queryTableFieldId="10"/>
    <tableColumn id="11" xr3:uid="{9BC29FAE-252A-4377-AAFD-7DC1AD80387C}" uniqueName="11" name="Column11" totalsRowFunction="average" queryTableFieldId="11"/>
    <tableColumn id="12" xr3:uid="{E0F16066-F89A-4F6B-B72F-367A3E02A1C7}" uniqueName="12" name="Column12" totalsRowFunction="average"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9197CD-E8B8-4F3F-8ACF-7D8BB74725CD}" name="temp23" displayName="temp23" ref="A1:L21" tableType="queryTable" totalsRowCount="1">
  <autoFilter ref="A1:L20" xr:uid="{BC9197CD-E8B8-4F3F-8ACF-7D8BB74725CD}"/>
  <tableColumns count="12">
    <tableColumn id="1" xr3:uid="{0AE641ED-4735-460B-A325-A1558C5CEFAB}" uniqueName="1" name="Column1" totalsRowFunction="average" queryTableFieldId="1"/>
    <tableColumn id="2" xr3:uid="{915716A8-FF12-4A0B-82D2-2743D3D0BE5E}" uniqueName="2" name="Column2" totalsRowFunction="average" queryTableFieldId="2"/>
    <tableColumn id="3" xr3:uid="{EC005303-C058-4EE3-B4BE-3E1E2FC9AB69}" uniqueName="3" name="Column3" totalsRowFunction="average" queryTableFieldId="3"/>
    <tableColumn id="4" xr3:uid="{260203F9-5D9E-4A8B-A249-9C94B485A1D2}" uniqueName="4" name="Column4" totalsRowFunction="average" queryTableFieldId="4"/>
    <tableColumn id="5" xr3:uid="{E1D83FAA-3B40-4CFB-8F24-4D70AF7C4DA1}" uniqueName="5" name="Column5" totalsRowFunction="average" queryTableFieldId="5"/>
    <tableColumn id="6" xr3:uid="{070D4919-BA12-4950-ACED-9FAD2526DB14}" uniqueName="6" name="Column6" totalsRowFunction="average" queryTableFieldId="6"/>
    <tableColumn id="7" xr3:uid="{CB9313D9-70C9-4E3A-8E9A-950E90130CC7}" uniqueName="7" name="Column7" totalsRowFunction="average" queryTableFieldId="7"/>
    <tableColumn id="8" xr3:uid="{E0F4C50F-25DD-41FB-94D3-C487B6D1631D}" uniqueName="8" name="Column8" totalsRowFunction="average" queryTableFieldId="8"/>
    <tableColumn id="9" xr3:uid="{C1ABCC2A-7195-47DA-9636-DF3CCC959E4F}" uniqueName="9" name="Column9" totalsRowFunction="average" queryTableFieldId="9"/>
    <tableColumn id="10" xr3:uid="{22463C07-AF82-437B-B18B-7E4D07060CE1}" uniqueName="10" name="Column10" totalsRowFunction="average" queryTableFieldId="10"/>
    <tableColumn id="11" xr3:uid="{C3AFADC5-33B5-4668-853E-0F61247D3082}" uniqueName="11" name="Column11" totalsRowFunction="average" queryTableFieldId="11"/>
    <tableColumn id="12" xr3:uid="{BC35E515-E2AE-44EE-B289-1DCDF6163C2A}" uniqueName="12" name="Column12" totalsRowFunction="average" queryTableFieldId="12"/>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4916F3-9C3F-48D3-B373-798BED44D353}" name="temp5" displayName="temp5" ref="A1:L21" tableType="queryTable" totalsRowCount="1">
  <autoFilter ref="A1:L20" xr:uid="{214916F3-9C3F-48D3-B373-798BED44D353}"/>
  <tableColumns count="12">
    <tableColumn id="1" xr3:uid="{9709079E-9D5A-43B2-9459-E70AA79BBB7C}" uniqueName="1" name="Column1" totalsRowFunction="average" queryTableFieldId="1"/>
    <tableColumn id="2" xr3:uid="{9645FCA2-B952-4F93-9031-FEBEB02354DC}" uniqueName="2" name="Column2" totalsRowFunction="average" queryTableFieldId="2"/>
    <tableColumn id="3" xr3:uid="{2CFEDE13-7F75-4B48-9B71-5B694DD5D0DE}" uniqueName="3" name="Column3" totalsRowFunction="average" queryTableFieldId="3"/>
    <tableColumn id="4" xr3:uid="{0DAC4892-F542-4644-9A0A-E29B27C05BA7}" uniqueName="4" name="Column4" totalsRowFunction="average" queryTableFieldId="4"/>
    <tableColumn id="5" xr3:uid="{C7075F45-2371-4601-8616-9F4006C0EF45}" uniqueName="5" name="Column5" totalsRowFunction="average" queryTableFieldId="5"/>
    <tableColumn id="6" xr3:uid="{141C804D-0344-4575-9784-C7EB50C7165E}" uniqueName="6" name="Column6" totalsRowFunction="average" queryTableFieldId="6"/>
    <tableColumn id="7" xr3:uid="{FCF48C64-5199-4395-8E05-6C637AD7E106}" uniqueName="7" name="Column7" totalsRowFunction="average" queryTableFieldId="7"/>
    <tableColumn id="8" xr3:uid="{04881343-8D39-473C-AC1F-6CD35D4075DF}" uniqueName="8" name="Column8" totalsRowFunction="average" queryTableFieldId="8"/>
    <tableColumn id="9" xr3:uid="{7A2AEE3D-735F-4522-8BB6-D8A9C5DF5E7B}" uniqueName="9" name="Column9" totalsRowFunction="average" queryTableFieldId="9"/>
    <tableColumn id="10" xr3:uid="{E490ECAB-ABA9-4C31-83AB-D052D6AE7653}" uniqueName="10" name="Column10" totalsRowFunction="average" queryTableFieldId="10"/>
    <tableColumn id="11" xr3:uid="{E8F5A29A-BEF3-41C4-8D9E-303C41584224}" uniqueName="11" name="Column11" totalsRowFunction="average" queryTableFieldId="11"/>
    <tableColumn id="12" xr3:uid="{CF3951B5-0DED-43F1-BE1C-BC376A3A9A3A}" uniqueName="12" name="Column12" totalsRowFunction="average" queryTableFieldId="12"/>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7CF118-5BEB-4323-AE8D-1C6CFF479DD1}" name="temp4" displayName="temp4" ref="A1:L21" tableType="queryTable" totalsRowCount="1">
  <autoFilter ref="A1:L20" xr:uid="{6F7CF118-5BEB-4323-AE8D-1C6CFF479DD1}"/>
  <tableColumns count="12">
    <tableColumn id="1" xr3:uid="{1A86AFF6-8A5C-422E-B6A6-29C9C87872E7}" uniqueName="1" name="Column1" totalsRowFunction="average" queryTableFieldId="1"/>
    <tableColumn id="2" xr3:uid="{35B99C32-A29C-4CFF-A32D-82FE081C7D0B}" uniqueName="2" name="Column2" totalsRowFunction="average" queryTableFieldId="2"/>
    <tableColumn id="3" xr3:uid="{4F1A16AF-BE87-44B9-A6E3-401D85383757}" uniqueName="3" name="Column3" totalsRowFunction="average" queryTableFieldId="3"/>
    <tableColumn id="4" xr3:uid="{99B72F37-6167-4793-890A-A1A3E9D6D40A}" uniqueName="4" name="Column4" totalsRowFunction="average" queryTableFieldId="4"/>
    <tableColumn id="5" xr3:uid="{30D66D61-3924-4AAF-B6D3-95FFF8C8170B}" uniqueName="5" name="Column5" totalsRowFunction="average" queryTableFieldId="5"/>
    <tableColumn id="6" xr3:uid="{A3C8E1B3-C7C0-4883-8897-8CF0E537FB2B}" uniqueName="6" name="Column6" totalsRowFunction="average" queryTableFieldId="6"/>
    <tableColumn id="7" xr3:uid="{18D9209C-7FD2-4732-B713-268088BE0D67}" uniqueName="7" name="Column7" totalsRowFunction="average" queryTableFieldId="7"/>
    <tableColumn id="8" xr3:uid="{390D164C-66F0-4A3E-9A3A-4A58B09A0060}" uniqueName="8" name="Column8" totalsRowFunction="average" queryTableFieldId="8"/>
    <tableColumn id="9" xr3:uid="{0443FDEF-826C-41AD-A7B8-C44C5B6C5760}" uniqueName="9" name="Column9" totalsRowFunction="average" queryTableFieldId="9"/>
    <tableColumn id="10" xr3:uid="{52DA553F-F7D8-472A-9EDB-3519490CB3B0}" uniqueName="10" name="Column10" totalsRowFunction="average" queryTableFieldId="10"/>
    <tableColumn id="11" xr3:uid="{E82D8E03-D413-4D24-A180-BF73A0DBCE87}" uniqueName="11" name="Column11" totalsRowFunction="average" queryTableFieldId="11"/>
    <tableColumn id="12" xr3:uid="{EAE4BDD2-10A5-4E77-AC68-609F6645D127}" uniqueName="12" name="Column12" totalsRowFunction="average" queryTableFieldId="12"/>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731D10-EE97-4282-872C-607E89A4C32C}" name="temp3" displayName="temp3" ref="A1:L21" tableType="queryTable" totalsRowCount="1">
  <autoFilter ref="A1:L20" xr:uid="{0F731D10-EE97-4282-872C-607E89A4C32C}"/>
  <tableColumns count="12">
    <tableColumn id="1" xr3:uid="{625D9BE1-42D6-4AB7-882F-98597A7140CE}" uniqueName="1" name="Column1" totalsRowFunction="average" queryTableFieldId="1"/>
    <tableColumn id="2" xr3:uid="{7BF4C01B-4D74-4BA5-9B41-E5A3F3CAD0B8}" uniqueName="2" name="Column2" totalsRowFunction="average" queryTableFieldId="2"/>
    <tableColumn id="3" xr3:uid="{8A69A934-8F62-45FB-BA4B-7AE235DA3CFE}" uniqueName="3" name="Column3" totalsRowFunction="average" queryTableFieldId="3"/>
    <tableColumn id="4" xr3:uid="{7ED6A63A-663B-46BC-8912-3048469B3C9B}" uniqueName="4" name="Column4" totalsRowFunction="average" queryTableFieldId="4"/>
    <tableColumn id="5" xr3:uid="{CBD13B87-72E8-4802-80C8-3C335DD5A787}" uniqueName="5" name="Column5" totalsRowFunction="average" queryTableFieldId="5"/>
    <tableColumn id="6" xr3:uid="{95A7BD67-F392-4993-A34D-04664B774F0B}" uniqueName="6" name="Column6" totalsRowFunction="average" queryTableFieldId="6"/>
    <tableColumn id="7" xr3:uid="{E239E8C9-08A9-4C1A-980E-1B2B47C00028}" uniqueName="7" name="Column7" totalsRowFunction="average" queryTableFieldId="7"/>
    <tableColumn id="8" xr3:uid="{2AE272B2-C6B0-4F15-A9ED-FE32823A500F}" uniqueName="8" name="Column8" totalsRowFunction="average" queryTableFieldId="8"/>
    <tableColumn id="9" xr3:uid="{DEB541C8-E67B-47CF-97C0-58C040F37122}" uniqueName="9" name="Column9" totalsRowFunction="average" queryTableFieldId="9"/>
    <tableColumn id="10" xr3:uid="{577E7941-7F0F-4410-9C0E-364ACC912ABD}" uniqueName="10" name="Column10" totalsRowFunction="average" queryTableFieldId="10"/>
    <tableColumn id="11" xr3:uid="{ABF824CC-7600-4076-93BD-AB1C1A9701F3}" uniqueName="11" name="Column11" totalsRowFunction="average" queryTableFieldId="11"/>
    <tableColumn id="12" xr3:uid="{9967D096-83BA-443D-B71A-08A9B910323C}" uniqueName="12" name="Column12" totalsRowFunction="average" queryTableFieldId="12"/>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2E9FAB-8084-4199-A847-999656E9C152}" name="temp2" displayName="temp2" ref="A1:L21" tableType="queryTable" totalsRowCount="1">
  <autoFilter ref="A1:L20" xr:uid="{062E9FAB-8084-4199-A847-999656E9C152}"/>
  <tableColumns count="12">
    <tableColumn id="1" xr3:uid="{9F25F2DE-BE98-4D16-AC3B-38E5B64C0D91}" uniqueName="1" name="Column1" totalsRowFunction="average" queryTableFieldId="1"/>
    <tableColumn id="2" xr3:uid="{CB3072E7-1159-4EC9-B34F-905C3633EC43}" uniqueName="2" name="Column2" totalsRowFunction="average" queryTableFieldId="2"/>
    <tableColumn id="3" xr3:uid="{CFB6F2A8-6FC8-45E9-84BB-3D27C846571C}" uniqueName="3" name="Column3" totalsRowFunction="average" queryTableFieldId="3"/>
    <tableColumn id="4" xr3:uid="{5262EDC0-8DBF-4540-8423-34E9DC640D0E}" uniqueName="4" name="Column4" totalsRowFunction="average" queryTableFieldId="4"/>
    <tableColumn id="5" xr3:uid="{83437218-4A29-40A3-8008-360FCC860518}" uniqueName="5" name="Column5" totalsRowFunction="average" queryTableFieldId="5"/>
    <tableColumn id="6" xr3:uid="{2F7B97E4-3E66-4F5A-B14B-206656AED8AD}" uniqueName="6" name="Column6" totalsRowFunction="average" queryTableFieldId="6"/>
    <tableColumn id="7" xr3:uid="{90AA9649-D2BC-4682-A098-F83718E5C736}" uniqueName="7" name="Column7" totalsRowFunction="average" queryTableFieldId="7"/>
    <tableColumn id="8" xr3:uid="{77F7FAC6-022E-4DBD-81CA-2C72DAF12817}" uniqueName="8" name="Column8" totalsRowFunction="average" queryTableFieldId="8"/>
    <tableColumn id="9" xr3:uid="{BA732ADE-1934-4776-B395-157DCF8EB59D}" uniqueName="9" name="Column9" totalsRowFunction="average" queryTableFieldId="9"/>
    <tableColumn id="10" xr3:uid="{BD67331C-DBCD-4442-B48F-6EB9570CE12A}" uniqueName="10" name="Column10" totalsRowFunction="average" queryTableFieldId="10"/>
    <tableColumn id="11" xr3:uid="{DBEA8E3F-322C-4B66-874E-F93BBF7B2945}" uniqueName="11" name="Column11" totalsRowFunction="average" queryTableFieldId="11"/>
    <tableColumn id="12" xr3:uid="{ED034B44-6F09-4D04-965C-D26B4616B641}" uniqueName="12" name="Column12" totalsRowFunction="average" queryTableFieldId="12"/>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C8027B-23EC-4B3C-83EE-A2EB71C2AE16}" name="temp1" displayName="temp1" ref="A1:L21" tableType="queryTable" totalsRowCount="1">
  <autoFilter ref="A1:L20" xr:uid="{F3C8027B-23EC-4B3C-83EE-A2EB71C2AE16}"/>
  <tableColumns count="12">
    <tableColumn id="1" xr3:uid="{0E0AB3DC-4CB2-42E3-A438-27D1EAE93360}" uniqueName="1" name="Column1" queryTableFieldId="1"/>
    <tableColumn id="2" xr3:uid="{175C3ADC-7AAE-4F73-B605-01C15FA72034}" uniqueName="2" name="Column2" queryTableFieldId="2"/>
    <tableColumn id="3" xr3:uid="{2007BA1B-B25A-481F-9C82-7F4EE12ED1FA}" uniqueName="3" name="Column3" queryTableFieldId="3"/>
    <tableColumn id="4" xr3:uid="{5CCC19EF-2591-4AD1-8670-D568D0E71E18}" uniqueName="4" name="Column4" queryTableFieldId="4"/>
    <tableColumn id="5" xr3:uid="{694CC807-5E49-4EE4-9850-FA33736C4250}" uniqueName="5" name="Column5" queryTableFieldId="5"/>
    <tableColumn id="6" xr3:uid="{3F3DE59A-9A32-4B86-B165-018F9B5E0890}" uniqueName="6" name="Column6" queryTableFieldId="6"/>
    <tableColumn id="7" xr3:uid="{B7D64E01-AFBC-4A44-A2EE-3C4F2AD0123B}" uniqueName="7" name="Column7" queryTableFieldId="7"/>
    <tableColumn id="8" xr3:uid="{E2638111-CDB6-438B-9C00-0F2B416B3D0B}" uniqueName="8" name="Column8" queryTableFieldId="8"/>
    <tableColumn id="9" xr3:uid="{B03FF991-BE17-4582-BFCD-370A64F57451}" uniqueName="9" name="Column9" queryTableFieldId="9"/>
    <tableColumn id="10" xr3:uid="{3A544987-3C69-40A2-A804-F9B2CCCC6F9D}" uniqueName="10" name="Column10" queryTableFieldId="10"/>
    <tableColumn id="11" xr3:uid="{8453C059-33B0-4F84-B0C0-2F533638EC26}" uniqueName="11" name="Column11" queryTableFieldId="11"/>
    <tableColumn id="12" xr3:uid="{C21FF93C-3BEB-4351-86EC-4FAAAA8327B0}" uniqueName="12" name="Column12" queryTableFieldId="12"/>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AFB43D6-EAF6-404E-A43A-2501613E3F45}" name="data" displayName="data" ref="A1:M458" tableType="queryTable" totalsRowCount="1">
  <autoFilter ref="A1:M457" xr:uid="{9AFB43D6-EAF6-404E-A43A-2501613E3F45}"/>
  <tableColumns count="13">
    <tableColumn id="1" xr3:uid="{21242882-B664-43F4-AE4A-7FF235691DD5}" uniqueName="1" name="Source.Name" totalsRowLabel="Average" queryTableFieldId="1" dataDxfId="7"/>
    <tableColumn id="2" xr3:uid="{41B86726-7062-4A63-B6E8-4EA979C9A04B}" uniqueName="2" name="Column1" totalsRowFunction="average" queryTableFieldId="2"/>
    <tableColumn id="3" xr3:uid="{CB570D9B-5A1A-40EC-8944-5194AB488D77}" uniqueName="3" name="Column2" totalsRowFunction="average" queryTableFieldId="3"/>
    <tableColumn id="4" xr3:uid="{8D9BE569-6EA3-43C6-893C-5A3E73DA3BA3}" uniqueName="4" name="Column3" totalsRowFunction="average" queryTableFieldId="4"/>
    <tableColumn id="5" xr3:uid="{9018FB78-09C3-485C-B4B5-6AD25B17691A}" uniqueName="5" name="Column4" totalsRowFunction="average" queryTableFieldId="5"/>
    <tableColumn id="6" xr3:uid="{E9B8E6C0-412B-4A73-BAD2-036F74AE02AE}" uniqueName="6" name="Column5" totalsRowFunction="average" queryTableFieldId="6"/>
    <tableColumn id="7" xr3:uid="{948F8D3B-EDEA-4222-843E-CFC027C92740}" uniqueName="7" name="Column6" totalsRowFunction="average" queryTableFieldId="7"/>
    <tableColumn id="8" xr3:uid="{C6CBA850-6FBA-4DC3-AE4C-376110A49FF3}" uniqueName="8" name="Column7" totalsRowFunction="average" queryTableFieldId="8"/>
    <tableColumn id="9" xr3:uid="{10B96B68-F637-4D0D-ADE8-65BEACEF75ED}" uniqueName="9" name="Column8" totalsRowFunction="average" queryTableFieldId="9"/>
    <tableColumn id="10" xr3:uid="{B1F8FECF-343A-4942-BD50-2EFBBF4E989C}" uniqueName="10" name="Column9" totalsRowFunction="average" queryTableFieldId="10"/>
    <tableColumn id="11" xr3:uid="{0D8D6824-87F5-40F7-906D-FEE30F649B76}" uniqueName="11" name="Column10" totalsRowFunction="average" queryTableFieldId="11"/>
    <tableColumn id="12" xr3:uid="{7FD186FD-E353-41D6-9718-10304969EA87}" uniqueName="12" name="Column11" totalsRowFunction="average" queryTableFieldId="12"/>
    <tableColumn id="13" xr3:uid="{76F43BC1-ACE7-489C-B8DE-D57D60C7D55A}" uniqueName="13" name="Column12" totalsRowFunction="average" queryTableFieldId="13"/>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C66C6F3-3915-4632-A6C8-DDDA80FBAECE}" name="drive_download_20240415T144529Z_001" displayName="drive_download_20240415T144529Z_001" ref="A1:M458" tableType="queryTable" totalsRowCount="1">
  <autoFilter ref="A1:M457" xr:uid="{DC66C6F3-3915-4632-A6C8-DDDA80FBAECE}"/>
  <tableColumns count="13">
    <tableColumn id="1" xr3:uid="{5FC4EE92-AA8F-468C-BBA9-894BE9B78728}" uniqueName="1" name="Source.Name" totalsRowLabel="Average" queryTableFieldId="1" dataDxfId="6"/>
    <tableColumn id="2" xr3:uid="{189306E4-07BF-44E2-B23A-2229AE930F24}" uniqueName="2" name="deaths" totalsRowFunction="custom" queryTableFieldId="2">
      <totalsRowFormula>SUBTOTAL(101,drive_download_20240415T144529Z_001[deaths])</totalsRowFormula>
    </tableColumn>
    <tableColumn id="3" xr3:uid="{03AE5352-68A5-423E-B0B9-748C5918F951}" uniqueName="3" name="frustlevel" totalsRowFunction="custom" queryTableFieldId="3">
      <totalsRowFormula>SUBTOTAL(101,drive_download_20240415T144529Z_001[frustlevel])</totalsRowFormula>
    </tableColumn>
    <tableColumn id="4" xr3:uid="{49F0AA2C-6CA2-425E-AAD0-DD1FCDE04A0E}" uniqueName="4" name="skipped" totalsRowFunction="custom" queryTableFieldId="4">
      <totalsRowFormula>SUBTOTAL(101,drive_download_20240415T144529Z_001[skipped])</totalsRowFormula>
    </tableColumn>
    <tableColumn id="5" xr3:uid="{BA102D65-4A2D-4D16-A864-EE8648E9CB97}" uniqueName="5" name="dodges" totalsRowFunction="custom" queryTableFieldId="5">
      <totalsRowFormula>SUBTOTAL(101,drive_download_20240415T144529Z_001[dodges])</totalsRowFormula>
    </tableColumn>
    <tableColumn id="6" xr3:uid="{0AB7705C-3C0C-4A26-A2C5-2420567A03E9}" uniqueName="6" name="sprintes" totalsRowFunction="custom" queryTableFieldId="6">
      <totalsRowFormula>SUBTOTAL(101,drive_download_20240415T144529Z_001[sprintes])</totalsRowFormula>
    </tableColumn>
    <tableColumn id="7" xr3:uid="{572B3596-DFC2-4C4E-953C-B06ED2BA3446}" uniqueName="7" name="ttk" totalsRowFunction="average" queryTableFieldId="7"/>
    <tableColumn id="8" xr3:uid="{6A6484A6-B2F7-4741-A6B6-0ED0395DEAE7}" uniqueName="8" name="damagetotal" totalsRowFunction="custom" queryTableFieldId="8">
      <totalsRowFormula>SUBTOTAL(101,drive_download_20240415T144529Z_001[damagetotal])</totalsRowFormula>
    </tableColumn>
    <tableColumn id="9" xr3:uid="{649B1582-40E2-4FE0-B8AC-1863D57E5987}" uniqueName="9" name="twohandend" totalsRowFunction="custom" queryTableFieldId="9">
      <totalsRowFormula>SUBTOTAL(101,drive_download_20240415T144529Z_001[twohandend])</totalsRowFormula>
    </tableColumn>
    <tableColumn id="10" xr3:uid="{E26BF3EA-475E-49E0-B6B7-6110278944E8}" uniqueName="10" name="lockons" totalsRowFunction="custom" queryTableFieldId="10">
      <totalsRowFormula>SUBTOTAL(101,drive_download_20240415T144529Z_001[lockons])</totalsRowFormula>
    </tableColumn>
    <tableColumn id="11" xr3:uid="{621E95A3-8468-4D60-849F-63A20A0DD0E9}" uniqueName="11" name="consumeable" totalsRowFunction="custom" queryTableFieldId="11">
      <totalsRowFormula>SUBTOTAL(101,drive_download_20240415T144529Z_001[consumeable])</totalsRowFormula>
    </tableColumn>
    <tableColumn id="12" xr3:uid="{E5E66F5A-46E1-4092-B0B1-01584A5592F7}" uniqueName="12" name="light" totalsRowFunction="custom" queryTableFieldId="12">
      <totalsRowFormula>SUBTOTAL(101,drive_download_20240415T144529Z_001[light])</totalsRowFormula>
    </tableColumn>
    <tableColumn id="13" xr3:uid="{8A588048-39D4-48B0-B6B2-D730E9535469}" uniqueName="13" name="heavy" totalsRowFunction="custom" queryTableFieldId="13">
      <totalsRowFormula>SUBTOTAL(101,drive_download_20240415T144529Z_001[heavy])</totalsRowFormula>
    </tableColumn>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CB97DE1-BAF2-4C84-9CB3-00C66F4BFF7A}" name="Table28" displayName="Table28" ref="O488:Q499" totalsRowShown="0">
  <autoFilter ref="O488:Q499" xr:uid="{ACB97DE1-BAF2-4C84-9CB3-00C66F4BFF7A}"/>
  <tableColumns count="3">
    <tableColumn id="1" xr3:uid="{975AFBAF-37F4-4330-B451-23F5858D23DB}" name="column" dataDxfId="5"/>
    <tableColumn id="2" xr3:uid="{B00995F7-FDEF-4925-94F4-A6809F4471DD}" name="Korelationskoeffizeint"/>
    <tableColumn id="3" xr3:uid="{E0596C27-D751-410D-8328-EE2E6B8B50F2}" name="Column1" dataDxfId="4"/>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0887F2D-6EEB-41BF-8569-CBD014D1F0B3}" name="Table29" displayName="Table29" ref="AC549:AO553" totalsRowShown="0">
  <autoFilter ref="AC549:AO553" xr:uid="{40887F2D-6EEB-41BF-8569-CBD014D1F0B3}"/>
  <tableColumns count="13">
    <tableColumn id="1" xr3:uid="{F422A907-7936-44ED-AF6D-BAA1F24D3BE3}" name="Erfahrung"/>
    <tableColumn id="2" xr3:uid="{ABA134B9-F17C-4049-BF23-A5E7893E2282}" name="deaths"/>
    <tableColumn id="3" xr3:uid="{698705EF-FF44-48EA-9354-657F63ED20A5}" name="frustlevel"/>
    <tableColumn id="4" xr3:uid="{9CBBCC6C-64A0-4EB8-8E39-DCFBDF608FE9}" name="skipped"/>
    <tableColumn id="5" xr3:uid="{ACC532E5-E14F-4229-8C06-532F7787F1A6}" name="dodges"/>
    <tableColumn id="6" xr3:uid="{BE5A11BD-59DD-472D-B3E4-5A3439C843EF}" name="sprintes"/>
    <tableColumn id="7" xr3:uid="{BF83EAF6-550C-46E0-AD5A-CE5B8303ACD2}" name="ttk"/>
    <tableColumn id="8" xr3:uid="{870DF31B-1DF0-47F2-8B07-5164740C4273}" name="damagetotal"/>
    <tableColumn id="9" xr3:uid="{F839CE4F-7855-4EDC-9DC4-F3199CCEE53A}" name="twohandend"/>
    <tableColumn id="10" xr3:uid="{5D94DB32-2BF6-4D9D-960D-8B60BE98A6EE}" name="lockons"/>
    <tableColumn id="11" xr3:uid="{84C18F6C-6D1D-43F5-943B-C5FC20ABF776}" name="consumeable"/>
    <tableColumn id="12" xr3:uid="{71404A00-982F-4859-A019-64169AF3E37D}" name="light"/>
    <tableColumn id="13" xr3:uid="{D535C28F-7F2B-4DBB-B008-1A87D9A23337}" name="heavy"/>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204D0CB-690C-42F0-881A-17D08489BEED}" name="Table30" displayName="Table30" ref="AD440:AP459" totalsRowShown="0">
  <autoFilter ref="AD440:AP459" xr:uid="{6204D0CB-690C-42F0-881A-17D08489BEED}"/>
  <tableColumns count="13">
    <tableColumn id="1" xr3:uid="{A0E5732B-A55D-4A88-802A-4D3BF2E205FE}" name="Name"/>
    <tableColumn id="2" xr3:uid="{68003C82-C3D9-44F8-AB8F-AF402ECAD767}" name="deaths"/>
    <tableColumn id="3" xr3:uid="{8F399E5B-E8D2-43E5-ABDB-3E977AD5A880}" name="frustlevel"/>
    <tableColumn id="4" xr3:uid="{BB264513-B8E6-487A-89A8-55DF2C46B977}" name="skipped"/>
    <tableColumn id="5" xr3:uid="{414DE328-A6D9-4160-96AE-F6A7B76C1EDF}" name="dodges"/>
    <tableColumn id="6" xr3:uid="{B6730FAB-EA3D-420C-A730-AE318ABABE5E}" name="sprintes"/>
    <tableColumn id="7" xr3:uid="{0269C9B7-9031-4623-8EDC-900DF6188868}" name="ttk"/>
    <tableColumn id="8" xr3:uid="{B2DCB835-4F23-4550-B254-CC0BD8C1D666}" name="damagetotal"/>
    <tableColumn id="9" xr3:uid="{DA364ACD-8578-46C9-B5C8-A2D73D45455C}" name="twohandend"/>
    <tableColumn id="10" xr3:uid="{43138D25-16A6-4577-A93D-E7F7FCAC9C57}" name="lockons"/>
    <tableColumn id="11" xr3:uid="{F6FA1E7E-6A79-4F71-958A-5707B0A1CF33}" name="consumeable"/>
    <tableColumn id="12" xr3:uid="{5B138B06-ADB0-401F-A643-4C650188D092}" name="light"/>
    <tableColumn id="13" xr3:uid="{49878688-ED79-4BD3-8D49-475484E8DDD7}" name="heav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F1F0474-30B5-42B0-8796-754C766C2752}" name="temp22" displayName="temp22" ref="A1:L21" tableType="queryTable" totalsRowCount="1">
  <autoFilter ref="A1:L20" xr:uid="{6F1F0474-30B5-42B0-8796-754C766C2752}"/>
  <tableColumns count="12">
    <tableColumn id="1" xr3:uid="{A53E9587-8ED6-48FD-9B7E-DE6A07659297}" uniqueName="1" name="Column1" totalsRowFunction="average" queryTableFieldId="1"/>
    <tableColumn id="2" xr3:uid="{751C24D9-5D3B-435B-B7A1-162B0B13BDDE}" uniqueName="2" name="Column2" totalsRowFunction="average" queryTableFieldId="2"/>
    <tableColumn id="3" xr3:uid="{6E269A85-8FFF-4961-BBE3-806ACA1F98CA}" uniqueName="3" name="Column3" totalsRowFunction="average" queryTableFieldId="3"/>
    <tableColumn id="4" xr3:uid="{C9B2E447-A622-47DB-B163-A7945C77CABF}" uniqueName="4" name="Column4" totalsRowFunction="average" queryTableFieldId="4"/>
    <tableColumn id="5" xr3:uid="{B02A64D7-C9AE-4C16-AFC7-C4DC25C76F19}" uniqueName="5" name="Column5" totalsRowFunction="average" queryTableFieldId="5"/>
    <tableColumn id="6" xr3:uid="{28DBB385-F184-4BDA-BEAB-391A03C12B25}" uniqueName="6" name="Column6" totalsRowFunction="average" queryTableFieldId="6"/>
    <tableColumn id="7" xr3:uid="{EDE9AFF3-B8BA-4C8F-BC07-0077FBAA38A6}" uniqueName="7" name="Column7" totalsRowFunction="average" queryTableFieldId="7"/>
    <tableColumn id="8" xr3:uid="{7929C1A0-1B8B-4B0C-A52C-1E7EBFA0732F}" uniqueName="8" name="Column8" totalsRowFunction="average" queryTableFieldId="8"/>
    <tableColumn id="9" xr3:uid="{AF95BD91-1766-4654-B1D1-C64D8506E1DF}" uniqueName="9" name="Column9" totalsRowFunction="average" queryTableFieldId="9"/>
    <tableColumn id="10" xr3:uid="{F76E7156-29AA-4441-9AD5-5420019A0E74}" uniqueName="10" name="Column10" totalsRowFunction="average" queryTableFieldId="10"/>
    <tableColumn id="11" xr3:uid="{544C6EAD-7167-4095-82B9-A9A02097F09E}" uniqueName="11" name="Column11" totalsRowFunction="average" queryTableFieldId="11"/>
    <tableColumn id="12" xr3:uid="{DD460145-B23A-4426-8A6A-33676746C9C3}" uniqueName="12" name="Column12" totalsRowFunction="average" queryTableFieldId="12"/>
  </tableColumns>
  <tableStyleInfo name="TableStyleMedium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356B041-64AA-4B88-8936-D5AA151EB6CC}" name="Table31" displayName="Table31" ref="Y488:Z499" totalsRowShown="0" tableBorderDxfId="3">
  <autoFilter ref="Y488:Z499" xr:uid="{5356B041-64AA-4B88-8936-D5AA151EB6CC}"/>
  <tableColumns count="2">
    <tableColumn id="1" xr3:uid="{4E7532ED-1D92-4E6E-AD87-D2BA638BCC45}" name="column" dataDxfId="2"/>
    <tableColumn id="2" xr3:uid="{5CAED798-B852-4577-8E68-8705E4E18646}" name="R²"/>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4B63FE7-F71A-40A6-B7E3-94A500F6D295}" name="Table27" displayName="Table27" ref="V120:AA140" totalsRowShown="0">
  <autoFilter ref="V120:AA140" xr:uid="{A4B63FE7-F71A-40A6-B7E3-94A500F6D295}"/>
  <tableColumns count="6">
    <tableColumn id="1" xr3:uid="{9126A835-5ABC-4D2B-92B2-F2AAF273EE43}" name="Column1"/>
    <tableColumn id="2" xr3:uid="{5A3297FE-CF12-43A3-A554-E430034308AE}" name="Column2"/>
    <tableColumn id="3" xr3:uid="{AE55B362-1C6C-4A12-A379-C658F7D27D42}" name="Column3"/>
    <tableColumn id="4" xr3:uid="{4D52F63D-E947-4ABE-A491-C58214026912}" name="Column4"/>
    <tableColumn id="5" xr3:uid="{4F109614-2901-4448-AE15-419500DD8DC6}" name="Column5"/>
    <tableColumn id="6" xr3:uid="{CD9EB352-B4B5-4145-BB1E-105568548ED2}" name="Column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7320A1E-3294-4B7E-BB61-8079885240B0}" name="temp21" displayName="temp21" ref="A1:L21" tableType="queryTable" totalsRowCount="1">
  <autoFilter ref="A1:L20" xr:uid="{F7320A1E-3294-4B7E-BB61-8079885240B0}"/>
  <tableColumns count="12">
    <tableColumn id="1" xr3:uid="{48ACC7B6-0249-4D29-AB9A-DE9C227A0709}" uniqueName="1" name="Column1" totalsRowFunction="average" queryTableFieldId="1"/>
    <tableColumn id="2" xr3:uid="{B9AF4E69-4426-425F-B939-313C659F56B5}" uniqueName="2" name="Column2" totalsRowFunction="average" queryTableFieldId="2"/>
    <tableColumn id="3" xr3:uid="{D453AC5F-09A0-444C-AD9F-0F505B8E6DB0}" uniqueName="3" name="Column3" totalsRowFunction="average" queryTableFieldId="3"/>
    <tableColumn id="4" xr3:uid="{3E902B85-6991-4C88-AEAE-9E6FBD3F3B5D}" uniqueName="4" name="Column4" totalsRowFunction="average" queryTableFieldId="4"/>
    <tableColumn id="5" xr3:uid="{00EFD35E-4219-415B-B966-E704DBE40CB5}" uniqueName="5" name="Column5" totalsRowFunction="average" queryTableFieldId="5"/>
    <tableColumn id="6" xr3:uid="{2A32F05C-2FFD-4DCA-9B8D-C9ED849C18E0}" uniqueName="6" name="Column6" totalsRowFunction="average" queryTableFieldId="6"/>
    <tableColumn id="7" xr3:uid="{E6ED1AB7-5ABD-4E56-BC49-7F552E16562A}" uniqueName="7" name="Column7" totalsRowFunction="average" queryTableFieldId="7"/>
    <tableColumn id="8" xr3:uid="{7FB705AB-8926-4E4A-86C2-C7292BFF3B74}" uniqueName="8" name="Column8" totalsRowFunction="average" queryTableFieldId="8"/>
    <tableColumn id="9" xr3:uid="{C4497385-FC09-4964-A9AC-971BAE011396}" uniqueName="9" name="Column9" totalsRowFunction="average" queryTableFieldId="9"/>
    <tableColumn id="10" xr3:uid="{1029CA6F-678D-4FE8-B8FF-DF39595E185F}" uniqueName="10" name="Column10" totalsRowFunction="average" queryTableFieldId="10"/>
    <tableColumn id="11" xr3:uid="{6AB2A3D1-2AD1-4A8B-832A-DF388BFCB296}" uniqueName="11" name="Column11" totalsRowFunction="average" queryTableFieldId="11"/>
    <tableColumn id="12" xr3:uid="{7D2AFCA7-2C32-4CF1-840C-4ECEC18C79EA}" uniqueName="12" name="Column12" totalsRowFunction="average" queryTableField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104FC10-0319-4BC3-8070-2F339BC31670}" name="temp20" displayName="temp20" ref="A1:L21" tableType="queryTable" totalsRowCount="1">
  <autoFilter ref="A1:L20" xr:uid="{A104FC10-0319-4BC3-8070-2F339BC31670}"/>
  <tableColumns count="12">
    <tableColumn id="1" xr3:uid="{E8FDE788-3145-4EDF-914B-DC752F19392A}" uniqueName="1" name="Column1" totalsRowFunction="average" queryTableFieldId="1"/>
    <tableColumn id="2" xr3:uid="{24BE36E8-1968-4F2E-A698-30B1CC7BB6A3}" uniqueName="2" name="Column2" totalsRowFunction="average" queryTableFieldId="2"/>
    <tableColumn id="3" xr3:uid="{17018044-6DDC-4DD5-83A5-B2B4D1BF7DF2}" uniqueName="3" name="Column3" totalsRowFunction="average" queryTableFieldId="3"/>
    <tableColumn id="4" xr3:uid="{F6B01762-86D8-4CDB-86FE-F12F8D6999E2}" uniqueName="4" name="Column4" totalsRowFunction="average" queryTableFieldId="4"/>
    <tableColumn id="5" xr3:uid="{7D7A142A-C520-4DB4-A7F8-160E4E3AB971}" uniqueName="5" name="Column5" totalsRowFunction="average" queryTableFieldId="5"/>
    <tableColumn id="6" xr3:uid="{C683B29A-0F07-44C9-B3F1-8F86944199AE}" uniqueName="6" name="Column6" totalsRowFunction="average" queryTableFieldId="6"/>
    <tableColumn id="7" xr3:uid="{0BB7CA2E-1F34-490E-9AE7-7061B9D15671}" uniqueName="7" name="Column7" totalsRowFunction="average" queryTableFieldId="7"/>
    <tableColumn id="8" xr3:uid="{4F9D0438-17EA-4814-83F9-F345F7A91E31}" uniqueName="8" name="Column8" totalsRowFunction="average" queryTableFieldId="8"/>
    <tableColumn id="9" xr3:uid="{B2D3D05E-4581-44C5-9291-E928BA3D8B20}" uniqueName="9" name="Column9" totalsRowFunction="average" queryTableFieldId="9"/>
    <tableColumn id="10" xr3:uid="{4F74E5E1-5065-43CE-BC53-68E94A67A715}" uniqueName="10" name="Column10" totalsRowFunction="average" queryTableFieldId="10"/>
    <tableColumn id="11" xr3:uid="{D7F42312-AEEF-467A-9529-FBA18C51906D}" uniqueName="11" name="Column11" totalsRowFunction="average" queryTableFieldId="11"/>
    <tableColumn id="12" xr3:uid="{DE94A9BC-1A55-4D29-80A3-BACE21D10113}" uniqueName="12" name="Column12" totalsRowFunction="average" queryTableFieldId="1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A8C5995-6BC2-4C8B-AD5D-F214EC64CE91}" name="temp19" displayName="temp19" ref="A1:L21" tableType="queryTable" totalsRowCount="1">
  <autoFilter ref="A1:L20" xr:uid="{9A8C5995-6BC2-4C8B-AD5D-F214EC64CE91}"/>
  <tableColumns count="12">
    <tableColumn id="1" xr3:uid="{537DF876-8AA6-4550-84CF-DC538D63735B}" uniqueName="1" name="Column1" totalsRowFunction="average" queryTableFieldId="1"/>
    <tableColumn id="2" xr3:uid="{3A32CC86-8D11-41A2-8FB3-EE74684EC0F3}" uniqueName="2" name="Column2" totalsRowFunction="average" queryTableFieldId="2"/>
    <tableColumn id="3" xr3:uid="{5D17943C-2C36-43D1-8731-7818D93D65DF}" uniqueName="3" name="Column3" totalsRowFunction="average" queryTableFieldId="3"/>
    <tableColumn id="4" xr3:uid="{9DEDBFFA-0D5D-43A1-9B41-7886B0B52A62}" uniqueName="4" name="Column4" totalsRowFunction="average" queryTableFieldId="4"/>
    <tableColumn id="5" xr3:uid="{E31931EA-AD26-40AA-B3B6-0AC37265DCC6}" uniqueName="5" name="Column5" totalsRowFunction="average" queryTableFieldId="5"/>
    <tableColumn id="6" xr3:uid="{94EFD605-16A8-41B3-9D12-E08A1316BD64}" uniqueName="6" name="Column6" totalsRowFunction="average" queryTableFieldId="6"/>
    <tableColumn id="7" xr3:uid="{68FC9829-9790-4F81-AF6A-FF179B4A7261}" uniqueName="7" name="Column7" totalsRowFunction="average" queryTableFieldId="7"/>
    <tableColumn id="8" xr3:uid="{9C8D319D-F437-4955-892B-87358C07CF39}" uniqueName="8" name="Column8" totalsRowFunction="average" queryTableFieldId="8"/>
    <tableColumn id="9" xr3:uid="{3EC15D12-BE9B-4039-8EE1-710C3DC5C6E2}" uniqueName="9" name="Column9" totalsRowFunction="average" queryTableFieldId="9"/>
    <tableColumn id="10" xr3:uid="{40591801-569B-4813-BF59-80AD03C83B3D}" uniqueName="10" name="Column10" totalsRowFunction="average" queryTableFieldId="10"/>
    <tableColumn id="11" xr3:uid="{F2DF63AA-9D67-4B3C-9F6D-292383249FCD}" uniqueName="11" name="Column11" totalsRowFunction="average" queryTableFieldId="11"/>
    <tableColumn id="12" xr3:uid="{A4D72258-2EA2-43F7-9069-9FEA6B51B894}" uniqueName="12" name="Column12" totalsRowFunction="average" queryTableFieldId="1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1D9A560-E95E-4C98-B153-471CDE287660}" name="temp18" displayName="temp18" ref="A1:L21" tableType="queryTable" totalsRowCount="1">
  <autoFilter ref="A1:L20" xr:uid="{D1D9A560-E95E-4C98-B153-471CDE287660}"/>
  <tableColumns count="12">
    <tableColumn id="1" xr3:uid="{45A968D1-779F-40C5-A538-9646F0C05186}" uniqueName="1" name="Column1" totalsRowFunction="average" queryTableFieldId="1"/>
    <tableColumn id="2" xr3:uid="{C39F72F3-113C-4F4C-B1CB-6A50DDC076B2}" uniqueName="2" name="Column2" totalsRowFunction="average" queryTableFieldId="2"/>
    <tableColumn id="3" xr3:uid="{208D286E-B32F-467C-82FC-4AC99DFFE4B2}" uniqueName="3" name="Column3" totalsRowFunction="average" queryTableFieldId="3"/>
    <tableColumn id="4" xr3:uid="{363898CD-3EE2-4A67-8C20-3BE1520C9B5C}" uniqueName="4" name="Column4" totalsRowFunction="average" queryTableFieldId="4"/>
    <tableColumn id="5" xr3:uid="{ADA1DBEA-1FF7-482F-AF7B-DEFDC002A790}" uniqueName="5" name="Column5" totalsRowFunction="average" queryTableFieldId="5"/>
    <tableColumn id="6" xr3:uid="{A8266EEC-252B-4F87-970C-D2C9D15DA806}" uniqueName="6" name="Column6" totalsRowFunction="average" queryTableFieldId="6"/>
    <tableColumn id="7" xr3:uid="{79630544-9827-493D-9086-5F2ADF8E61E3}" uniqueName="7" name="Column7" totalsRowFunction="average" queryTableFieldId="7"/>
    <tableColumn id="8" xr3:uid="{DE98FC8E-C278-48AA-BA3E-B9D692403F0D}" uniqueName="8" name="Column8" totalsRowFunction="average" queryTableFieldId="8"/>
    <tableColumn id="9" xr3:uid="{64657554-CFDD-43CB-95B5-5E08F751B558}" uniqueName="9" name="Column9" totalsRowFunction="average" queryTableFieldId="9"/>
    <tableColumn id="10" xr3:uid="{5853798E-0D4B-4E6F-957A-D5471E7F5D90}" uniqueName="10" name="Column10" totalsRowFunction="average" queryTableFieldId="10"/>
    <tableColumn id="11" xr3:uid="{809D2FA3-4BD5-42B1-AAC7-F71E77F459A0}" uniqueName="11" name="Column11" totalsRowFunction="average" queryTableFieldId="11"/>
    <tableColumn id="12" xr3:uid="{60AEDC72-5234-4E3F-BE1D-C0FE6BCFFDCA}" uniqueName="12" name="Column12" totalsRowFunction="average" queryTableFieldId="1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B94085B-9113-443C-B5E0-B0513D1DA540}" name="temp17" displayName="temp17" ref="A1:L21" tableType="queryTable" totalsRowCount="1">
  <autoFilter ref="A1:L20" xr:uid="{0B94085B-9113-443C-B5E0-B0513D1DA540}"/>
  <tableColumns count="12">
    <tableColumn id="1" xr3:uid="{BDA4A9D9-EE3B-420E-A680-F95A3F838FD4}" uniqueName="1" name="Column1" totalsRowFunction="average" queryTableFieldId="1"/>
    <tableColumn id="2" xr3:uid="{760335F8-6159-4DB2-B63A-846E02C05411}" uniqueName="2" name="Column2" totalsRowFunction="average" queryTableFieldId="2"/>
    <tableColumn id="3" xr3:uid="{2A140239-A8B6-4EEC-A20C-ADB83FD7AFA4}" uniqueName="3" name="Column3" totalsRowFunction="average" queryTableFieldId="3"/>
    <tableColumn id="4" xr3:uid="{9BD896D8-E2FD-4D02-837E-F48B020F322B}" uniqueName="4" name="Column4" totalsRowFunction="average" queryTableFieldId="4"/>
    <tableColumn id="5" xr3:uid="{55F52B00-BFD0-4AD9-98ED-F6B768508DBD}" uniqueName="5" name="Column5" totalsRowFunction="average" queryTableFieldId="5"/>
    <tableColumn id="6" xr3:uid="{2E5336B8-A827-4B76-8B66-DCFC5DB3ADA0}" uniqueName="6" name="Column6" totalsRowFunction="average" queryTableFieldId="6"/>
    <tableColumn id="7" xr3:uid="{1EDB6A56-A627-49BA-9822-AAB03BFA5212}" uniqueName="7" name="Column7" totalsRowFunction="average" queryTableFieldId="7"/>
    <tableColumn id="8" xr3:uid="{C1F0C0C7-0A0A-4463-8E9B-0AA8816ACF04}" uniqueName="8" name="Column8" totalsRowFunction="average" queryTableFieldId="8"/>
    <tableColumn id="9" xr3:uid="{E21FBA8F-CBC4-4BEC-BBA7-42EA4D5B5DEE}" uniqueName="9" name="Column9" totalsRowFunction="average" queryTableFieldId="9"/>
    <tableColumn id="10" xr3:uid="{27DA1CBA-06BE-4FC1-841F-8EFBB0942F37}" uniqueName="10" name="Column10" totalsRowFunction="average" queryTableFieldId="10"/>
    <tableColumn id="11" xr3:uid="{2347C6FC-6071-4190-BE9B-5BE21BF485F1}" uniqueName="11" name="Column11" totalsRowFunction="average" queryTableFieldId="11"/>
    <tableColumn id="12" xr3:uid="{E1CD4187-977A-4DAE-93B1-D72D9F2997C9}" uniqueName="12" name="Column12" totalsRowFunction="average" queryTableFieldId="1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8206381-CBD2-47DD-8FB8-77E16D427221}" name="temp16" displayName="temp16" ref="A1:L21" tableType="queryTable" totalsRowCount="1">
  <autoFilter ref="A1:L20" xr:uid="{B8206381-CBD2-47DD-8FB8-77E16D427221}"/>
  <tableColumns count="12">
    <tableColumn id="1" xr3:uid="{C1C1E38C-8C1C-4838-B976-D27C1EC336A1}" uniqueName="1" name="Column1" totalsRowFunction="average" queryTableFieldId="1"/>
    <tableColumn id="2" xr3:uid="{FB3BA3EB-1E5B-4B67-A045-DF03BEA3392C}" uniqueName="2" name="Column2" totalsRowFunction="average" queryTableFieldId="2"/>
    <tableColumn id="3" xr3:uid="{B438AB88-0B27-4B0C-9087-4774EADAF77A}" uniqueName="3" name="Column3" totalsRowFunction="average" queryTableFieldId="3"/>
    <tableColumn id="4" xr3:uid="{1CBF2E72-0FDB-414E-B206-2990C5DEF45C}" uniqueName="4" name="Column4" totalsRowFunction="average" queryTableFieldId="4"/>
    <tableColumn id="5" xr3:uid="{328EB8CE-3067-4842-8557-DC31F852AE98}" uniqueName="5" name="Column5" totalsRowFunction="average" queryTableFieldId="5"/>
    <tableColumn id="6" xr3:uid="{44D8B25D-A7F7-4921-84C9-E43781E539C2}" uniqueName="6" name="Column6" totalsRowFunction="average" queryTableFieldId="6"/>
    <tableColumn id="7" xr3:uid="{9735DB4E-E309-4FEF-BC1E-8BC358B9DEE0}" uniqueName="7" name="Column7" totalsRowFunction="average" queryTableFieldId="7"/>
    <tableColumn id="8" xr3:uid="{23AD92EC-D6D0-4EB6-A83B-15583FF4DD04}" uniqueName="8" name="Column8" totalsRowFunction="average" queryTableFieldId="8"/>
    <tableColumn id="9" xr3:uid="{FC84CDBF-A66C-445C-87DA-F6770FBC924B}" uniqueName="9" name="Column9" totalsRowFunction="average" queryTableFieldId="9"/>
    <tableColumn id="10" xr3:uid="{2D09B9B3-A6E6-43AB-863E-799818E86FAC}" uniqueName="10" name="Column10" totalsRowFunction="average" queryTableFieldId="10"/>
    <tableColumn id="11" xr3:uid="{4959544A-D143-4F96-AB19-B64F5458D341}" uniqueName="11" name="Column11" totalsRowFunction="average" queryTableFieldId="11"/>
    <tableColumn id="12" xr3:uid="{D25D4EFF-8246-4490-8E3E-7D92635F0762}" uniqueName="12" name="Column12" totalsRowFunction="average"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29.xml"/><Relationship Id="rId5" Type="http://schemas.openxmlformats.org/officeDocument/2006/relationships/table" Target="../tables/table28.xml"/><Relationship Id="rId4" Type="http://schemas.openxmlformats.org/officeDocument/2006/relationships/table" Target="../tables/table27.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62275-3050-4672-A4E0-095FB8C21B30}">
  <dimension ref="A1:L21"/>
  <sheetViews>
    <sheetView workbookViewId="0">
      <selection activeCell="L21" sqref="A21:L21"/>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4</v>
      </c>
      <c r="B2">
        <v>4</v>
      </c>
      <c r="C2">
        <v>0</v>
      </c>
      <c r="D2">
        <v>6</v>
      </c>
      <c r="E2">
        <v>2786</v>
      </c>
      <c r="F2">
        <v>407.62700000000001</v>
      </c>
      <c r="G2">
        <v>1160</v>
      </c>
      <c r="H2">
        <v>0</v>
      </c>
      <c r="I2">
        <v>5</v>
      </c>
      <c r="J2">
        <v>14</v>
      </c>
      <c r="K2">
        <v>217</v>
      </c>
      <c r="L2">
        <v>124</v>
      </c>
    </row>
    <row r="3" spans="1:12" x14ac:dyDescent="0.25">
      <c r="A3">
        <v>3</v>
      </c>
      <c r="B3">
        <v>2</v>
      </c>
      <c r="C3">
        <v>0</v>
      </c>
      <c r="D3">
        <v>0</v>
      </c>
      <c r="E3">
        <v>0</v>
      </c>
      <c r="F3">
        <v>206.18950000000001</v>
      </c>
      <c r="G3">
        <v>800</v>
      </c>
      <c r="H3">
        <v>4</v>
      </c>
      <c r="I3">
        <v>5</v>
      </c>
      <c r="J3">
        <v>10</v>
      </c>
      <c r="K3">
        <v>147</v>
      </c>
      <c r="L3">
        <v>0</v>
      </c>
    </row>
    <row r="4" spans="1:12" x14ac:dyDescent="0.25">
      <c r="A4">
        <v>1</v>
      </c>
      <c r="B4">
        <v>3</v>
      </c>
      <c r="C4">
        <v>0</v>
      </c>
      <c r="D4">
        <v>0</v>
      </c>
      <c r="E4">
        <v>0</v>
      </c>
      <c r="F4">
        <v>119.11020000000001</v>
      </c>
      <c r="G4">
        <v>400</v>
      </c>
      <c r="H4">
        <v>2</v>
      </c>
      <c r="I4">
        <v>2</v>
      </c>
      <c r="J4">
        <v>9</v>
      </c>
      <c r="K4">
        <v>271</v>
      </c>
      <c r="L4">
        <v>0</v>
      </c>
    </row>
    <row r="5" spans="1:12" x14ac:dyDescent="0.25">
      <c r="A5">
        <v>3</v>
      </c>
      <c r="B5">
        <v>4</v>
      </c>
      <c r="C5">
        <v>0</v>
      </c>
      <c r="D5">
        <v>3</v>
      </c>
      <c r="E5">
        <v>62</v>
      </c>
      <c r="F5">
        <v>1922961</v>
      </c>
      <c r="G5">
        <v>800</v>
      </c>
      <c r="H5">
        <v>2</v>
      </c>
      <c r="I5">
        <v>4</v>
      </c>
      <c r="J5">
        <v>13</v>
      </c>
      <c r="K5">
        <v>283</v>
      </c>
      <c r="L5">
        <v>45</v>
      </c>
    </row>
    <row r="6" spans="1:12" x14ac:dyDescent="0.25">
      <c r="A6">
        <v>1</v>
      </c>
      <c r="B6">
        <v>4</v>
      </c>
      <c r="C6">
        <v>1</v>
      </c>
      <c r="D6">
        <v>0</v>
      </c>
      <c r="E6">
        <v>0</v>
      </c>
      <c r="F6">
        <v>218.43549999999999</v>
      </c>
      <c r="G6">
        <v>480</v>
      </c>
      <c r="H6">
        <v>0</v>
      </c>
      <c r="I6">
        <v>2</v>
      </c>
      <c r="J6">
        <v>7</v>
      </c>
      <c r="K6">
        <v>55</v>
      </c>
      <c r="L6">
        <v>28</v>
      </c>
    </row>
    <row r="7" spans="1:12" x14ac:dyDescent="0.25">
      <c r="A7">
        <v>0</v>
      </c>
      <c r="B7">
        <v>4</v>
      </c>
      <c r="C7">
        <v>1</v>
      </c>
      <c r="D7">
        <v>0</v>
      </c>
      <c r="E7">
        <v>0</v>
      </c>
      <c r="F7">
        <v>1.9708630000000001E-2</v>
      </c>
      <c r="G7">
        <v>0</v>
      </c>
      <c r="H7">
        <v>0</v>
      </c>
      <c r="I7">
        <v>0</v>
      </c>
      <c r="J7">
        <v>0</v>
      </c>
      <c r="K7">
        <v>1</v>
      </c>
      <c r="L7">
        <v>0</v>
      </c>
    </row>
    <row r="8" spans="1:12" x14ac:dyDescent="0.25">
      <c r="A8">
        <v>5</v>
      </c>
      <c r="B8">
        <v>4</v>
      </c>
      <c r="C8">
        <v>1</v>
      </c>
      <c r="D8">
        <v>0</v>
      </c>
      <c r="E8">
        <v>0</v>
      </c>
      <c r="F8">
        <v>158.62260000000001</v>
      </c>
      <c r="G8">
        <v>680</v>
      </c>
      <c r="H8">
        <v>0</v>
      </c>
      <c r="I8">
        <v>6</v>
      </c>
      <c r="J8">
        <v>3</v>
      </c>
      <c r="K8">
        <v>28</v>
      </c>
      <c r="L8">
        <v>0</v>
      </c>
    </row>
    <row r="9" spans="1:12" x14ac:dyDescent="0.25">
      <c r="A9">
        <v>1</v>
      </c>
      <c r="B9">
        <v>4</v>
      </c>
      <c r="C9">
        <v>0</v>
      </c>
      <c r="D9">
        <v>0</v>
      </c>
      <c r="E9">
        <v>0</v>
      </c>
      <c r="F9">
        <v>150.0746</v>
      </c>
      <c r="G9">
        <v>360</v>
      </c>
      <c r="H9">
        <v>28</v>
      </c>
      <c r="I9">
        <v>2</v>
      </c>
      <c r="J9">
        <v>6</v>
      </c>
      <c r="K9">
        <v>56</v>
      </c>
      <c r="L9">
        <v>18</v>
      </c>
    </row>
    <row r="10" spans="1:12" x14ac:dyDescent="0.25">
      <c r="A10">
        <v>3</v>
      </c>
      <c r="B10">
        <v>3</v>
      </c>
      <c r="C10">
        <v>1</v>
      </c>
      <c r="D10">
        <v>0</v>
      </c>
      <c r="E10">
        <v>0</v>
      </c>
      <c r="F10">
        <v>56.093020000000003</v>
      </c>
      <c r="G10">
        <v>360</v>
      </c>
      <c r="H10">
        <v>0</v>
      </c>
      <c r="I10">
        <v>3</v>
      </c>
      <c r="J10">
        <v>0</v>
      </c>
      <c r="K10">
        <v>162</v>
      </c>
      <c r="L10">
        <v>3</v>
      </c>
    </row>
    <row r="11" spans="1:12" x14ac:dyDescent="0.25">
      <c r="A11">
        <v>0</v>
      </c>
      <c r="B11">
        <v>2</v>
      </c>
      <c r="C11">
        <v>0</v>
      </c>
      <c r="D11">
        <v>1</v>
      </c>
      <c r="E11">
        <v>0</v>
      </c>
      <c r="F11">
        <v>5145801</v>
      </c>
      <c r="G11">
        <v>120</v>
      </c>
      <c r="H11">
        <v>1</v>
      </c>
      <c r="I11">
        <v>1</v>
      </c>
      <c r="J11">
        <v>3</v>
      </c>
      <c r="K11">
        <v>71</v>
      </c>
      <c r="L11">
        <v>0</v>
      </c>
    </row>
    <row r="12" spans="1:12" x14ac:dyDescent="0.25">
      <c r="A12">
        <v>2</v>
      </c>
      <c r="B12">
        <v>3</v>
      </c>
      <c r="C12">
        <v>1</v>
      </c>
      <c r="D12">
        <v>0</v>
      </c>
      <c r="E12">
        <v>0</v>
      </c>
      <c r="F12">
        <v>44.688479999999998</v>
      </c>
      <c r="G12">
        <v>280</v>
      </c>
      <c r="H12">
        <v>0</v>
      </c>
      <c r="I12">
        <v>3</v>
      </c>
      <c r="J12">
        <v>4</v>
      </c>
      <c r="K12">
        <v>69</v>
      </c>
      <c r="L12">
        <v>0</v>
      </c>
    </row>
    <row r="13" spans="1:12" x14ac:dyDescent="0.25">
      <c r="A13">
        <v>2</v>
      </c>
      <c r="B13">
        <v>2</v>
      </c>
      <c r="C13">
        <v>0</v>
      </c>
      <c r="D13">
        <v>7</v>
      </c>
      <c r="E13">
        <v>43</v>
      </c>
      <c r="F13">
        <v>130.59020000000001</v>
      </c>
      <c r="G13">
        <v>560</v>
      </c>
      <c r="H13">
        <v>3</v>
      </c>
      <c r="I13">
        <v>3</v>
      </c>
      <c r="J13">
        <v>7</v>
      </c>
      <c r="K13">
        <v>207</v>
      </c>
      <c r="L13">
        <v>0</v>
      </c>
    </row>
    <row r="14" spans="1:12" x14ac:dyDescent="0.25">
      <c r="A14">
        <v>2</v>
      </c>
      <c r="B14">
        <v>4</v>
      </c>
      <c r="C14">
        <v>1</v>
      </c>
      <c r="D14">
        <v>0</v>
      </c>
      <c r="E14">
        <v>0</v>
      </c>
      <c r="F14">
        <v>40.293700000000001</v>
      </c>
      <c r="G14">
        <v>240</v>
      </c>
      <c r="H14">
        <v>0</v>
      </c>
      <c r="I14">
        <v>0</v>
      </c>
      <c r="J14">
        <v>0</v>
      </c>
      <c r="K14">
        <v>91</v>
      </c>
      <c r="L14">
        <v>0</v>
      </c>
    </row>
    <row r="15" spans="1:12" x14ac:dyDescent="0.25">
      <c r="A15">
        <v>1</v>
      </c>
      <c r="B15">
        <v>2</v>
      </c>
      <c r="C15">
        <v>1</v>
      </c>
      <c r="D15">
        <v>0</v>
      </c>
      <c r="E15">
        <v>0</v>
      </c>
      <c r="F15">
        <v>24.535160000000001</v>
      </c>
      <c r="G15">
        <v>160</v>
      </c>
      <c r="H15">
        <v>0</v>
      </c>
      <c r="I15">
        <v>2</v>
      </c>
      <c r="J15">
        <v>1</v>
      </c>
      <c r="K15">
        <v>9</v>
      </c>
      <c r="L15">
        <v>9</v>
      </c>
    </row>
    <row r="16" spans="1:12" x14ac:dyDescent="0.25">
      <c r="A16">
        <v>0</v>
      </c>
      <c r="B16">
        <v>2</v>
      </c>
      <c r="C16">
        <v>0</v>
      </c>
      <c r="D16">
        <v>9</v>
      </c>
      <c r="E16">
        <v>17</v>
      </c>
      <c r="F16">
        <v>66.193359999999998</v>
      </c>
      <c r="G16">
        <v>160</v>
      </c>
      <c r="H16">
        <v>1</v>
      </c>
      <c r="I16">
        <v>1</v>
      </c>
      <c r="J16">
        <v>4</v>
      </c>
      <c r="K16">
        <v>45</v>
      </c>
      <c r="L16">
        <v>0</v>
      </c>
    </row>
    <row r="17" spans="1:12" x14ac:dyDescent="0.25">
      <c r="A17">
        <v>0</v>
      </c>
      <c r="B17">
        <v>3</v>
      </c>
      <c r="C17">
        <v>0</v>
      </c>
      <c r="D17">
        <v>2</v>
      </c>
      <c r="E17">
        <v>9</v>
      </c>
      <c r="F17">
        <v>65.351070000000007</v>
      </c>
      <c r="G17">
        <v>160</v>
      </c>
      <c r="H17">
        <v>1</v>
      </c>
      <c r="I17">
        <v>1</v>
      </c>
      <c r="J17">
        <v>2</v>
      </c>
      <c r="K17">
        <v>23</v>
      </c>
      <c r="L17">
        <v>0</v>
      </c>
    </row>
    <row r="18" spans="1:12" x14ac:dyDescent="0.25">
      <c r="A18">
        <v>7</v>
      </c>
      <c r="B18">
        <v>4</v>
      </c>
      <c r="C18">
        <v>1</v>
      </c>
      <c r="D18">
        <v>24</v>
      </c>
      <c r="E18">
        <v>300</v>
      </c>
      <c r="F18">
        <v>232.2758</v>
      </c>
      <c r="G18">
        <v>1436</v>
      </c>
      <c r="H18">
        <v>6</v>
      </c>
      <c r="I18">
        <v>5</v>
      </c>
      <c r="J18">
        <v>21</v>
      </c>
      <c r="K18">
        <v>791</v>
      </c>
      <c r="L18">
        <v>4</v>
      </c>
    </row>
    <row r="19" spans="1:12" x14ac:dyDescent="0.25">
      <c r="A19">
        <v>4</v>
      </c>
      <c r="B19">
        <v>4</v>
      </c>
      <c r="C19">
        <v>0</v>
      </c>
      <c r="D19">
        <v>4</v>
      </c>
      <c r="E19">
        <v>19</v>
      </c>
      <c r="F19">
        <v>265.49</v>
      </c>
      <c r="G19">
        <v>1000</v>
      </c>
      <c r="H19">
        <v>5</v>
      </c>
      <c r="I19">
        <v>5</v>
      </c>
      <c r="J19">
        <v>31</v>
      </c>
      <c r="K19">
        <v>270</v>
      </c>
      <c r="L19">
        <v>4</v>
      </c>
    </row>
    <row r="20" spans="1:12" x14ac:dyDescent="0.25">
      <c r="A20">
        <v>1</v>
      </c>
      <c r="B20">
        <v>4</v>
      </c>
      <c r="C20">
        <v>1</v>
      </c>
      <c r="D20">
        <v>0</v>
      </c>
      <c r="E20">
        <v>0</v>
      </c>
      <c r="F20">
        <v>15.161379999999999</v>
      </c>
      <c r="G20">
        <v>120</v>
      </c>
      <c r="H20">
        <v>0</v>
      </c>
      <c r="I20">
        <v>1</v>
      </c>
      <c r="J20">
        <v>0</v>
      </c>
      <c r="K20">
        <v>27</v>
      </c>
      <c r="L20">
        <v>3</v>
      </c>
    </row>
    <row r="21" spans="1:12" x14ac:dyDescent="0.25">
      <c r="A21">
        <f>SUBTOTAL(101,temp24[Column1])</f>
        <v>2.1052631578947367</v>
      </c>
      <c r="B21">
        <f>SUBTOTAL(101,temp24[Column2])</f>
        <v>3.263157894736842</v>
      </c>
      <c r="C21">
        <f>SUBTOTAL(101,temp24[Column3])</f>
        <v>0.47368421052631576</v>
      </c>
      <c r="D21">
        <f>SUBTOTAL(101,temp24[Column4])</f>
        <v>2.9473684210526314</v>
      </c>
      <c r="E21">
        <f>SUBTOTAL(101,temp24[Column5])</f>
        <v>170.31578947368422</v>
      </c>
      <c r="F21">
        <f>SUBTOTAL(101,temp24[Column6])</f>
        <v>372155.93427782273</v>
      </c>
      <c r="G21">
        <f>SUBTOTAL(101,temp24[Column7])</f>
        <v>488.21052631578948</v>
      </c>
      <c r="H21">
        <f>SUBTOTAL(101,temp24[Column8])</f>
        <v>2.7894736842105261</v>
      </c>
      <c r="I21">
        <f>SUBTOTAL(101,temp24[Column9])</f>
        <v>2.6842105263157894</v>
      </c>
      <c r="J21">
        <f>SUBTOTAL(101,temp24[Column10])</f>
        <v>7.1052631578947372</v>
      </c>
      <c r="K21">
        <f>SUBTOTAL(101,temp24[Column11])</f>
        <v>148.57894736842104</v>
      </c>
      <c r="L21">
        <f>SUBTOTAL(101,temp24[Column12])</f>
        <v>12.526315789473685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FCE7C-46E5-42AF-9C11-1FE9F3851633}">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4</v>
      </c>
      <c r="B2">
        <v>2</v>
      </c>
      <c r="C2">
        <v>0</v>
      </c>
      <c r="D2">
        <v>2</v>
      </c>
      <c r="E2">
        <v>561</v>
      </c>
      <c r="F2">
        <v>314.8818</v>
      </c>
      <c r="G2">
        <v>680</v>
      </c>
      <c r="H2">
        <v>0</v>
      </c>
      <c r="I2">
        <v>5</v>
      </c>
      <c r="J2">
        <v>3</v>
      </c>
      <c r="K2">
        <v>40</v>
      </c>
      <c r="L2">
        <v>30</v>
      </c>
    </row>
    <row r="3" spans="1:12" x14ac:dyDescent="0.25">
      <c r="A3">
        <v>1</v>
      </c>
      <c r="B3">
        <v>1</v>
      </c>
      <c r="C3">
        <v>0</v>
      </c>
      <c r="D3">
        <v>0</v>
      </c>
      <c r="E3">
        <v>0</v>
      </c>
      <c r="F3">
        <v>45.767090000000003</v>
      </c>
      <c r="G3">
        <v>200</v>
      </c>
      <c r="H3">
        <v>2</v>
      </c>
      <c r="I3">
        <v>2</v>
      </c>
      <c r="J3">
        <v>4</v>
      </c>
      <c r="K3">
        <v>50</v>
      </c>
      <c r="L3">
        <v>0</v>
      </c>
    </row>
    <row r="4" spans="1:12" x14ac:dyDescent="0.25">
      <c r="A4">
        <v>1</v>
      </c>
      <c r="B4">
        <v>4</v>
      </c>
      <c r="C4">
        <v>0</v>
      </c>
      <c r="D4">
        <v>0</v>
      </c>
      <c r="E4">
        <v>0</v>
      </c>
      <c r="F4">
        <v>32.363160000000001</v>
      </c>
      <c r="G4">
        <v>120</v>
      </c>
      <c r="H4">
        <v>2</v>
      </c>
      <c r="I4">
        <v>2</v>
      </c>
      <c r="J4">
        <v>1</v>
      </c>
      <c r="K4">
        <v>73</v>
      </c>
      <c r="L4">
        <v>0</v>
      </c>
    </row>
    <row r="5" spans="1:12" x14ac:dyDescent="0.25">
      <c r="A5">
        <v>0</v>
      </c>
      <c r="B5">
        <v>1</v>
      </c>
      <c r="C5">
        <v>0</v>
      </c>
      <c r="D5">
        <v>0</v>
      </c>
      <c r="E5">
        <v>0</v>
      </c>
      <c r="F5">
        <v>3308325</v>
      </c>
      <c r="G5">
        <v>120</v>
      </c>
      <c r="H5">
        <v>0</v>
      </c>
      <c r="I5">
        <v>1</v>
      </c>
      <c r="J5">
        <v>3</v>
      </c>
      <c r="K5">
        <v>65</v>
      </c>
      <c r="L5">
        <v>0</v>
      </c>
    </row>
    <row r="6" spans="1:12" x14ac:dyDescent="0.25">
      <c r="A6">
        <v>1</v>
      </c>
      <c r="B6">
        <v>1</v>
      </c>
      <c r="C6">
        <v>0</v>
      </c>
      <c r="D6">
        <v>0</v>
      </c>
      <c r="E6">
        <v>0</v>
      </c>
      <c r="F6">
        <v>68.506100000000004</v>
      </c>
      <c r="G6">
        <v>160</v>
      </c>
      <c r="H6">
        <v>0</v>
      </c>
      <c r="I6">
        <v>2</v>
      </c>
      <c r="J6">
        <v>2</v>
      </c>
      <c r="K6">
        <v>16</v>
      </c>
      <c r="L6">
        <v>0</v>
      </c>
    </row>
    <row r="7" spans="1:12" x14ac:dyDescent="0.25">
      <c r="A7">
        <v>0</v>
      </c>
      <c r="B7">
        <v>3</v>
      </c>
      <c r="C7">
        <v>1</v>
      </c>
      <c r="D7">
        <v>0</v>
      </c>
      <c r="E7">
        <v>0</v>
      </c>
      <c r="F7">
        <v>0.114399</v>
      </c>
      <c r="G7">
        <v>0</v>
      </c>
      <c r="H7">
        <v>0</v>
      </c>
      <c r="I7">
        <v>0</v>
      </c>
      <c r="J7">
        <v>0</v>
      </c>
      <c r="K7">
        <v>0</v>
      </c>
      <c r="L7">
        <v>0</v>
      </c>
    </row>
    <row r="8" spans="1:12" x14ac:dyDescent="0.25">
      <c r="A8">
        <v>2</v>
      </c>
      <c r="B8">
        <v>1</v>
      </c>
      <c r="C8">
        <v>0</v>
      </c>
      <c r="D8">
        <v>0</v>
      </c>
      <c r="E8">
        <v>0</v>
      </c>
      <c r="F8">
        <v>165.1301</v>
      </c>
      <c r="G8">
        <v>680</v>
      </c>
      <c r="H8">
        <v>0</v>
      </c>
      <c r="I8">
        <v>3</v>
      </c>
      <c r="J8">
        <v>10</v>
      </c>
      <c r="K8">
        <v>38</v>
      </c>
      <c r="L8">
        <v>0</v>
      </c>
    </row>
    <row r="9" spans="1:12" x14ac:dyDescent="0.25">
      <c r="A9">
        <v>0</v>
      </c>
      <c r="B9">
        <v>1</v>
      </c>
      <c r="C9">
        <v>0</v>
      </c>
      <c r="D9">
        <v>1</v>
      </c>
      <c r="E9">
        <v>36</v>
      </c>
      <c r="F9">
        <v>25.463619999999999</v>
      </c>
      <c r="G9">
        <v>0</v>
      </c>
      <c r="H9">
        <v>0</v>
      </c>
      <c r="I9">
        <v>1</v>
      </c>
      <c r="J9">
        <v>0</v>
      </c>
      <c r="K9">
        <v>13</v>
      </c>
      <c r="L9">
        <v>4</v>
      </c>
    </row>
    <row r="10" spans="1:12" x14ac:dyDescent="0.25">
      <c r="A10">
        <v>2</v>
      </c>
      <c r="B10">
        <v>2</v>
      </c>
      <c r="C10">
        <v>1</v>
      </c>
      <c r="D10">
        <v>0</v>
      </c>
      <c r="E10">
        <v>0</v>
      </c>
      <c r="F10">
        <v>31.688110000000002</v>
      </c>
      <c r="G10">
        <v>240</v>
      </c>
      <c r="H10">
        <v>0</v>
      </c>
      <c r="I10">
        <v>1</v>
      </c>
      <c r="J10">
        <v>0</v>
      </c>
      <c r="K10">
        <v>76</v>
      </c>
      <c r="L10">
        <v>3</v>
      </c>
    </row>
    <row r="11" spans="1:12" x14ac:dyDescent="0.25">
      <c r="A11">
        <v>1</v>
      </c>
      <c r="B11">
        <v>4</v>
      </c>
      <c r="C11">
        <v>0</v>
      </c>
      <c r="D11">
        <v>3</v>
      </c>
      <c r="E11">
        <v>12</v>
      </c>
      <c r="F11">
        <v>2149966</v>
      </c>
      <c r="G11">
        <v>280</v>
      </c>
      <c r="H11">
        <v>0</v>
      </c>
      <c r="I11">
        <v>2</v>
      </c>
      <c r="J11">
        <v>4</v>
      </c>
      <c r="K11">
        <v>75</v>
      </c>
      <c r="L11">
        <v>12</v>
      </c>
    </row>
    <row r="12" spans="1:12" x14ac:dyDescent="0.25">
      <c r="A12">
        <v>0</v>
      </c>
      <c r="B12">
        <v>1</v>
      </c>
      <c r="C12">
        <v>0</v>
      </c>
      <c r="D12">
        <v>0</v>
      </c>
      <c r="E12">
        <v>0</v>
      </c>
      <c r="F12">
        <v>28.861689999999999</v>
      </c>
      <c r="G12">
        <v>40</v>
      </c>
      <c r="H12">
        <v>0</v>
      </c>
      <c r="I12">
        <v>1</v>
      </c>
      <c r="J12">
        <v>1</v>
      </c>
      <c r="K12">
        <v>46</v>
      </c>
      <c r="L12">
        <v>0</v>
      </c>
    </row>
    <row r="13" spans="1:12" x14ac:dyDescent="0.25">
      <c r="A13">
        <v>0</v>
      </c>
      <c r="B13">
        <v>1</v>
      </c>
      <c r="C13">
        <v>0</v>
      </c>
      <c r="D13">
        <v>0</v>
      </c>
      <c r="E13">
        <v>0</v>
      </c>
      <c r="F13">
        <v>12.185180000000001</v>
      </c>
      <c r="G13">
        <v>0</v>
      </c>
      <c r="H13">
        <v>1</v>
      </c>
      <c r="I13">
        <v>1</v>
      </c>
      <c r="J13">
        <v>0</v>
      </c>
      <c r="K13">
        <v>26</v>
      </c>
      <c r="L13">
        <v>0</v>
      </c>
    </row>
    <row r="14" spans="1:12" x14ac:dyDescent="0.25">
      <c r="A14">
        <v>2</v>
      </c>
      <c r="B14">
        <v>3</v>
      </c>
      <c r="C14">
        <v>1</v>
      </c>
      <c r="D14">
        <v>0</v>
      </c>
      <c r="E14">
        <v>0</v>
      </c>
      <c r="F14">
        <v>30.896239999999999</v>
      </c>
      <c r="G14">
        <v>240</v>
      </c>
      <c r="H14">
        <v>0</v>
      </c>
      <c r="I14">
        <v>0</v>
      </c>
      <c r="J14">
        <v>0</v>
      </c>
      <c r="K14">
        <v>84</v>
      </c>
      <c r="L14">
        <v>0</v>
      </c>
    </row>
    <row r="15" spans="1:12" x14ac:dyDescent="0.25">
      <c r="A15">
        <v>1</v>
      </c>
      <c r="B15">
        <v>2</v>
      </c>
      <c r="C15">
        <v>1</v>
      </c>
      <c r="D15">
        <v>0</v>
      </c>
      <c r="E15">
        <v>0</v>
      </c>
      <c r="F15">
        <v>14.022460000000001</v>
      </c>
      <c r="G15">
        <v>120</v>
      </c>
      <c r="H15">
        <v>0</v>
      </c>
      <c r="I15">
        <v>1</v>
      </c>
      <c r="J15">
        <v>0</v>
      </c>
      <c r="K15">
        <v>5</v>
      </c>
      <c r="L15">
        <v>17</v>
      </c>
    </row>
    <row r="16" spans="1:12" x14ac:dyDescent="0.25">
      <c r="A16">
        <v>0</v>
      </c>
      <c r="B16">
        <v>2</v>
      </c>
      <c r="C16">
        <v>0</v>
      </c>
      <c r="D16">
        <v>7</v>
      </c>
      <c r="E16">
        <v>3</v>
      </c>
      <c r="F16">
        <v>19.335570000000001</v>
      </c>
      <c r="G16">
        <v>120</v>
      </c>
      <c r="H16">
        <v>1</v>
      </c>
      <c r="I16">
        <v>1</v>
      </c>
      <c r="J16">
        <v>3</v>
      </c>
      <c r="K16">
        <v>19</v>
      </c>
      <c r="L16">
        <v>0</v>
      </c>
    </row>
    <row r="17" spans="1:12" x14ac:dyDescent="0.25">
      <c r="A17">
        <v>1</v>
      </c>
      <c r="B17">
        <v>1</v>
      </c>
      <c r="C17">
        <v>0</v>
      </c>
      <c r="D17">
        <v>3</v>
      </c>
      <c r="E17">
        <v>7</v>
      </c>
      <c r="F17">
        <v>28.954350000000002</v>
      </c>
      <c r="G17">
        <v>160</v>
      </c>
      <c r="H17">
        <v>2</v>
      </c>
      <c r="I17">
        <v>2</v>
      </c>
      <c r="J17">
        <v>0</v>
      </c>
      <c r="K17">
        <v>32</v>
      </c>
      <c r="L17">
        <v>0</v>
      </c>
    </row>
    <row r="18" spans="1:12" x14ac:dyDescent="0.25">
      <c r="A18">
        <v>0</v>
      </c>
      <c r="B18">
        <v>1</v>
      </c>
      <c r="C18">
        <v>0</v>
      </c>
      <c r="D18">
        <v>0</v>
      </c>
      <c r="E18">
        <v>35</v>
      </c>
      <c r="F18">
        <v>18.59778</v>
      </c>
      <c r="G18">
        <v>80</v>
      </c>
      <c r="H18">
        <v>1</v>
      </c>
      <c r="I18">
        <v>1</v>
      </c>
      <c r="J18">
        <v>1</v>
      </c>
      <c r="K18">
        <v>79</v>
      </c>
      <c r="L18">
        <v>0</v>
      </c>
    </row>
    <row r="19" spans="1:12" x14ac:dyDescent="0.25">
      <c r="A19">
        <v>0</v>
      </c>
      <c r="B19">
        <v>1</v>
      </c>
      <c r="C19">
        <v>0</v>
      </c>
      <c r="D19">
        <v>0</v>
      </c>
      <c r="E19">
        <v>0</v>
      </c>
      <c r="F19">
        <v>17.499510000000001</v>
      </c>
      <c r="G19">
        <v>80</v>
      </c>
      <c r="H19">
        <v>1</v>
      </c>
      <c r="I19">
        <v>1</v>
      </c>
      <c r="J19">
        <v>1</v>
      </c>
      <c r="K19">
        <v>24</v>
      </c>
      <c r="L19">
        <v>0</v>
      </c>
    </row>
    <row r="20" spans="1:12" x14ac:dyDescent="0.25">
      <c r="A20">
        <v>2</v>
      </c>
      <c r="B20">
        <v>3</v>
      </c>
      <c r="C20">
        <v>1</v>
      </c>
      <c r="D20">
        <v>0</v>
      </c>
      <c r="E20">
        <v>0</v>
      </c>
      <c r="F20">
        <v>60.023249999999997</v>
      </c>
      <c r="G20">
        <v>320</v>
      </c>
      <c r="H20">
        <v>0</v>
      </c>
      <c r="I20">
        <v>3</v>
      </c>
      <c r="J20">
        <v>0</v>
      </c>
      <c r="K20">
        <v>43</v>
      </c>
      <c r="L20">
        <v>20</v>
      </c>
    </row>
    <row r="21" spans="1:12" x14ac:dyDescent="0.25">
      <c r="A21">
        <f>SUBTOTAL(101,temp15[Column1])</f>
        <v>0.94736842105263153</v>
      </c>
      <c r="B21">
        <f>SUBTOTAL(101,temp15[Column2])</f>
        <v>1.8421052631578947</v>
      </c>
      <c r="C21">
        <f>SUBTOTAL(101,temp15[Column3])</f>
        <v>0.26315789473684209</v>
      </c>
      <c r="D21">
        <f>SUBTOTAL(101,temp15[Column4])</f>
        <v>0.84210526315789469</v>
      </c>
      <c r="E21">
        <f>SUBTOTAL(101,temp15[Column5])</f>
        <v>34.421052631578945</v>
      </c>
      <c r="F21">
        <f>SUBTOTAL(101,temp15[Column6])</f>
        <v>287326.59423205268</v>
      </c>
      <c r="G21">
        <f>SUBTOTAL(101,temp15[Column7])</f>
        <v>191.57894736842104</v>
      </c>
      <c r="H21">
        <f>SUBTOTAL(101,temp15[Column8])</f>
        <v>0.52631578947368418</v>
      </c>
      <c r="I21">
        <f>SUBTOTAL(101,temp15[Column9])</f>
        <v>1.5789473684210527</v>
      </c>
      <c r="J21">
        <f>SUBTOTAL(101,temp15[Column10])</f>
        <v>1.736842105263158</v>
      </c>
      <c r="K21">
        <f>SUBTOTAL(101,temp15[Column11])</f>
        <v>42.315789473684212</v>
      </c>
      <c r="L21">
        <f>SUBTOTAL(101,temp15[Column12])</f>
        <v>4.5263157894736841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F30DF-FFE8-47F1-841A-48C8028660B9}">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5</v>
      </c>
      <c r="B2">
        <v>3</v>
      </c>
      <c r="C2">
        <v>1</v>
      </c>
      <c r="D2">
        <v>0</v>
      </c>
      <c r="E2">
        <v>849</v>
      </c>
      <c r="F2">
        <v>90.126220000000004</v>
      </c>
      <c r="G2">
        <v>680</v>
      </c>
      <c r="H2">
        <v>1</v>
      </c>
      <c r="I2">
        <v>5</v>
      </c>
      <c r="J2">
        <v>2</v>
      </c>
      <c r="K2">
        <v>21</v>
      </c>
      <c r="L2">
        <v>9</v>
      </c>
    </row>
    <row r="3" spans="1:12" x14ac:dyDescent="0.25">
      <c r="A3">
        <v>0</v>
      </c>
      <c r="B3">
        <v>1</v>
      </c>
      <c r="C3">
        <v>0</v>
      </c>
      <c r="D3">
        <v>0</v>
      </c>
      <c r="E3">
        <v>0</v>
      </c>
      <c r="F3">
        <v>53.58325</v>
      </c>
      <c r="G3">
        <v>120</v>
      </c>
      <c r="H3">
        <v>1</v>
      </c>
      <c r="I3">
        <v>1</v>
      </c>
      <c r="J3">
        <v>3</v>
      </c>
      <c r="K3">
        <v>68</v>
      </c>
      <c r="L3">
        <v>0</v>
      </c>
    </row>
    <row r="4" spans="1:12" x14ac:dyDescent="0.25">
      <c r="A4">
        <v>1</v>
      </c>
      <c r="B4">
        <v>1</v>
      </c>
      <c r="C4">
        <v>0</v>
      </c>
      <c r="D4">
        <v>0</v>
      </c>
      <c r="E4">
        <v>0</v>
      </c>
      <c r="F4">
        <v>60.050420000000003</v>
      </c>
      <c r="G4">
        <v>280</v>
      </c>
      <c r="H4">
        <v>1</v>
      </c>
      <c r="I4">
        <v>2</v>
      </c>
      <c r="J4">
        <v>4</v>
      </c>
      <c r="K4">
        <v>97</v>
      </c>
      <c r="L4">
        <v>0</v>
      </c>
    </row>
    <row r="5" spans="1:12" x14ac:dyDescent="0.25">
      <c r="A5">
        <v>0</v>
      </c>
      <c r="B5">
        <v>1</v>
      </c>
      <c r="C5">
        <v>0</v>
      </c>
      <c r="D5">
        <v>0</v>
      </c>
      <c r="E5">
        <v>0</v>
      </c>
      <c r="F5">
        <v>5185986</v>
      </c>
      <c r="G5">
        <v>80</v>
      </c>
      <c r="H5">
        <v>1</v>
      </c>
      <c r="I5">
        <v>1</v>
      </c>
      <c r="J5">
        <v>2</v>
      </c>
      <c r="K5">
        <v>106</v>
      </c>
      <c r="L5">
        <v>0</v>
      </c>
    </row>
    <row r="6" spans="1:12" x14ac:dyDescent="0.25">
      <c r="A6">
        <v>2</v>
      </c>
      <c r="B6">
        <v>3</v>
      </c>
      <c r="C6">
        <v>1</v>
      </c>
      <c r="D6">
        <v>1</v>
      </c>
      <c r="E6">
        <v>23</v>
      </c>
      <c r="F6">
        <v>92.331540000000004</v>
      </c>
      <c r="G6">
        <v>360</v>
      </c>
      <c r="H6">
        <v>0</v>
      </c>
      <c r="I6">
        <v>3</v>
      </c>
      <c r="J6">
        <v>3</v>
      </c>
      <c r="K6">
        <v>18</v>
      </c>
      <c r="L6">
        <v>0</v>
      </c>
    </row>
    <row r="7" spans="1:12" x14ac:dyDescent="0.25">
      <c r="A7">
        <v>0</v>
      </c>
      <c r="B7">
        <v>2</v>
      </c>
      <c r="C7">
        <v>1</v>
      </c>
      <c r="D7">
        <v>0</v>
      </c>
      <c r="E7">
        <v>0</v>
      </c>
      <c r="F7">
        <v>0.1270771</v>
      </c>
      <c r="G7">
        <v>0</v>
      </c>
      <c r="H7">
        <v>0</v>
      </c>
      <c r="I7">
        <v>0</v>
      </c>
      <c r="J7">
        <v>0</v>
      </c>
      <c r="K7">
        <v>0</v>
      </c>
      <c r="L7">
        <v>0</v>
      </c>
    </row>
    <row r="8" spans="1:12" x14ac:dyDescent="0.25">
      <c r="A8">
        <v>6</v>
      </c>
      <c r="B8">
        <v>4</v>
      </c>
      <c r="C8">
        <v>1</v>
      </c>
      <c r="D8">
        <v>0</v>
      </c>
      <c r="E8">
        <v>0</v>
      </c>
      <c r="F8">
        <v>177.7783</v>
      </c>
      <c r="G8">
        <v>840</v>
      </c>
      <c r="H8">
        <v>0</v>
      </c>
      <c r="I8">
        <v>6</v>
      </c>
      <c r="J8">
        <v>5</v>
      </c>
      <c r="K8">
        <v>52</v>
      </c>
      <c r="L8">
        <v>0</v>
      </c>
    </row>
    <row r="9" spans="1:12" x14ac:dyDescent="0.25">
      <c r="A9">
        <v>0</v>
      </c>
      <c r="B9">
        <v>1</v>
      </c>
      <c r="C9">
        <v>0</v>
      </c>
      <c r="D9">
        <v>0</v>
      </c>
      <c r="E9">
        <v>0</v>
      </c>
      <c r="F9">
        <v>104.4438</v>
      </c>
      <c r="G9">
        <v>200</v>
      </c>
      <c r="H9">
        <v>10</v>
      </c>
      <c r="I9">
        <v>1</v>
      </c>
      <c r="J9">
        <v>4</v>
      </c>
      <c r="K9">
        <v>39</v>
      </c>
      <c r="L9">
        <v>25</v>
      </c>
    </row>
    <row r="10" spans="1:12" x14ac:dyDescent="0.25">
      <c r="A10">
        <v>1</v>
      </c>
      <c r="B10">
        <v>2</v>
      </c>
      <c r="C10">
        <v>1</v>
      </c>
      <c r="D10">
        <v>0</v>
      </c>
      <c r="E10">
        <v>0</v>
      </c>
      <c r="F10">
        <v>48.52722</v>
      </c>
      <c r="G10">
        <v>120</v>
      </c>
      <c r="H10">
        <v>0</v>
      </c>
      <c r="I10">
        <v>1</v>
      </c>
      <c r="J10">
        <v>0</v>
      </c>
      <c r="K10">
        <v>207</v>
      </c>
      <c r="L10">
        <v>6</v>
      </c>
    </row>
    <row r="11" spans="1:12" x14ac:dyDescent="0.25">
      <c r="A11">
        <v>0</v>
      </c>
      <c r="B11">
        <v>2</v>
      </c>
      <c r="C11">
        <v>0</v>
      </c>
      <c r="D11">
        <v>3</v>
      </c>
      <c r="E11">
        <v>13</v>
      </c>
      <c r="F11">
        <v>127479</v>
      </c>
      <c r="G11">
        <v>320</v>
      </c>
      <c r="H11">
        <v>3</v>
      </c>
      <c r="I11">
        <v>1</v>
      </c>
      <c r="J11">
        <v>5</v>
      </c>
      <c r="K11">
        <v>96</v>
      </c>
      <c r="L11">
        <v>9</v>
      </c>
    </row>
    <row r="12" spans="1:12" x14ac:dyDescent="0.25">
      <c r="A12">
        <v>0</v>
      </c>
      <c r="B12">
        <v>2</v>
      </c>
      <c r="C12">
        <v>1</v>
      </c>
      <c r="D12">
        <v>0</v>
      </c>
      <c r="E12">
        <v>0</v>
      </c>
      <c r="F12">
        <v>54.929569999999998</v>
      </c>
      <c r="G12">
        <v>200</v>
      </c>
      <c r="H12">
        <v>0</v>
      </c>
      <c r="I12">
        <v>1</v>
      </c>
      <c r="J12">
        <v>7</v>
      </c>
      <c r="K12">
        <v>83</v>
      </c>
      <c r="L12">
        <v>0</v>
      </c>
    </row>
    <row r="13" spans="1:12" x14ac:dyDescent="0.25">
      <c r="A13">
        <v>1</v>
      </c>
      <c r="B13">
        <v>1</v>
      </c>
      <c r="C13">
        <v>0</v>
      </c>
      <c r="D13">
        <v>0</v>
      </c>
      <c r="E13">
        <v>0</v>
      </c>
      <c r="F13">
        <v>64.536739999999995</v>
      </c>
      <c r="G13">
        <v>280</v>
      </c>
      <c r="H13">
        <v>2</v>
      </c>
      <c r="I13">
        <v>2</v>
      </c>
      <c r="J13">
        <v>4</v>
      </c>
      <c r="K13">
        <v>137</v>
      </c>
      <c r="L13">
        <v>0</v>
      </c>
    </row>
    <row r="14" spans="1:12" x14ac:dyDescent="0.25">
      <c r="A14">
        <v>2</v>
      </c>
      <c r="B14">
        <v>2</v>
      </c>
      <c r="C14">
        <v>1</v>
      </c>
      <c r="D14">
        <v>0</v>
      </c>
      <c r="E14">
        <v>0</v>
      </c>
      <c r="F14">
        <v>24.728390000000001</v>
      </c>
      <c r="G14">
        <v>240</v>
      </c>
      <c r="H14">
        <v>0</v>
      </c>
      <c r="I14">
        <v>0</v>
      </c>
      <c r="J14">
        <v>0</v>
      </c>
      <c r="K14">
        <v>68</v>
      </c>
      <c r="L14">
        <v>0</v>
      </c>
    </row>
    <row r="15" spans="1:12" x14ac:dyDescent="0.25">
      <c r="A15">
        <v>0</v>
      </c>
      <c r="B15">
        <v>4</v>
      </c>
      <c r="C15">
        <v>1</v>
      </c>
      <c r="D15">
        <v>0</v>
      </c>
      <c r="E15">
        <v>0</v>
      </c>
      <c r="F15">
        <v>14.910640000000001</v>
      </c>
      <c r="G15">
        <v>80</v>
      </c>
      <c r="H15">
        <v>0</v>
      </c>
      <c r="I15">
        <v>1</v>
      </c>
      <c r="J15">
        <v>0</v>
      </c>
      <c r="K15">
        <v>3</v>
      </c>
      <c r="L15">
        <v>4</v>
      </c>
    </row>
    <row r="16" spans="1:12" x14ac:dyDescent="0.25">
      <c r="A16">
        <v>0</v>
      </c>
      <c r="B16">
        <v>3</v>
      </c>
      <c r="C16">
        <v>0</v>
      </c>
      <c r="D16">
        <v>7</v>
      </c>
      <c r="E16">
        <v>15</v>
      </c>
      <c r="F16">
        <v>47.343020000000003</v>
      </c>
      <c r="G16">
        <v>200</v>
      </c>
      <c r="H16">
        <v>1</v>
      </c>
      <c r="I16">
        <v>1</v>
      </c>
      <c r="J16">
        <v>3</v>
      </c>
      <c r="K16">
        <v>31</v>
      </c>
      <c r="L16">
        <v>1</v>
      </c>
    </row>
    <row r="17" spans="1:12" x14ac:dyDescent="0.25">
      <c r="A17">
        <v>1</v>
      </c>
      <c r="B17">
        <v>2</v>
      </c>
      <c r="C17">
        <v>0</v>
      </c>
      <c r="D17">
        <v>15</v>
      </c>
      <c r="E17">
        <v>42</v>
      </c>
      <c r="F17">
        <v>108.1279</v>
      </c>
      <c r="G17">
        <v>440</v>
      </c>
      <c r="H17">
        <v>2</v>
      </c>
      <c r="I17">
        <v>2</v>
      </c>
      <c r="J17">
        <v>9</v>
      </c>
      <c r="K17">
        <v>32</v>
      </c>
      <c r="L17">
        <v>0</v>
      </c>
    </row>
    <row r="18" spans="1:12" x14ac:dyDescent="0.25">
      <c r="A18">
        <v>2</v>
      </c>
      <c r="B18">
        <v>4</v>
      </c>
      <c r="C18">
        <v>1</v>
      </c>
      <c r="D18">
        <v>0</v>
      </c>
      <c r="E18">
        <v>123</v>
      </c>
      <c r="F18">
        <v>77.340580000000003</v>
      </c>
      <c r="G18">
        <v>440</v>
      </c>
      <c r="H18">
        <v>2</v>
      </c>
      <c r="I18">
        <v>2</v>
      </c>
      <c r="J18">
        <v>9</v>
      </c>
      <c r="K18">
        <v>306</v>
      </c>
      <c r="L18">
        <v>0</v>
      </c>
    </row>
    <row r="19" spans="1:12" x14ac:dyDescent="0.25">
      <c r="A19">
        <v>1</v>
      </c>
      <c r="B19">
        <v>3</v>
      </c>
      <c r="C19">
        <v>0</v>
      </c>
      <c r="D19">
        <v>0</v>
      </c>
      <c r="E19">
        <v>0</v>
      </c>
      <c r="F19">
        <v>78.670779999999993</v>
      </c>
      <c r="G19">
        <v>400</v>
      </c>
      <c r="H19">
        <v>2</v>
      </c>
      <c r="I19">
        <v>2</v>
      </c>
      <c r="J19">
        <v>20</v>
      </c>
      <c r="K19">
        <v>108</v>
      </c>
      <c r="L19">
        <v>1</v>
      </c>
    </row>
    <row r="20" spans="1:12" x14ac:dyDescent="0.25">
      <c r="A20">
        <v>1</v>
      </c>
      <c r="B20">
        <v>4</v>
      </c>
      <c r="C20">
        <v>1</v>
      </c>
      <c r="D20">
        <v>0</v>
      </c>
      <c r="E20">
        <v>0</v>
      </c>
      <c r="F20">
        <v>36.200130000000001</v>
      </c>
      <c r="G20">
        <v>120</v>
      </c>
      <c r="H20">
        <v>0</v>
      </c>
      <c r="I20">
        <v>1</v>
      </c>
      <c r="J20">
        <v>0</v>
      </c>
      <c r="K20">
        <v>37</v>
      </c>
      <c r="L20">
        <v>8</v>
      </c>
    </row>
    <row r="21" spans="1:12" x14ac:dyDescent="0.25">
      <c r="A21">
        <f>SUBTOTAL(101,temp14[Column1])</f>
        <v>1.2105263157894737</v>
      </c>
      <c r="B21">
        <f>SUBTOTAL(101,temp14[Column2])</f>
        <v>2.3684210526315788</v>
      </c>
      <c r="C21">
        <f>SUBTOTAL(101,temp14[Column3])</f>
        <v>0.52631578947368418</v>
      </c>
      <c r="D21">
        <f>SUBTOTAL(101,temp14[Column4])</f>
        <v>1.368421052631579</v>
      </c>
      <c r="E21">
        <f>SUBTOTAL(101,temp14[Column5])</f>
        <v>56.05263157894737</v>
      </c>
      <c r="F21">
        <f>SUBTOTAL(101,temp14[Column6])</f>
        <v>279715.72397774202</v>
      </c>
      <c r="G21">
        <f>SUBTOTAL(101,temp14[Column7])</f>
        <v>284.21052631578948</v>
      </c>
      <c r="H21">
        <f>SUBTOTAL(101,temp14[Column8])</f>
        <v>1.368421052631579</v>
      </c>
      <c r="I21">
        <f>SUBTOTAL(101,temp14[Column9])</f>
        <v>1.736842105263158</v>
      </c>
      <c r="J21">
        <f>SUBTOTAL(101,temp14[Column10])</f>
        <v>4.2105263157894735</v>
      </c>
      <c r="K21">
        <f>SUBTOTAL(101,temp14[Column11])</f>
        <v>79.421052631578945</v>
      </c>
      <c r="L21">
        <f>SUBTOTAL(101,temp14[Column12])</f>
        <v>3.3157894736842106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3C48E-0A9A-4FDD-9648-162A7339EA5F}">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3</v>
      </c>
      <c r="C2">
        <v>1</v>
      </c>
      <c r="D2">
        <v>0</v>
      </c>
      <c r="E2">
        <v>135</v>
      </c>
      <c r="F2">
        <v>22.229489999999998</v>
      </c>
      <c r="G2">
        <v>120</v>
      </c>
      <c r="H2">
        <v>0</v>
      </c>
      <c r="I2">
        <v>1</v>
      </c>
      <c r="J2">
        <v>1</v>
      </c>
      <c r="K2">
        <v>3</v>
      </c>
      <c r="L2">
        <v>6</v>
      </c>
    </row>
    <row r="3" spans="1:12" x14ac:dyDescent="0.25">
      <c r="A3">
        <v>0</v>
      </c>
      <c r="B3">
        <v>2</v>
      </c>
      <c r="C3">
        <v>0</v>
      </c>
      <c r="D3">
        <v>0</v>
      </c>
      <c r="E3">
        <v>0</v>
      </c>
      <c r="F3">
        <v>42.515500000000003</v>
      </c>
      <c r="G3">
        <v>120</v>
      </c>
      <c r="H3">
        <v>1</v>
      </c>
      <c r="I3">
        <v>1</v>
      </c>
      <c r="J3">
        <v>2</v>
      </c>
      <c r="K3">
        <v>45</v>
      </c>
      <c r="L3">
        <v>0</v>
      </c>
    </row>
    <row r="4" spans="1:12" x14ac:dyDescent="0.25">
      <c r="A4">
        <v>0</v>
      </c>
      <c r="B4">
        <v>1</v>
      </c>
      <c r="C4">
        <v>0</v>
      </c>
      <c r="D4">
        <v>0</v>
      </c>
      <c r="E4">
        <v>0</v>
      </c>
      <c r="F4">
        <v>33.354190000000003</v>
      </c>
      <c r="G4">
        <v>160</v>
      </c>
      <c r="H4">
        <v>1</v>
      </c>
      <c r="I4">
        <v>1</v>
      </c>
      <c r="J4">
        <v>4</v>
      </c>
      <c r="K4">
        <v>42</v>
      </c>
      <c r="L4">
        <v>0</v>
      </c>
    </row>
    <row r="5" spans="1:12" x14ac:dyDescent="0.25">
      <c r="A5">
        <v>2</v>
      </c>
      <c r="B5">
        <v>2</v>
      </c>
      <c r="C5">
        <v>0</v>
      </c>
      <c r="D5">
        <v>0</v>
      </c>
      <c r="E5">
        <v>46</v>
      </c>
      <c r="F5">
        <v>7203625</v>
      </c>
      <c r="G5">
        <v>440</v>
      </c>
      <c r="H5">
        <v>2</v>
      </c>
      <c r="I5">
        <v>2</v>
      </c>
      <c r="J5">
        <v>5</v>
      </c>
      <c r="K5">
        <v>92</v>
      </c>
      <c r="L5">
        <v>0</v>
      </c>
    </row>
    <row r="6" spans="1:12" x14ac:dyDescent="0.25">
      <c r="A6">
        <v>4</v>
      </c>
      <c r="B6">
        <v>3</v>
      </c>
      <c r="C6">
        <v>1</v>
      </c>
      <c r="D6">
        <v>0</v>
      </c>
      <c r="E6">
        <v>0</v>
      </c>
      <c r="F6">
        <v>93.508300000000006</v>
      </c>
      <c r="G6">
        <v>560</v>
      </c>
      <c r="H6">
        <v>0</v>
      </c>
      <c r="I6">
        <v>5</v>
      </c>
      <c r="J6">
        <v>4</v>
      </c>
      <c r="K6">
        <v>23</v>
      </c>
      <c r="L6">
        <v>0</v>
      </c>
    </row>
    <row r="7" spans="1:12" x14ac:dyDescent="0.25">
      <c r="A7">
        <v>0</v>
      </c>
      <c r="B7">
        <v>2</v>
      </c>
      <c r="C7">
        <v>1</v>
      </c>
      <c r="D7">
        <v>0</v>
      </c>
      <c r="E7">
        <v>0</v>
      </c>
      <c r="F7">
        <v>0.26862720000000001</v>
      </c>
      <c r="G7">
        <v>0</v>
      </c>
      <c r="H7">
        <v>0</v>
      </c>
      <c r="I7">
        <v>0</v>
      </c>
      <c r="J7">
        <v>0</v>
      </c>
      <c r="K7">
        <v>0</v>
      </c>
      <c r="L7">
        <v>0</v>
      </c>
    </row>
    <row r="8" spans="1:12" x14ac:dyDescent="0.25">
      <c r="A8">
        <v>11</v>
      </c>
      <c r="B8">
        <v>4</v>
      </c>
      <c r="C8">
        <v>1</v>
      </c>
      <c r="D8">
        <v>1</v>
      </c>
      <c r="E8">
        <v>4025</v>
      </c>
      <c r="F8">
        <v>328.56689999999998</v>
      </c>
      <c r="G8">
        <v>1440</v>
      </c>
      <c r="H8">
        <v>0</v>
      </c>
      <c r="I8">
        <v>10</v>
      </c>
      <c r="J8">
        <v>7</v>
      </c>
      <c r="K8">
        <v>105</v>
      </c>
      <c r="L8">
        <v>0</v>
      </c>
    </row>
    <row r="9" spans="1:12" x14ac:dyDescent="0.25">
      <c r="A9">
        <v>1</v>
      </c>
      <c r="B9">
        <v>3</v>
      </c>
      <c r="C9">
        <v>0</v>
      </c>
      <c r="D9">
        <v>2</v>
      </c>
      <c r="E9">
        <v>84</v>
      </c>
      <c r="F9">
        <v>132.02340000000001</v>
      </c>
      <c r="G9">
        <v>440</v>
      </c>
      <c r="H9">
        <v>2</v>
      </c>
      <c r="I9">
        <v>2</v>
      </c>
      <c r="J9">
        <v>6</v>
      </c>
      <c r="K9">
        <v>41</v>
      </c>
      <c r="L9">
        <v>33</v>
      </c>
    </row>
    <row r="10" spans="1:12" x14ac:dyDescent="0.25">
      <c r="A10">
        <v>3</v>
      </c>
      <c r="B10">
        <v>2</v>
      </c>
      <c r="C10">
        <v>1</v>
      </c>
      <c r="D10">
        <v>0</v>
      </c>
      <c r="E10">
        <v>0</v>
      </c>
      <c r="F10">
        <v>25.912960000000002</v>
      </c>
      <c r="G10">
        <v>360</v>
      </c>
      <c r="H10">
        <v>0</v>
      </c>
      <c r="I10">
        <v>3</v>
      </c>
      <c r="J10">
        <v>0</v>
      </c>
      <c r="K10">
        <v>59</v>
      </c>
      <c r="L10">
        <v>4</v>
      </c>
    </row>
    <row r="11" spans="1:12" x14ac:dyDescent="0.25">
      <c r="A11">
        <v>0</v>
      </c>
      <c r="B11">
        <v>2</v>
      </c>
      <c r="C11">
        <v>0</v>
      </c>
      <c r="D11">
        <v>6</v>
      </c>
      <c r="E11">
        <v>22</v>
      </c>
      <c r="F11">
        <v>1254551</v>
      </c>
      <c r="G11">
        <v>320</v>
      </c>
      <c r="H11">
        <v>0</v>
      </c>
      <c r="I11">
        <v>2</v>
      </c>
      <c r="J11">
        <v>5</v>
      </c>
      <c r="K11">
        <v>93</v>
      </c>
      <c r="L11">
        <v>10</v>
      </c>
    </row>
    <row r="12" spans="1:12" x14ac:dyDescent="0.25">
      <c r="A12">
        <v>1</v>
      </c>
      <c r="B12">
        <v>2</v>
      </c>
      <c r="C12">
        <v>1</v>
      </c>
      <c r="D12">
        <v>0</v>
      </c>
      <c r="E12">
        <v>0</v>
      </c>
      <c r="F12">
        <v>66.012209999999996</v>
      </c>
      <c r="G12">
        <v>360</v>
      </c>
      <c r="H12">
        <v>0</v>
      </c>
      <c r="I12">
        <v>3</v>
      </c>
      <c r="J12">
        <v>4</v>
      </c>
      <c r="K12">
        <v>100</v>
      </c>
      <c r="L12">
        <v>4</v>
      </c>
    </row>
    <row r="13" spans="1:12" x14ac:dyDescent="0.25">
      <c r="A13">
        <v>0</v>
      </c>
      <c r="B13">
        <v>1</v>
      </c>
      <c r="C13">
        <v>0</v>
      </c>
      <c r="D13">
        <v>0</v>
      </c>
      <c r="E13">
        <v>0</v>
      </c>
      <c r="F13">
        <v>25.323239999999998</v>
      </c>
      <c r="G13">
        <v>40</v>
      </c>
      <c r="H13">
        <v>1</v>
      </c>
      <c r="I13">
        <v>1</v>
      </c>
      <c r="J13">
        <v>1</v>
      </c>
      <c r="K13">
        <v>47</v>
      </c>
      <c r="L13">
        <v>0</v>
      </c>
    </row>
    <row r="14" spans="1:12" x14ac:dyDescent="0.25">
      <c r="A14">
        <v>3</v>
      </c>
      <c r="B14">
        <v>4</v>
      </c>
      <c r="C14">
        <v>1</v>
      </c>
      <c r="D14">
        <v>0</v>
      </c>
      <c r="E14">
        <v>0</v>
      </c>
      <c r="F14">
        <v>41.793700000000001</v>
      </c>
      <c r="G14">
        <v>360</v>
      </c>
      <c r="H14">
        <v>0</v>
      </c>
      <c r="I14">
        <v>0</v>
      </c>
      <c r="J14">
        <v>0</v>
      </c>
      <c r="K14">
        <v>142</v>
      </c>
      <c r="L14">
        <v>2</v>
      </c>
    </row>
    <row r="15" spans="1:12" x14ac:dyDescent="0.25">
      <c r="A15">
        <v>2</v>
      </c>
      <c r="B15">
        <v>1</v>
      </c>
      <c r="C15">
        <v>0</v>
      </c>
      <c r="D15">
        <v>0</v>
      </c>
      <c r="E15">
        <v>0</v>
      </c>
      <c r="F15">
        <v>103.8796</v>
      </c>
      <c r="G15">
        <v>280</v>
      </c>
      <c r="H15">
        <v>0</v>
      </c>
      <c r="I15">
        <v>3</v>
      </c>
      <c r="J15">
        <v>0</v>
      </c>
      <c r="K15">
        <v>76</v>
      </c>
      <c r="L15">
        <v>238</v>
      </c>
    </row>
    <row r="16" spans="1:12" x14ac:dyDescent="0.25">
      <c r="A16">
        <v>4</v>
      </c>
      <c r="B16">
        <v>4</v>
      </c>
      <c r="C16">
        <v>0</v>
      </c>
      <c r="D16">
        <v>21</v>
      </c>
      <c r="E16">
        <v>34</v>
      </c>
      <c r="F16">
        <v>131.82320000000001</v>
      </c>
      <c r="G16">
        <v>880</v>
      </c>
      <c r="H16">
        <v>5</v>
      </c>
      <c r="I16">
        <v>5</v>
      </c>
      <c r="J16">
        <v>17</v>
      </c>
      <c r="K16">
        <v>86</v>
      </c>
      <c r="L16">
        <v>0</v>
      </c>
    </row>
    <row r="17" spans="1:12" x14ac:dyDescent="0.25">
      <c r="A17">
        <v>2</v>
      </c>
      <c r="B17">
        <v>3</v>
      </c>
      <c r="C17">
        <v>0</v>
      </c>
      <c r="D17">
        <v>16</v>
      </c>
      <c r="E17">
        <v>50</v>
      </c>
      <c r="F17">
        <v>99.227170000000001</v>
      </c>
      <c r="G17">
        <v>520</v>
      </c>
      <c r="H17">
        <v>3</v>
      </c>
      <c r="I17">
        <v>3</v>
      </c>
      <c r="J17">
        <v>4</v>
      </c>
      <c r="K17">
        <v>40</v>
      </c>
      <c r="L17">
        <v>0</v>
      </c>
    </row>
    <row r="18" spans="1:12" x14ac:dyDescent="0.25">
      <c r="A18">
        <v>3</v>
      </c>
      <c r="B18">
        <v>4</v>
      </c>
      <c r="C18">
        <v>1</v>
      </c>
      <c r="D18">
        <v>1</v>
      </c>
      <c r="E18">
        <v>192</v>
      </c>
      <c r="F18">
        <v>60.328000000000003</v>
      </c>
      <c r="G18">
        <v>640</v>
      </c>
      <c r="H18">
        <v>1</v>
      </c>
      <c r="I18">
        <v>2</v>
      </c>
      <c r="J18">
        <v>6</v>
      </c>
      <c r="K18">
        <v>183</v>
      </c>
      <c r="L18">
        <v>0</v>
      </c>
    </row>
    <row r="19" spans="1:12" x14ac:dyDescent="0.25">
      <c r="A19">
        <v>5</v>
      </c>
      <c r="B19">
        <v>4</v>
      </c>
      <c r="C19">
        <v>0</v>
      </c>
      <c r="D19">
        <v>6</v>
      </c>
      <c r="E19">
        <v>17</v>
      </c>
      <c r="F19">
        <v>117.1293</v>
      </c>
      <c r="G19">
        <v>1000</v>
      </c>
      <c r="H19">
        <v>5</v>
      </c>
      <c r="I19">
        <v>8</v>
      </c>
      <c r="J19">
        <v>21</v>
      </c>
      <c r="K19">
        <v>132</v>
      </c>
      <c r="L19">
        <v>8</v>
      </c>
    </row>
    <row r="20" spans="1:12" x14ac:dyDescent="0.25">
      <c r="A20">
        <v>2</v>
      </c>
      <c r="B20">
        <v>4</v>
      </c>
      <c r="C20">
        <v>1</v>
      </c>
      <c r="D20">
        <v>0</v>
      </c>
      <c r="E20">
        <v>0</v>
      </c>
      <c r="F20">
        <v>26.27216</v>
      </c>
      <c r="G20">
        <v>240</v>
      </c>
      <c r="H20">
        <v>0</v>
      </c>
      <c r="I20">
        <v>2</v>
      </c>
      <c r="J20">
        <v>0</v>
      </c>
      <c r="K20">
        <v>49</v>
      </c>
      <c r="L20">
        <v>2</v>
      </c>
    </row>
    <row r="21" spans="1:12" x14ac:dyDescent="0.25">
      <c r="A21">
        <f>SUBTOTAL(101,temp13[Column1])</f>
        <v>2.3157894736842106</v>
      </c>
      <c r="B21">
        <f>SUBTOTAL(101,temp13[Column2])</f>
        <v>2.6842105263157894</v>
      </c>
      <c r="C21">
        <f>SUBTOTAL(101,temp13[Column3])</f>
        <v>0.47368421052631576</v>
      </c>
      <c r="D21">
        <f>SUBTOTAL(101,temp13[Column4])</f>
        <v>2.7894736842105261</v>
      </c>
      <c r="E21">
        <f>SUBTOTAL(101,temp13[Column5])</f>
        <v>242.36842105263159</v>
      </c>
      <c r="F21">
        <f>SUBTOTAL(101,temp13[Column6])</f>
        <v>445238.21936564217</v>
      </c>
      <c r="G21">
        <f>SUBTOTAL(101,temp13[Column7])</f>
        <v>435.78947368421052</v>
      </c>
      <c r="H21">
        <f>SUBTOTAL(101,temp13[Column8])</f>
        <v>1.1052631578947369</v>
      </c>
      <c r="I21">
        <f>SUBTOTAL(101,temp13[Column9])</f>
        <v>2.8421052631578947</v>
      </c>
      <c r="J21">
        <f>SUBTOTAL(101,temp13[Column10])</f>
        <v>4.5789473684210522</v>
      </c>
      <c r="K21">
        <f>SUBTOTAL(101,temp13[Column11])</f>
        <v>71.473684210526315</v>
      </c>
      <c r="L21">
        <f>SUBTOTAL(101,temp13[Column12])</f>
        <v>16.157894736842106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7BF23-1EEA-4C39-9EFA-A8D749D201F5}">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0</v>
      </c>
      <c r="B2">
        <v>4</v>
      </c>
      <c r="C2">
        <v>0</v>
      </c>
      <c r="D2">
        <v>0</v>
      </c>
      <c r="E2">
        <v>0</v>
      </c>
      <c r="F2">
        <v>50.04907</v>
      </c>
      <c r="G2">
        <v>0</v>
      </c>
      <c r="H2">
        <v>1</v>
      </c>
      <c r="I2">
        <v>1</v>
      </c>
      <c r="J2">
        <v>0</v>
      </c>
      <c r="K2">
        <v>36</v>
      </c>
      <c r="L2">
        <v>7</v>
      </c>
    </row>
    <row r="3" spans="1:12" x14ac:dyDescent="0.25">
      <c r="A3">
        <v>0</v>
      </c>
      <c r="B3">
        <v>1</v>
      </c>
      <c r="C3">
        <v>0</v>
      </c>
      <c r="D3">
        <v>0</v>
      </c>
      <c r="E3">
        <v>0</v>
      </c>
      <c r="F3">
        <v>150.32140000000001</v>
      </c>
      <c r="G3">
        <v>0</v>
      </c>
      <c r="H3">
        <v>1</v>
      </c>
      <c r="I3">
        <v>2</v>
      </c>
      <c r="J3">
        <v>0</v>
      </c>
      <c r="K3">
        <v>41</v>
      </c>
      <c r="L3">
        <v>0</v>
      </c>
    </row>
    <row r="4" spans="1:12" x14ac:dyDescent="0.25">
      <c r="A4">
        <v>0</v>
      </c>
      <c r="B4">
        <v>1</v>
      </c>
      <c r="C4">
        <v>0</v>
      </c>
      <c r="D4">
        <v>0</v>
      </c>
      <c r="E4">
        <v>0</v>
      </c>
      <c r="F4">
        <v>58.084290000000003</v>
      </c>
      <c r="G4">
        <v>0</v>
      </c>
      <c r="H4">
        <v>1</v>
      </c>
      <c r="I4">
        <v>3</v>
      </c>
      <c r="J4">
        <v>0</v>
      </c>
      <c r="K4">
        <v>107</v>
      </c>
      <c r="L4">
        <v>0</v>
      </c>
    </row>
    <row r="5" spans="1:12" x14ac:dyDescent="0.25">
      <c r="A5">
        <v>0</v>
      </c>
      <c r="B5">
        <v>1</v>
      </c>
      <c r="C5">
        <v>1</v>
      </c>
      <c r="D5">
        <v>0</v>
      </c>
      <c r="E5">
        <v>0</v>
      </c>
      <c r="F5">
        <v>2125559</v>
      </c>
      <c r="G5">
        <v>0</v>
      </c>
      <c r="H5">
        <v>12</v>
      </c>
      <c r="I5">
        <v>4</v>
      </c>
      <c r="J5">
        <v>0</v>
      </c>
      <c r="K5">
        <v>342</v>
      </c>
      <c r="L5">
        <v>4</v>
      </c>
    </row>
    <row r="6" spans="1:12" x14ac:dyDescent="0.25">
      <c r="A6">
        <v>0</v>
      </c>
      <c r="B6">
        <v>2</v>
      </c>
      <c r="C6">
        <v>0</v>
      </c>
      <c r="D6">
        <v>0</v>
      </c>
      <c r="E6">
        <v>0</v>
      </c>
      <c r="F6">
        <v>75.476320000000001</v>
      </c>
      <c r="G6">
        <v>0</v>
      </c>
      <c r="H6">
        <v>1</v>
      </c>
      <c r="I6">
        <v>2</v>
      </c>
      <c r="J6">
        <v>0</v>
      </c>
      <c r="K6">
        <v>34</v>
      </c>
      <c r="L6">
        <v>0</v>
      </c>
    </row>
    <row r="7" spans="1:12" x14ac:dyDescent="0.25">
      <c r="A7">
        <v>0</v>
      </c>
      <c r="B7">
        <v>2</v>
      </c>
      <c r="C7">
        <v>1</v>
      </c>
      <c r="D7">
        <v>0</v>
      </c>
      <c r="E7">
        <v>0</v>
      </c>
      <c r="F7">
        <v>0.15256120000000001</v>
      </c>
      <c r="G7">
        <v>0</v>
      </c>
      <c r="H7">
        <v>0</v>
      </c>
      <c r="I7">
        <v>0</v>
      </c>
      <c r="J7">
        <v>0</v>
      </c>
      <c r="K7">
        <v>0</v>
      </c>
      <c r="L7">
        <v>0</v>
      </c>
    </row>
    <row r="8" spans="1:12" x14ac:dyDescent="0.25">
      <c r="A8">
        <v>0</v>
      </c>
      <c r="B8">
        <v>1</v>
      </c>
      <c r="C8">
        <v>0</v>
      </c>
      <c r="D8">
        <v>0</v>
      </c>
      <c r="E8">
        <v>0</v>
      </c>
      <c r="F8">
        <v>89.030519999999996</v>
      </c>
      <c r="G8">
        <v>0</v>
      </c>
      <c r="H8">
        <v>0</v>
      </c>
      <c r="I8">
        <v>1</v>
      </c>
      <c r="J8">
        <v>1</v>
      </c>
      <c r="K8">
        <v>73</v>
      </c>
      <c r="L8">
        <v>0</v>
      </c>
    </row>
    <row r="9" spans="1:12" x14ac:dyDescent="0.25">
      <c r="A9">
        <v>0</v>
      </c>
      <c r="B9">
        <v>4</v>
      </c>
      <c r="C9">
        <v>0</v>
      </c>
      <c r="D9">
        <v>0</v>
      </c>
      <c r="E9">
        <v>217</v>
      </c>
      <c r="F9">
        <v>42.972349999999999</v>
      </c>
      <c r="G9">
        <v>0</v>
      </c>
      <c r="H9">
        <v>1</v>
      </c>
      <c r="I9">
        <v>1</v>
      </c>
      <c r="J9">
        <v>0</v>
      </c>
      <c r="K9">
        <v>22</v>
      </c>
      <c r="L9">
        <v>0</v>
      </c>
    </row>
    <row r="10" spans="1:12" x14ac:dyDescent="0.25">
      <c r="A10">
        <v>0</v>
      </c>
      <c r="B10">
        <v>2</v>
      </c>
      <c r="C10">
        <v>0</v>
      </c>
      <c r="D10">
        <v>0</v>
      </c>
      <c r="E10">
        <v>0</v>
      </c>
      <c r="F10">
        <v>115.1544</v>
      </c>
      <c r="G10">
        <v>40</v>
      </c>
      <c r="H10">
        <v>0</v>
      </c>
      <c r="I10">
        <v>1</v>
      </c>
      <c r="J10">
        <v>0</v>
      </c>
      <c r="K10">
        <v>537</v>
      </c>
      <c r="L10">
        <v>14</v>
      </c>
    </row>
    <row r="11" spans="1:12" x14ac:dyDescent="0.25">
      <c r="A11">
        <v>0</v>
      </c>
      <c r="B11">
        <v>1</v>
      </c>
      <c r="C11">
        <v>0</v>
      </c>
      <c r="D11">
        <v>1</v>
      </c>
      <c r="E11">
        <v>4</v>
      </c>
      <c r="F11">
        <v>855293</v>
      </c>
      <c r="G11">
        <v>40</v>
      </c>
      <c r="H11">
        <v>0</v>
      </c>
      <c r="I11">
        <v>1</v>
      </c>
      <c r="J11">
        <v>1</v>
      </c>
      <c r="K11">
        <v>131</v>
      </c>
      <c r="L11">
        <v>0</v>
      </c>
    </row>
    <row r="12" spans="1:12" x14ac:dyDescent="0.25">
      <c r="A12">
        <v>0</v>
      </c>
      <c r="B12">
        <v>1</v>
      </c>
      <c r="C12">
        <v>0</v>
      </c>
      <c r="D12">
        <v>0</v>
      </c>
      <c r="E12">
        <v>0</v>
      </c>
      <c r="F12">
        <v>73.221440000000001</v>
      </c>
      <c r="G12">
        <v>0</v>
      </c>
      <c r="H12">
        <v>0</v>
      </c>
      <c r="I12">
        <v>1</v>
      </c>
      <c r="J12">
        <v>0</v>
      </c>
      <c r="K12">
        <v>180</v>
      </c>
      <c r="L12">
        <v>5</v>
      </c>
    </row>
    <row r="13" spans="1:12" x14ac:dyDescent="0.25">
      <c r="A13">
        <v>0</v>
      </c>
      <c r="B13">
        <v>1</v>
      </c>
      <c r="C13">
        <v>0</v>
      </c>
      <c r="D13">
        <v>0</v>
      </c>
      <c r="E13">
        <v>0</v>
      </c>
      <c r="F13">
        <v>22.964479999999998</v>
      </c>
      <c r="G13">
        <v>0</v>
      </c>
      <c r="H13">
        <v>1</v>
      </c>
      <c r="I13">
        <v>1</v>
      </c>
      <c r="J13">
        <v>0</v>
      </c>
      <c r="K13">
        <v>55</v>
      </c>
      <c r="L13">
        <v>0</v>
      </c>
    </row>
    <row r="14" spans="1:12" x14ac:dyDescent="0.25">
      <c r="A14">
        <v>0</v>
      </c>
      <c r="B14">
        <v>1</v>
      </c>
      <c r="C14">
        <v>0</v>
      </c>
      <c r="D14">
        <v>0</v>
      </c>
      <c r="E14">
        <v>0</v>
      </c>
      <c r="F14">
        <v>127.774</v>
      </c>
      <c r="G14">
        <v>0</v>
      </c>
      <c r="H14">
        <v>0</v>
      </c>
      <c r="I14">
        <v>0</v>
      </c>
      <c r="J14">
        <v>0</v>
      </c>
      <c r="K14">
        <v>416</v>
      </c>
      <c r="L14">
        <v>0</v>
      </c>
    </row>
    <row r="15" spans="1:12" x14ac:dyDescent="0.25">
      <c r="A15">
        <v>0</v>
      </c>
      <c r="B15">
        <v>1</v>
      </c>
      <c r="C15">
        <v>0</v>
      </c>
      <c r="D15">
        <v>0</v>
      </c>
      <c r="E15">
        <v>0</v>
      </c>
      <c r="F15">
        <v>84.896850000000001</v>
      </c>
      <c r="G15">
        <v>0</v>
      </c>
      <c r="H15">
        <v>0</v>
      </c>
      <c r="I15">
        <v>2</v>
      </c>
      <c r="J15">
        <v>0</v>
      </c>
      <c r="K15">
        <v>93</v>
      </c>
      <c r="L15">
        <v>29</v>
      </c>
    </row>
    <row r="16" spans="1:12" x14ac:dyDescent="0.25">
      <c r="A16">
        <v>0</v>
      </c>
      <c r="B16">
        <v>3</v>
      </c>
      <c r="C16">
        <v>0</v>
      </c>
      <c r="D16">
        <v>4</v>
      </c>
      <c r="E16">
        <v>10</v>
      </c>
      <c r="F16">
        <v>39.011839999999999</v>
      </c>
      <c r="G16">
        <v>0</v>
      </c>
      <c r="H16">
        <v>1</v>
      </c>
      <c r="I16">
        <v>1</v>
      </c>
      <c r="J16">
        <v>0</v>
      </c>
      <c r="K16">
        <v>39</v>
      </c>
      <c r="L16">
        <v>0</v>
      </c>
    </row>
    <row r="17" spans="1:12" x14ac:dyDescent="0.25">
      <c r="A17">
        <v>0</v>
      </c>
      <c r="B17">
        <v>1</v>
      </c>
      <c r="C17">
        <v>0</v>
      </c>
      <c r="D17">
        <v>1</v>
      </c>
      <c r="E17">
        <v>5</v>
      </c>
      <c r="F17">
        <v>36.341430000000003</v>
      </c>
      <c r="G17">
        <v>0</v>
      </c>
      <c r="H17">
        <v>1</v>
      </c>
      <c r="I17">
        <v>1</v>
      </c>
      <c r="J17">
        <v>0</v>
      </c>
      <c r="K17">
        <v>21</v>
      </c>
      <c r="L17">
        <v>0</v>
      </c>
    </row>
    <row r="18" spans="1:12" x14ac:dyDescent="0.25">
      <c r="A18">
        <v>0</v>
      </c>
      <c r="B18">
        <v>2</v>
      </c>
      <c r="C18">
        <v>1</v>
      </c>
      <c r="D18">
        <v>1</v>
      </c>
      <c r="E18">
        <v>1214</v>
      </c>
      <c r="F18">
        <v>128.85839999999999</v>
      </c>
      <c r="G18">
        <v>0</v>
      </c>
      <c r="H18">
        <v>1</v>
      </c>
      <c r="I18">
        <v>3</v>
      </c>
      <c r="J18">
        <v>0</v>
      </c>
      <c r="K18">
        <v>100</v>
      </c>
      <c r="L18">
        <v>1</v>
      </c>
    </row>
    <row r="19" spans="1:12" x14ac:dyDescent="0.25">
      <c r="A19">
        <v>0</v>
      </c>
      <c r="B19">
        <v>1</v>
      </c>
      <c r="C19">
        <v>0</v>
      </c>
      <c r="D19">
        <v>0</v>
      </c>
      <c r="E19">
        <v>0</v>
      </c>
      <c r="F19">
        <v>32.801639999999999</v>
      </c>
      <c r="G19">
        <v>0</v>
      </c>
      <c r="H19">
        <v>1</v>
      </c>
      <c r="I19">
        <v>1</v>
      </c>
      <c r="J19">
        <v>0</v>
      </c>
      <c r="K19">
        <v>32</v>
      </c>
      <c r="L19">
        <v>5</v>
      </c>
    </row>
    <row r="20" spans="1:12" x14ac:dyDescent="0.25">
      <c r="A20">
        <v>0</v>
      </c>
      <c r="B20">
        <v>1</v>
      </c>
      <c r="C20">
        <v>0</v>
      </c>
      <c r="D20">
        <v>0</v>
      </c>
      <c r="E20">
        <v>0</v>
      </c>
      <c r="F20">
        <v>51.050049999999999</v>
      </c>
      <c r="G20">
        <v>0</v>
      </c>
      <c r="H20">
        <v>0</v>
      </c>
      <c r="I20">
        <v>2</v>
      </c>
      <c r="J20">
        <v>0</v>
      </c>
      <c r="K20">
        <v>156</v>
      </c>
      <c r="L20">
        <v>0</v>
      </c>
    </row>
    <row r="21" spans="1:12" x14ac:dyDescent="0.25">
      <c r="A21">
        <f>SUBTOTAL(101,temp12[Column1])</f>
        <v>0</v>
      </c>
      <c r="B21">
        <f>SUBTOTAL(101,temp12[Column2])</f>
        <v>1.631578947368421</v>
      </c>
      <c r="C21">
        <f>SUBTOTAL(101,temp12[Column3])</f>
        <v>0.15789473684210525</v>
      </c>
      <c r="D21">
        <f>SUBTOTAL(101,temp12[Column4])</f>
        <v>0.36842105263157893</v>
      </c>
      <c r="E21">
        <f>SUBTOTAL(101,temp12[Column5])</f>
        <v>76.315789473684205</v>
      </c>
      <c r="F21">
        <f>SUBTOTAL(101,temp12[Column6])</f>
        <v>156948.9558442737</v>
      </c>
      <c r="G21">
        <f>SUBTOTAL(101,temp12[Column7])</f>
        <v>4.2105263157894735</v>
      </c>
      <c r="H21">
        <f>SUBTOTAL(101,temp12[Column8])</f>
        <v>1.1578947368421053</v>
      </c>
      <c r="I21">
        <f>SUBTOTAL(101,temp12[Column9])</f>
        <v>1.4736842105263157</v>
      </c>
      <c r="J21">
        <f>SUBTOTAL(101,temp12[Column10])</f>
        <v>0.10526315789473684</v>
      </c>
      <c r="K21">
        <f>SUBTOTAL(101,temp12[Column11])</f>
        <v>127.10526315789474</v>
      </c>
      <c r="L21">
        <f>SUBTOTAL(101,temp12[Column12])</f>
        <v>3.4210526315789473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93714-B106-4214-8272-066DD9F13B68}">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4</v>
      </c>
      <c r="B2">
        <v>4</v>
      </c>
      <c r="C2">
        <v>1</v>
      </c>
      <c r="D2">
        <v>1</v>
      </c>
      <c r="E2">
        <v>1259</v>
      </c>
      <c r="F2">
        <v>280.2747</v>
      </c>
      <c r="G2">
        <v>640</v>
      </c>
      <c r="H2">
        <v>0</v>
      </c>
      <c r="I2">
        <v>4</v>
      </c>
      <c r="J2">
        <v>4</v>
      </c>
      <c r="K2">
        <v>48</v>
      </c>
      <c r="L2">
        <v>49</v>
      </c>
    </row>
    <row r="3" spans="1:12" x14ac:dyDescent="0.25">
      <c r="A3">
        <v>1</v>
      </c>
      <c r="B3">
        <v>1</v>
      </c>
      <c r="C3">
        <v>0</v>
      </c>
      <c r="D3">
        <v>0</v>
      </c>
      <c r="E3">
        <v>0</v>
      </c>
      <c r="F3">
        <v>61.394530000000003</v>
      </c>
      <c r="G3">
        <v>240</v>
      </c>
      <c r="H3">
        <v>2</v>
      </c>
      <c r="I3">
        <v>2</v>
      </c>
      <c r="J3">
        <v>3</v>
      </c>
      <c r="K3">
        <v>53</v>
      </c>
      <c r="L3">
        <v>0</v>
      </c>
    </row>
    <row r="4" spans="1:12" x14ac:dyDescent="0.25">
      <c r="A4">
        <v>0</v>
      </c>
      <c r="B4">
        <v>1</v>
      </c>
      <c r="C4">
        <v>0</v>
      </c>
      <c r="D4">
        <v>0</v>
      </c>
      <c r="E4">
        <v>0</v>
      </c>
      <c r="F4">
        <v>49.891419999999997</v>
      </c>
      <c r="G4">
        <v>120</v>
      </c>
      <c r="H4">
        <v>1</v>
      </c>
      <c r="I4">
        <v>1</v>
      </c>
      <c r="J4">
        <v>2</v>
      </c>
      <c r="K4">
        <v>79</v>
      </c>
      <c r="L4">
        <v>0</v>
      </c>
    </row>
    <row r="5" spans="1:12" x14ac:dyDescent="0.25">
      <c r="A5">
        <v>8</v>
      </c>
      <c r="B5">
        <v>4</v>
      </c>
      <c r="C5">
        <v>0</v>
      </c>
      <c r="D5">
        <v>0</v>
      </c>
      <c r="E5">
        <v>0</v>
      </c>
      <c r="F5">
        <v>2790021</v>
      </c>
      <c r="G5">
        <v>1480</v>
      </c>
      <c r="H5">
        <v>0</v>
      </c>
      <c r="I5">
        <v>9</v>
      </c>
      <c r="J5">
        <v>20</v>
      </c>
      <c r="K5">
        <v>469</v>
      </c>
      <c r="L5">
        <v>45</v>
      </c>
    </row>
    <row r="6" spans="1:12" x14ac:dyDescent="0.25">
      <c r="A6">
        <v>3</v>
      </c>
      <c r="B6">
        <v>4</v>
      </c>
      <c r="C6">
        <v>1</v>
      </c>
      <c r="D6">
        <v>2</v>
      </c>
      <c r="E6">
        <v>72</v>
      </c>
      <c r="F6">
        <v>148.99459999999999</v>
      </c>
      <c r="G6">
        <v>840</v>
      </c>
      <c r="H6">
        <v>0</v>
      </c>
      <c r="I6">
        <v>5</v>
      </c>
      <c r="J6">
        <v>9</v>
      </c>
      <c r="K6">
        <v>40</v>
      </c>
      <c r="L6">
        <v>0</v>
      </c>
    </row>
    <row r="7" spans="1:12" x14ac:dyDescent="0.25">
      <c r="A7">
        <v>0</v>
      </c>
      <c r="B7">
        <v>2</v>
      </c>
      <c r="C7">
        <v>1</v>
      </c>
      <c r="D7">
        <v>0</v>
      </c>
      <c r="E7">
        <v>0</v>
      </c>
      <c r="F7">
        <v>0.1595058</v>
      </c>
      <c r="G7">
        <v>0</v>
      </c>
      <c r="H7">
        <v>0</v>
      </c>
      <c r="I7">
        <v>0</v>
      </c>
      <c r="J7">
        <v>0</v>
      </c>
      <c r="K7">
        <v>0</v>
      </c>
      <c r="L7">
        <v>0</v>
      </c>
    </row>
    <row r="8" spans="1:12" x14ac:dyDescent="0.25">
      <c r="A8">
        <v>12</v>
      </c>
      <c r="B8">
        <v>4</v>
      </c>
      <c r="C8">
        <v>1</v>
      </c>
      <c r="D8">
        <v>0</v>
      </c>
      <c r="E8">
        <v>0</v>
      </c>
      <c r="F8">
        <v>382.0283</v>
      </c>
      <c r="G8">
        <v>1680</v>
      </c>
      <c r="H8">
        <v>0</v>
      </c>
      <c r="I8">
        <v>11</v>
      </c>
      <c r="J8">
        <v>11</v>
      </c>
      <c r="K8">
        <v>130</v>
      </c>
      <c r="L8">
        <v>0</v>
      </c>
    </row>
    <row r="9" spans="1:12" x14ac:dyDescent="0.25">
      <c r="A9">
        <v>1</v>
      </c>
      <c r="B9">
        <v>4</v>
      </c>
      <c r="C9">
        <v>0</v>
      </c>
      <c r="D9">
        <v>3</v>
      </c>
      <c r="E9">
        <v>109</v>
      </c>
      <c r="F9">
        <v>104.15009999999999</v>
      </c>
      <c r="G9">
        <v>280</v>
      </c>
      <c r="H9">
        <v>3</v>
      </c>
      <c r="I9">
        <v>2</v>
      </c>
      <c r="J9">
        <v>3</v>
      </c>
      <c r="K9">
        <v>28</v>
      </c>
      <c r="L9">
        <v>19</v>
      </c>
    </row>
    <row r="10" spans="1:12" x14ac:dyDescent="0.25">
      <c r="A10">
        <v>4</v>
      </c>
      <c r="B10">
        <v>3</v>
      </c>
      <c r="C10">
        <v>1</v>
      </c>
      <c r="D10">
        <v>0</v>
      </c>
      <c r="E10">
        <v>0</v>
      </c>
      <c r="F10">
        <v>70.460080000000005</v>
      </c>
      <c r="G10">
        <v>480</v>
      </c>
      <c r="H10">
        <v>0</v>
      </c>
      <c r="I10">
        <v>3</v>
      </c>
      <c r="J10">
        <v>0</v>
      </c>
      <c r="K10">
        <v>127</v>
      </c>
      <c r="L10">
        <v>4</v>
      </c>
    </row>
    <row r="11" spans="1:12" x14ac:dyDescent="0.25">
      <c r="A11">
        <v>0</v>
      </c>
      <c r="B11">
        <v>1</v>
      </c>
      <c r="C11">
        <v>0</v>
      </c>
      <c r="D11">
        <v>3</v>
      </c>
      <c r="E11">
        <v>14</v>
      </c>
      <c r="F11">
        <v>9760205</v>
      </c>
      <c r="G11">
        <v>240</v>
      </c>
      <c r="H11">
        <v>0</v>
      </c>
      <c r="I11">
        <v>1</v>
      </c>
      <c r="J11">
        <v>4</v>
      </c>
      <c r="K11">
        <v>83</v>
      </c>
      <c r="L11">
        <v>9</v>
      </c>
    </row>
    <row r="12" spans="1:12" x14ac:dyDescent="0.25">
      <c r="A12">
        <v>1</v>
      </c>
      <c r="B12">
        <v>1</v>
      </c>
      <c r="C12">
        <v>1</v>
      </c>
      <c r="D12">
        <v>0</v>
      </c>
      <c r="E12">
        <v>0</v>
      </c>
      <c r="F12">
        <v>22.834720000000001</v>
      </c>
      <c r="G12">
        <v>120</v>
      </c>
      <c r="H12">
        <v>0</v>
      </c>
      <c r="I12">
        <v>1</v>
      </c>
      <c r="J12">
        <v>1</v>
      </c>
      <c r="K12">
        <v>27</v>
      </c>
      <c r="L12">
        <v>5</v>
      </c>
    </row>
    <row r="13" spans="1:12" x14ac:dyDescent="0.25">
      <c r="A13">
        <v>1</v>
      </c>
      <c r="B13">
        <v>1</v>
      </c>
      <c r="C13">
        <v>0</v>
      </c>
      <c r="D13">
        <v>0</v>
      </c>
      <c r="E13">
        <v>0</v>
      </c>
      <c r="F13">
        <v>45.46387</v>
      </c>
      <c r="G13">
        <v>160</v>
      </c>
      <c r="H13">
        <v>4</v>
      </c>
      <c r="I13">
        <v>2</v>
      </c>
      <c r="J13">
        <v>3</v>
      </c>
      <c r="K13">
        <v>72</v>
      </c>
      <c r="L13">
        <v>0</v>
      </c>
    </row>
    <row r="14" spans="1:12" x14ac:dyDescent="0.25">
      <c r="A14">
        <v>2</v>
      </c>
      <c r="B14">
        <v>2</v>
      </c>
      <c r="C14">
        <v>1</v>
      </c>
      <c r="D14">
        <v>0</v>
      </c>
      <c r="E14">
        <v>0</v>
      </c>
      <c r="F14">
        <v>57.474429999999998</v>
      </c>
      <c r="G14">
        <v>240</v>
      </c>
      <c r="H14">
        <v>0</v>
      </c>
      <c r="I14">
        <v>0</v>
      </c>
      <c r="J14">
        <v>0</v>
      </c>
      <c r="K14">
        <v>121</v>
      </c>
      <c r="L14">
        <v>0</v>
      </c>
    </row>
    <row r="15" spans="1:12" x14ac:dyDescent="0.25">
      <c r="A15">
        <v>1</v>
      </c>
      <c r="B15">
        <v>1</v>
      </c>
      <c r="C15">
        <v>0</v>
      </c>
      <c r="D15">
        <v>0</v>
      </c>
      <c r="E15">
        <v>0</v>
      </c>
      <c r="F15">
        <v>139.58459999999999</v>
      </c>
      <c r="G15">
        <v>200</v>
      </c>
      <c r="H15">
        <v>0</v>
      </c>
      <c r="I15">
        <v>2</v>
      </c>
      <c r="J15">
        <v>1</v>
      </c>
      <c r="K15">
        <v>47</v>
      </c>
      <c r="L15">
        <v>281</v>
      </c>
    </row>
    <row r="16" spans="1:12" x14ac:dyDescent="0.25">
      <c r="A16">
        <v>0</v>
      </c>
      <c r="B16">
        <v>1</v>
      </c>
      <c r="C16">
        <v>0</v>
      </c>
      <c r="D16">
        <v>4</v>
      </c>
      <c r="E16">
        <v>9</v>
      </c>
      <c r="F16">
        <v>48.923340000000003</v>
      </c>
      <c r="G16">
        <v>80</v>
      </c>
      <c r="H16">
        <v>1</v>
      </c>
      <c r="I16">
        <v>1</v>
      </c>
      <c r="J16">
        <v>2</v>
      </c>
      <c r="K16">
        <v>13</v>
      </c>
      <c r="L16">
        <v>0</v>
      </c>
    </row>
    <row r="17" spans="1:12" x14ac:dyDescent="0.25">
      <c r="A17">
        <v>1</v>
      </c>
      <c r="B17">
        <v>2</v>
      </c>
      <c r="C17">
        <v>0</v>
      </c>
      <c r="D17">
        <v>6</v>
      </c>
      <c r="E17">
        <v>18</v>
      </c>
      <c r="F17">
        <v>62.942019999999999</v>
      </c>
      <c r="G17">
        <v>200</v>
      </c>
      <c r="H17">
        <v>2</v>
      </c>
      <c r="I17">
        <v>3</v>
      </c>
      <c r="J17">
        <v>2</v>
      </c>
      <c r="K17">
        <v>13</v>
      </c>
      <c r="L17">
        <v>0</v>
      </c>
    </row>
    <row r="18" spans="1:12" x14ac:dyDescent="0.25">
      <c r="A18">
        <v>1</v>
      </c>
      <c r="B18">
        <v>3</v>
      </c>
      <c r="C18">
        <v>1</v>
      </c>
      <c r="D18">
        <v>1</v>
      </c>
      <c r="E18">
        <v>491</v>
      </c>
      <c r="F18">
        <v>51.048580000000001</v>
      </c>
      <c r="G18">
        <v>200</v>
      </c>
      <c r="H18">
        <v>2</v>
      </c>
      <c r="I18">
        <v>2</v>
      </c>
      <c r="J18">
        <v>17</v>
      </c>
      <c r="K18">
        <v>64</v>
      </c>
      <c r="L18">
        <v>0</v>
      </c>
    </row>
    <row r="19" spans="1:12" x14ac:dyDescent="0.25">
      <c r="A19">
        <v>0</v>
      </c>
      <c r="B19">
        <v>1</v>
      </c>
      <c r="C19">
        <v>0</v>
      </c>
      <c r="D19">
        <v>0</v>
      </c>
      <c r="E19">
        <v>0</v>
      </c>
      <c r="F19">
        <v>31.878540000000001</v>
      </c>
      <c r="G19">
        <v>120</v>
      </c>
      <c r="H19">
        <v>1</v>
      </c>
      <c r="I19">
        <v>1</v>
      </c>
      <c r="J19">
        <v>1</v>
      </c>
      <c r="K19">
        <v>38</v>
      </c>
      <c r="L19">
        <v>0</v>
      </c>
    </row>
    <row r="20" spans="1:12" x14ac:dyDescent="0.25">
      <c r="A20">
        <v>1</v>
      </c>
      <c r="B20">
        <v>2</v>
      </c>
      <c r="C20">
        <v>1</v>
      </c>
      <c r="D20">
        <v>0</v>
      </c>
      <c r="E20">
        <v>0</v>
      </c>
      <c r="F20">
        <v>44.227229999999999</v>
      </c>
      <c r="G20">
        <v>200</v>
      </c>
      <c r="H20">
        <v>0</v>
      </c>
      <c r="I20">
        <v>2</v>
      </c>
      <c r="J20">
        <v>0</v>
      </c>
      <c r="K20">
        <v>100</v>
      </c>
      <c r="L20">
        <v>2</v>
      </c>
    </row>
    <row r="21" spans="1:12" x14ac:dyDescent="0.25">
      <c r="A21">
        <f>SUBTOTAL(101,temp11[Column1])</f>
        <v>2.1578947368421053</v>
      </c>
      <c r="B21">
        <f>SUBTOTAL(101,temp11[Column2])</f>
        <v>2.2105263157894739</v>
      </c>
      <c r="C21">
        <f>SUBTOTAL(101,temp11[Column3])</f>
        <v>0.47368421052631576</v>
      </c>
      <c r="D21">
        <f>SUBTOTAL(101,temp11[Column4])</f>
        <v>1.0526315789473684</v>
      </c>
      <c r="E21">
        <f>SUBTOTAL(101,temp11[Column5])</f>
        <v>103.78947368421052</v>
      </c>
      <c r="F21">
        <f>SUBTOTAL(101,temp11[Column6])</f>
        <v>660622.51213504223</v>
      </c>
      <c r="G21">
        <f>SUBTOTAL(101,temp11[Column7])</f>
        <v>395.78947368421052</v>
      </c>
      <c r="H21">
        <f>SUBTOTAL(101,temp11[Column8])</f>
        <v>0.84210526315789469</v>
      </c>
      <c r="I21">
        <f>SUBTOTAL(101,temp11[Column9])</f>
        <v>2.736842105263158</v>
      </c>
      <c r="J21">
        <f>SUBTOTAL(101,temp11[Column10])</f>
        <v>4.3684210526315788</v>
      </c>
      <c r="K21">
        <f>SUBTOTAL(101,temp11[Column11])</f>
        <v>81.684210526315795</v>
      </c>
      <c r="L21">
        <f>SUBTOTAL(101,temp11[Column12])</f>
        <v>21.789473684210527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4F54-A76D-49EC-8B75-6FBBD530F406}">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8</v>
      </c>
      <c r="B2">
        <v>2</v>
      </c>
      <c r="C2">
        <v>0</v>
      </c>
      <c r="D2">
        <v>4</v>
      </c>
      <c r="E2">
        <v>312</v>
      </c>
      <c r="F2">
        <v>325.01639999999998</v>
      </c>
      <c r="G2">
        <v>1120</v>
      </c>
      <c r="H2">
        <v>27</v>
      </c>
      <c r="I2">
        <v>9</v>
      </c>
      <c r="J2">
        <v>2</v>
      </c>
      <c r="K2">
        <v>71</v>
      </c>
      <c r="L2">
        <v>38</v>
      </c>
    </row>
    <row r="3" spans="1:12" x14ac:dyDescent="0.25">
      <c r="A3">
        <v>2</v>
      </c>
      <c r="B3">
        <v>1</v>
      </c>
      <c r="C3">
        <v>0</v>
      </c>
      <c r="D3">
        <v>0</v>
      </c>
      <c r="E3">
        <v>0</v>
      </c>
      <c r="F3">
        <v>116.7777</v>
      </c>
      <c r="G3">
        <v>440</v>
      </c>
      <c r="H3">
        <v>2</v>
      </c>
      <c r="I3">
        <v>3</v>
      </c>
      <c r="J3">
        <v>8</v>
      </c>
      <c r="K3">
        <v>146</v>
      </c>
      <c r="L3">
        <v>17</v>
      </c>
    </row>
    <row r="4" spans="1:12" x14ac:dyDescent="0.25">
      <c r="A4">
        <v>0</v>
      </c>
      <c r="B4">
        <v>1</v>
      </c>
      <c r="C4">
        <v>0</v>
      </c>
      <c r="D4">
        <v>0</v>
      </c>
      <c r="E4">
        <v>0</v>
      </c>
      <c r="F4">
        <v>47.073549999999997</v>
      </c>
      <c r="G4">
        <v>120</v>
      </c>
      <c r="H4">
        <v>1</v>
      </c>
      <c r="I4">
        <v>1</v>
      </c>
      <c r="J4">
        <v>2</v>
      </c>
      <c r="K4">
        <v>56</v>
      </c>
      <c r="L4">
        <v>0</v>
      </c>
    </row>
    <row r="5" spans="1:12" x14ac:dyDescent="0.25">
      <c r="A5">
        <v>3</v>
      </c>
      <c r="B5">
        <v>2</v>
      </c>
      <c r="C5">
        <v>0</v>
      </c>
      <c r="D5">
        <v>0</v>
      </c>
      <c r="E5">
        <v>83</v>
      </c>
      <c r="F5">
        <v>1536423</v>
      </c>
      <c r="G5">
        <v>560</v>
      </c>
      <c r="H5">
        <v>0</v>
      </c>
      <c r="I5">
        <v>5</v>
      </c>
      <c r="J5">
        <v>5</v>
      </c>
      <c r="K5">
        <v>264</v>
      </c>
      <c r="L5">
        <v>27</v>
      </c>
    </row>
    <row r="6" spans="1:12" x14ac:dyDescent="0.25">
      <c r="A6">
        <v>1</v>
      </c>
      <c r="B6">
        <v>1</v>
      </c>
      <c r="C6">
        <v>0</v>
      </c>
      <c r="D6">
        <v>1</v>
      </c>
      <c r="E6">
        <v>31</v>
      </c>
      <c r="F6">
        <v>185.50290000000001</v>
      </c>
      <c r="G6">
        <v>360</v>
      </c>
      <c r="H6">
        <v>0</v>
      </c>
      <c r="I6">
        <v>2</v>
      </c>
      <c r="J6">
        <v>5</v>
      </c>
      <c r="K6">
        <v>59</v>
      </c>
      <c r="L6">
        <v>1</v>
      </c>
    </row>
    <row r="7" spans="1:12" x14ac:dyDescent="0.25">
      <c r="A7">
        <v>0</v>
      </c>
      <c r="B7">
        <v>2</v>
      </c>
      <c r="C7">
        <v>1</v>
      </c>
      <c r="D7">
        <v>0</v>
      </c>
      <c r="E7">
        <v>0</v>
      </c>
      <c r="F7">
        <v>0.13819409999999999</v>
      </c>
      <c r="G7">
        <v>0</v>
      </c>
      <c r="H7">
        <v>0</v>
      </c>
      <c r="I7">
        <v>0</v>
      </c>
      <c r="J7">
        <v>0</v>
      </c>
      <c r="K7">
        <v>0</v>
      </c>
      <c r="L7">
        <v>0</v>
      </c>
    </row>
    <row r="8" spans="1:12" x14ac:dyDescent="0.25">
      <c r="A8">
        <v>10</v>
      </c>
      <c r="B8">
        <v>4</v>
      </c>
      <c r="C8">
        <v>1</v>
      </c>
      <c r="D8">
        <v>0</v>
      </c>
      <c r="E8">
        <v>0</v>
      </c>
      <c r="F8">
        <v>273.16309999999999</v>
      </c>
      <c r="G8">
        <v>1360</v>
      </c>
      <c r="H8">
        <v>0</v>
      </c>
      <c r="I8">
        <v>9</v>
      </c>
      <c r="J8">
        <v>7</v>
      </c>
      <c r="K8">
        <v>117</v>
      </c>
      <c r="L8">
        <v>0</v>
      </c>
    </row>
    <row r="9" spans="1:12" x14ac:dyDescent="0.25">
      <c r="A9">
        <v>0</v>
      </c>
      <c r="B9">
        <v>2</v>
      </c>
      <c r="C9">
        <v>0</v>
      </c>
      <c r="D9">
        <v>3</v>
      </c>
      <c r="E9">
        <v>102</v>
      </c>
      <c r="F9">
        <v>42.68289</v>
      </c>
      <c r="G9">
        <v>200</v>
      </c>
      <c r="H9">
        <v>1</v>
      </c>
      <c r="I9">
        <v>1</v>
      </c>
      <c r="J9">
        <v>2</v>
      </c>
      <c r="K9">
        <v>17</v>
      </c>
      <c r="L9">
        <v>0</v>
      </c>
    </row>
    <row r="10" spans="1:12" x14ac:dyDescent="0.25">
      <c r="A10">
        <v>1</v>
      </c>
      <c r="B10">
        <v>3</v>
      </c>
      <c r="C10">
        <v>1</v>
      </c>
      <c r="D10">
        <v>0</v>
      </c>
      <c r="E10">
        <v>0</v>
      </c>
      <c r="F10">
        <v>37.531860000000002</v>
      </c>
      <c r="G10">
        <v>120</v>
      </c>
      <c r="H10">
        <v>0</v>
      </c>
      <c r="I10">
        <v>1</v>
      </c>
      <c r="J10">
        <v>0</v>
      </c>
      <c r="K10">
        <v>98</v>
      </c>
      <c r="L10">
        <v>11</v>
      </c>
    </row>
    <row r="11" spans="1:12" x14ac:dyDescent="0.25">
      <c r="A11">
        <v>2</v>
      </c>
      <c r="B11">
        <v>2</v>
      </c>
      <c r="C11">
        <v>0</v>
      </c>
      <c r="D11">
        <v>2</v>
      </c>
      <c r="E11">
        <v>11</v>
      </c>
      <c r="F11">
        <v>1696812</v>
      </c>
      <c r="G11">
        <v>360</v>
      </c>
      <c r="H11">
        <v>0</v>
      </c>
      <c r="I11">
        <v>3</v>
      </c>
      <c r="J11">
        <v>3</v>
      </c>
      <c r="K11">
        <v>131</v>
      </c>
      <c r="L11">
        <v>1</v>
      </c>
    </row>
    <row r="12" spans="1:12" x14ac:dyDescent="0.25">
      <c r="A12">
        <v>2</v>
      </c>
      <c r="B12">
        <v>3</v>
      </c>
      <c r="C12">
        <v>1</v>
      </c>
      <c r="D12">
        <v>0</v>
      </c>
      <c r="E12">
        <v>0</v>
      </c>
      <c r="F12">
        <v>98.345950000000002</v>
      </c>
      <c r="G12">
        <v>400</v>
      </c>
      <c r="H12">
        <v>0</v>
      </c>
      <c r="I12">
        <v>4</v>
      </c>
      <c r="J12">
        <v>16</v>
      </c>
      <c r="K12">
        <v>142</v>
      </c>
      <c r="L12">
        <v>0</v>
      </c>
    </row>
    <row r="13" spans="1:12" x14ac:dyDescent="0.25">
      <c r="A13">
        <v>0</v>
      </c>
      <c r="B13">
        <v>1</v>
      </c>
      <c r="C13">
        <v>0</v>
      </c>
      <c r="D13">
        <v>0</v>
      </c>
      <c r="E13">
        <v>0</v>
      </c>
      <c r="F13">
        <v>23.447019999999998</v>
      </c>
      <c r="G13">
        <v>0</v>
      </c>
      <c r="H13">
        <v>1</v>
      </c>
      <c r="I13">
        <v>1</v>
      </c>
      <c r="J13">
        <v>0</v>
      </c>
      <c r="K13">
        <v>49</v>
      </c>
      <c r="L13">
        <v>0</v>
      </c>
    </row>
    <row r="14" spans="1:12" x14ac:dyDescent="0.25">
      <c r="A14">
        <v>2</v>
      </c>
      <c r="B14">
        <v>2</v>
      </c>
      <c r="C14">
        <v>1</v>
      </c>
      <c r="D14">
        <v>0</v>
      </c>
      <c r="E14">
        <v>0</v>
      </c>
      <c r="F14">
        <v>55.024900000000002</v>
      </c>
      <c r="G14">
        <v>280</v>
      </c>
      <c r="H14">
        <v>0</v>
      </c>
      <c r="I14">
        <v>0</v>
      </c>
      <c r="J14">
        <v>0</v>
      </c>
      <c r="K14">
        <v>122</v>
      </c>
      <c r="L14">
        <v>0</v>
      </c>
    </row>
    <row r="15" spans="1:12" x14ac:dyDescent="0.25">
      <c r="A15">
        <v>0</v>
      </c>
      <c r="B15">
        <v>1</v>
      </c>
      <c r="C15">
        <v>0</v>
      </c>
      <c r="D15">
        <v>0</v>
      </c>
      <c r="E15">
        <v>0</v>
      </c>
      <c r="F15">
        <v>115.9551</v>
      </c>
      <c r="G15">
        <v>120</v>
      </c>
      <c r="H15">
        <v>0</v>
      </c>
      <c r="I15">
        <v>2</v>
      </c>
      <c r="J15">
        <v>2</v>
      </c>
      <c r="K15">
        <v>52</v>
      </c>
      <c r="L15">
        <v>278</v>
      </c>
    </row>
    <row r="16" spans="1:12" x14ac:dyDescent="0.25">
      <c r="A16">
        <v>0</v>
      </c>
      <c r="B16">
        <v>1</v>
      </c>
      <c r="C16">
        <v>0</v>
      </c>
      <c r="D16">
        <v>7</v>
      </c>
      <c r="E16">
        <v>14</v>
      </c>
      <c r="F16">
        <v>44.533810000000003</v>
      </c>
      <c r="G16">
        <v>80</v>
      </c>
      <c r="H16">
        <v>1</v>
      </c>
      <c r="I16">
        <v>1</v>
      </c>
      <c r="J16">
        <v>1</v>
      </c>
      <c r="K16">
        <v>15</v>
      </c>
      <c r="L16">
        <v>0</v>
      </c>
    </row>
    <row r="17" spans="1:12" x14ac:dyDescent="0.25">
      <c r="A17">
        <v>0</v>
      </c>
      <c r="B17">
        <v>1</v>
      </c>
      <c r="C17">
        <v>0</v>
      </c>
      <c r="D17">
        <v>2</v>
      </c>
      <c r="E17">
        <v>7</v>
      </c>
      <c r="F17">
        <v>40.525509999999997</v>
      </c>
      <c r="G17">
        <v>120</v>
      </c>
      <c r="H17">
        <v>1</v>
      </c>
      <c r="I17">
        <v>1</v>
      </c>
      <c r="J17">
        <v>1</v>
      </c>
      <c r="K17">
        <v>10</v>
      </c>
      <c r="L17">
        <v>0</v>
      </c>
    </row>
    <row r="18" spans="1:12" x14ac:dyDescent="0.25">
      <c r="A18">
        <v>0</v>
      </c>
      <c r="B18">
        <v>4</v>
      </c>
      <c r="C18">
        <v>1</v>
      </c>
      <c r="D18">
        <v>1</v>
      </c>
      <c r="E18">
        <v>181</v>
      </c>
      <c r="F18">
        <v>20.774290000000001</v>
      </c>
      <c r="G18">
        <v>0</v>
      </c>
      <c r="H18">
        <v>0</v>
      </c>
      <c r="I18">
        <v>0</v>
      </c>
      <c r="J18">
        <v>0</v>
      </c>
      <c r="K18">
        <v>1</v>
      </c>
      <c r="L18">
        <v>0</v>
      </c>
    </row>
    <row r="19" spans="1:12" x14ac:dyDescent="0.25">
      <c r="A19">
        <v>3</v>
      </c>
      <c r="B19">
        <v>3</v>
      </c>
      <c r="C19">
        <v>0</v>
      </c>
      <c r="D19">
        <v>0</v>
      </c>
      <c r="E19">
        <v>0</v>
      </c>
      <c r="F19">
        <v>94.010130000000004</v>
      </c>
      <c r="G19">
        <v>720</v>
      </c>
      <c r="H19">
        <v>4</v>
      </c>
      <c r="I19">
        <v>4</v>
      </c>
      <c r="J19">
        <v>21</v>
      </c>
      <c r="K19">
        <v>99</v>
      </c>
      <c r="L19">
        <v>58</v>
      </c>
    </row>
    <row r="20" spans="1:12" x14ac:dyDescent="0.25">
      <c r="A20">
        <v>1</v>
      </c>
      <c r="B20">
        <v>3</v>
      </c>
      <c r="C20">
        <v>1</v>
      </c>
      <c r="D20">
        <v>0</v>
      </c>
      <c r="E20">
        <v>0</v>
      </c>
      <c r="F20">
        <v>14.62903</v>
      </c>
      <c r="G20">
        <v>120</v>
      </c>
      <c r="H20">
        <v>0</v>
      </c>
      <c r="I20">
        <v>1</v>
      </c>
      <c r="J20">
        <v>0</v>
      </c>
      <c r="K20">
        <v>13</v>
      </c>
      <c r="L20">
        <v>3</v>
      </c>
    </row>
    <row r="21" spans="1:12" x14ac:dyDescent="0.25">
      <c r="A21">
        <f>SUBTOTAL(101,temp10[Column1])</f>
        <v>1.8421052631578947</v>
      </c>
      <c r="B21">
        <f>SUBTOTAL(101,temp10[Column2])</f>
        <v>2.0526315789473686</v>
      </c>
      <c r="C21">
        <f>SUBTOTAL(101,temp10[Column3])</f>
        <v>0.36842105263157893</v>
      </c>
      <c r="D21">
        <f>SUBTOTAL(101,temp10[Column4])</f>
        <v>1.0526315789473684</v>
      </c>
      <c r="E21">
        <f>SUBTOTAL(101,temp10[Column5])</f>
        <v>39</v>
      </c>
      <c r="F21">
        <f>SUBTOTAL(101,temp10[Column6])</f>
        <v>170251.05959653156</v>
      </c>
      <c r="G21">
        <f>SUBTOTAL(101,temp10[Column7])</f>
        <v>341.05263157894734</v>
      </c>
      <c r="H21">
        <f>SUBTOTAL(101,temp10[Column8])</f>
        <v>2</v>
      </c>
      <c r="I21">
        <f>SUBTOTAL(101,temp10[Column9])</f>
        <v>2.5263157894736841</v>
      </c>
      <c r="J21">
        <f>SUBTOTAL(101,temp10[Column10])</f>
        <v>3.9473684210526314</v>
      </c>
      <c r="K21">
        <f>SUBTOTAL(101,temp10[Column11])</f>
        <v>76.94736842105263</v>
      </c>
      <c r="L21">
        <f>SUBTOTAL(101,temp10[Column12])</f>
        <v>22.842105263157894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1F982-220D-45E8-8B81-C97752429B04}">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2</v>
      </c>
      <c r="B2">
        <v>4</v>
      </c>
      <c r="C2">
        <v>1</v>
      </c>
      <c r="D2">
        <v>2</v>
      </c>
      <c r="E2">
        <v>1933</v>
      </c>
      <c r="F2">
        <v>160.8691</v>
      </c>
      <c r="G2">
        <v>480</v>
      </c>
      <c r="H2">
        <v>0</v>
      </c>
      <c r="I2">
        <v>2</v>
      </c>
      <c r="J2">
        <v>5</v>
      </c>
      <c r="K2">
        <v>27</v>
      </c>
      <c r="L2">
        <v>37</v>
      </c>
    </row>
    <row r="3" spans="1:12" x14ac:dyDescent="0.25">
      <c r="A3">
        <v>4</v>
      </c>
      <c r="B3">
        <v>1</v>
      </c>
      <c r="C3">
        <v>0</v>
      </c>
      <c r="D3">
        <v>0</v>
      </c>
      <c r="E3">
        <v>0</v>
      </c>
      <c r="F3">
        <v>163.14830000000001</v>
      </c>
      <c r="G3">
        <v>840</v>
      </c>
      <c r="H3">
        <v>0</v>
      </c>
      <c r="I3">
        <v>5</v>
      </c>
      <c r="J3">
        <v>11</v>
      </c>
      <c r="K3">
        <v>213</v>
      </c>
      <c r="L3">
        <v>50</v>
      </c>
    </row>
    <row r="4" spans="1:12" x14ac:dyDescent="0.25">
      <c r="A4">
        <v>1</v>
      </c>
      <c r="B4">
        <v>1</v>
      </c>
      <c r="C4">
        <v>0</v>
      </c>
      <c r="D4">
        <v>0</v>
      </c>
      <c r="E4">
        <v>0</v>
      </c>
      <c r="F4">
        <v>64.251339999999999</v>
      </c>
      <c r="G4">
        <v>320</v>
      </c>
      <c r="H4">
        <v>2</v>
      </c>
      <c r="I4">
        <v>2</v>
      </c>
      <c r="J4">
        <v>5</v>
      </c>
      <c r="K4">
        <v>70</v>
      </c>
      <c r="L4">
        <v>0</v>
      </c>
    </row>
    <row r="5" spans="1:12" x14ac:dyDescent="0.25">
      <c r="A5">
        <v>1</v>
      </c>
      <c r="B5">
        <v>3</v>
      </c>
      <c r="C5">
        <v>0</v>
      </c>
      <c r="D5">
        <v>0</v>
      </c>
      <c r="E5">
        <v>0</v>
      </c>
      <c r="F5">
        <v>8594177</v>
      </c>
      <c r="G5">
        <v>400</v>
      </c>
      <c r="H5">
        <v>0</v>
      </c>
      <c r="I5">
        <v>2</v>
      </c>
      <c r="J5">
        <v>7</v>
      </c>
      <c r="K5">
        <v>195</v>
      </c>
      <c r="L5">
        <v>0</v>
      </c>
    </row>
    <row r="6" spans="1:12" x14ac:dyDescent="0.25">
      <c r="A6">
        <v>1</v>
      </c>
      <c r="B6">
        <v>3</v>
      </c>
      <c r="C6">
        <v>1</v>
      </c>
      <c r="D6">
        <v>3</v>
      </c>
      <c r="E6">
        <v>154</v>
      </c>
      <c r="F6">
        <v>51.259889999999999</v>
      </c>
      <c r="G6">
        <v>400</v>
      </c>
      <c r="H6">
        <v>0</v>
      </c>
      <c r="I6">
        <v>2</v>
      </c>
      <c r="J6">
        <v>5</v>
      </c>
      <c r="K6">
        <v>12</v>
      </c>
      <c r="L6">
        <v>0</v>
      </c>
    </row>
    <row r="7" spans="1:12" x14ac:dyDescent="0.25">
      <c r="A7">
        <v>0</v>
      </c>
      <c r="B7">
        <v>2</v>
      </c>
      <c r="C7">
        <v>1</v>
      </c>
      <c r="D7">
        <v>0</v>
      </c>
      <c r="E7">
        <v>0</v>
      </c>
      <c r="F7">
        <v>0.1356039</v>
      </c>
      <c r="G7">
        <v>0</v>
      </c>
      <c r="H7">
        <v>0</v>
      </c>
      <c r="I7">
        <v>0</v>
      </c>
      <c r="J7">
        <v>0</v>
      </c>
      <c r="K7">
        <v>0</v>
      </c>
      <c r="L7">
        <v>0</v>
      </c>
    </row>
    <row r="8" spans="1:12" x14ac:dyDescent="0.25">
      <c r="A8">
        <v>4</v>
      </c>
      <c r="B8">
        <v>4</v>
      </c>
      <c r="C8">
        <v>1</v>
      </c>
      <c r="D8">
        <v>0</v>
      </c>
      <c r="E8">
        <v>0</v>
      </c>
      <c r="F8">
        <v>113.9064</v>
      </c>
      <c r="G8">
        <v>600</v>
      </c>
      <c r="H8">
        <v>0</v>
      </c>
      <c r="I8">
        <v>4</v>
      </c>
      <c r="J8">
        <v>13</v>
      </c>
      <c r="K8">
        <v>50</v>
      </c>
      <c r="L8">
        <v>0</v>
      </c>
    </row>
    <row r="9" spans="1:12" x14ac:dyDescent="0.25">
      <c r="A9">
        <v>0</v>
      </c>
      <c r="B9">
        <v>2</v>
      </c>
      <c r="C9">
        <v>0</v>
      </c>
      <c r="D9">
        <v>0</v>
      </c>
      <c r="E9">
        <v>0</v>
      </c>
      <c r="F9">
        <v>55.894840000000002</v>
      </c>
      <c r="G9">
        <v>120</v>
      </c>
      <c r="H9">
        <v>2</v>
      </c>
      <c r="I9">
        <v>1</v>
      </c>
      <c r="J9">
        <v>2</v>
      </c>
      <c r="K9">
        <v>20</v>
      </c>
      <c r="L9">
        <v>17</v>
      </c>
    </row>
    <row r="10" spans="1:12" x14ac:dyDescent="0.25">
      <c r="A10">
        <v>2</v>
      </c>
      <c r="B10">
        <v>4</v>
      </c>
      <c r="C10">
        <v>1</v>
      </c>
      <c r="D10">
        <v>0</v>
      </c>
      <c r="E10">
        <v>0</v>
      </c>
      <c r="F10">
        <v>33.715089999999996</v>
      </c>
      <c r="G10">
        <v>240</v>
      </c>
      <c r="H10">
        <v>0</v>
      </c>
      <c r="I10">
        <v>2</v>
      </c>
      <c r="J10">
        <v>0</v>
      </c>
      <c r="K10">
        <v>89</v>
      </c>
      <c r="L10">
        <v>4</v>
      </c>
    </row>
    <row r="11" spans="1:12" x14ac:dyDescent="0.25">
      <c r="A11">
        <v>14</v>
      </c>
      <c r="B11">
        <v>4</v>
      </c>
      <c r="C11">
        <v>0</v>
      </c>
      <c r="D11">
        <v>107</v>
      </c>
      <c r="E11">
        <v>568</v>
      </c>
      <c r="F11">
        <v>1292767</v>
      </c>
      <c r="G11">
        <v>3200</v>
      </c>
      <c r="H11">
        <v>0</v>
      </c>
      <c r="I11">
        <v>18</v>
      </c>
      <c r="J11">
        <v>32</v>
      </c>
      <c r="K11">
        <v>671</v>
      </c>
      <c r="L11">
        <v>14</v>
      </c>
    </row>
    <row r="12" spans="1:12" x14ac:dyDescent="0.25">
      <c r="A12">
        <v>0</v>
      </c>
      <c r="B12">
        <v>1</v>
      </c>
      <c r="C12">
        <v>1</v>
      </c>
      <c r="D12">
        <v>0</v>
      </c>
      <c r="E12">
        <v>0</v>
      </c>
      <c r="F12">
        <v>0.45764159999999998</v>
      </c>
      <c r="G12">
        <v>0</v>
      </c>
      <c r="H12">
        <v>0</v>
      </c>
      <c r="I12">
        <v>0</v>
      </c>
      <c r="J12">
        <v>0</v>
      </c>
      <c r="K12">
        <v>0</v>
      </c>
      <c r="L12">
        <v>0</v>
      </c>
    </row>
    <row r="13" spans="1:12" x14ac:dyDescent="0.25">
      <c r="A13">
        <v>1</v>
      </c>
      <c r="B13">
        <v>1</v>
      </c>
      <c r="C13">
        <v>0</v>
      </c>
      <c r="D13">
        <v>6</v>
      </c>
      <c r="E13">
        <v>126</v>
      </c>
      <c r="F13">
        <v>53.603879999999997</v>
      </c>
      <c r="G13">
        <v>360</v>
      </c>
      <c r="H13">
        <v>2</v>
      </c>
      <c r="I13">
        <v>2</v>
      </c>
      <c r="J13">
        <v>6</v>
      </c>
      <c r="K13">
        <v>95</v>
      </c>
      <c r="L13">
        <v>0</v>
      </c>
    </row>
    <row r="14" spans="1:12" x14ac:dyDescent="0.25">
      <c r="A14">
        <v>2</v>
      </c>
      <c r="B14">
        <v>2</v>
      </c>
      <c r="C14">
        <v>1</v>
      </c>
      <c r="D14">
        <v>0</v>
      </c>
      <c r="E14">
        <v>0</v>
      </c>
      <c r="F14">
        <v>59.976750000000003</v>
      </c>
      <c r="G14">
        <v>240</v>
      </c>
      <c r="H14">
        <v>0</v>
      </c>
      <c r="I14">
        <v>0</v>
      </c>
      <c r="J14">
        <v>0</v>
      </c>
      <c r="K14">
        <v>69</v>
      </c>
      <c r="L14">
        <v>0</v>
      </c>
    </row>
    <row r="15" spans="1:12" x14ac:dyDescent="0.25">
      <c r="A15">
        <v>1</v>
      </c>
      <c r="B15">
        <v>4</v>
      </c>
      <c r="C15">
        <v>1</v>
      </c>
      <c r="D15">
        <v>3</v>
      </c>
      <c r="E15">
        <v>93</v>
      </c>
      <c r="F15">
        <v>224.36670000000001</v>
      </c>
      <c r="G15">
        <v>280</v>
      </c>
      <c r="H15">
        <v>0</v>
      </c>
      <c r="I15">
        <v>3</v>
      </c>
      <c r="J15">
        <v>3</v>
      </c>
      <c r="K15">
        <v>25</v>
      </c>
      <c r="L15">
        <v>207</v>
      </c>
    </row>
    <row r="16" spans="1:12" x14ac:dyDescent="0.25">
      <c r="A16">
        <v>0</v>
      </c>
      <c r="B16">
        <v>1</v>
      </c>
      <c r="C16">
        <v>0</v>
      </c>
      <c r="D16">
        <v>8</v>
      </c>
      <c r="E16">
        <v>15</v>
      </c>
      <c r="F16">
        <v>48.243160000000003</v>
      </c>
      <c r="G16">
        <v>120</v>
      </c>
      <c r="H16">
        <v>1</v>
      </c>
      <c r="I16">
        <v>1</v>
      </c>
      <c r="J16">
        <v>3</v>
      </c>
      <c r="K16">
        <v>30</v>
      </c>
      <c r="L16">
        <v>0</v>
      </c>
    </row>
    <row r="17" spans="1:12" x14ac:dyDescent="0.25">
      <c r="A17">
        <v>0</v>
      </c>
      <c r="B17">
        <v>1</v>
      </c>
      <c r="C17">
        <v>0</v>
      </c>
      <c r="D17">
        <v>7</v>
      </c>
      <c r="E17">
        <v>24</v>
      </c>
      <c r="F17">
        <v>55.380189999999999</v>
      </c>
      <c r="G17">
        <v>160</v>
      </c>
      <c r="H17">
        <v>1</v>
      </c>
      <c r="I17">
        <v>1</v>
      </c>
      <c r="J17">
        <v>2</v>
      </c>
      <c r="K17">
        <v>9</v>
      </c>
      <c r="L17">
        <v>0</v>
      </c>
    </row>
    <row r="18" spans="1:12" x14ac:dyDescent="0.25">
      <c r="A18">
        <v>0</v>
      </c>
      <c r="B18">
        <v>1</v>
      </c>
      <c r="C18">
        <v>1</v>
      </c>
      <c r="D18">
        <v>2</v>
      </c>
      <c r="E18">
        <v>999</v>
      </c>
      <c r="F18">
        <v>92.750370000000004</v>
      </c>
      <c r="G18">
        <v>120</v>
      </c>
      <c r="H18">
        <v>0</v>
      </c>
      <c r="I18">
        <v>1</v>
      </c>
      <c r="J18">
        <v>1</v>
      </c>
      <c r="K18">
        <v>17</v>
      </c>
      <c r="L18">
        <v>0</v>
      </c>
    </row>
    <row r="19" spans="1:12" x14ac:dyDescent="0.25">
      <c r="A19">
        <v>0</v>
      </c>
      <c r="B19">
        <v>1</v>
      </c>
      <c r="C19">
        <v>0</v>
      </c>
      <c r="D19">
        <v>0</v>
      </c>
      <c r="E19">
        <v>0</v>
      </c>
      <c r="F19">
        <v>27.975829999999998</v>
      </c>
      <c r="G19">
        <v>80</v>
      </c>
      <c r="H19">
        <v>1</v>
      </c>
      <c r="I19">
        <v>1</v>
      </c>
      <c r="J19">
        <v>2</v>
      </c>
      <c r="K19">
        <v>28</v>
      </c>
      <c r="L19">
        <v>3</v>
      </c>
    </row>
    <row r="20" spans="1:12" x14ac:dyDescent="0.25">
      <c r="A20">
        <v>2</v>
      </c>
      <c r="B20">
        <v>3</v>
      </c>
      <c r="C20">
        <v>1</v>
      </c>
      <c r="D20">
        <v>0</v>
      </c>
      <c r="E20">
        <v>0</v>
      </c>
      <c r="F20">
        <v>54.98462</v>
      </c>
      <c r="G20">
        <v>240</v>
      </c>
      <c r="H20">
        <v>0</v>
      </c>
      <c r="I20">
        <v>2</v>
      </c>
      <c r="J20">
        <v>0</v>
      </c>
      <c r="K20">
        <v>70</v>
      </c>
      <c r="L20">
        <v>16</v>
      </c>
    </row>
    <row r="21" spans="1:12" x14ac:dyDescent="0.25">
      <c r="A21">
        <f>SUBTOTAL(101,temp9[Column1])</f>
        <v>1.8421052631578947</v>
      </c>
      <c r="B21">
        <f>SUBTOTAL(101,temp9[Column2])</f>
        <v>2.263157894736842</v>
      </c>
      <c r="C21">
        <f>SUBTOTAL(101,temp9[Column3])</f>
        <v>0.52631578947368418</v>
      </c>
      <c r="D21">
        <f>SUBTOTAL(101,temp9[Column4])</f>
        <v>7.2631578947368425</v>
      </c>
      <c r="E21">
        <f>SUBTOTAL(101,temp9[Column5])</f>
        <v>205.89473684210526</v>
      </c>
      <c r="F21">
        <f>SUBTOTAL(101,temp9[Column6])</f>
        <v>520431.83787923661</v>
      </c>
      <c r="G21">
        <f>SUBTOTAL(101,temp9[Column7])</f>
        <v>431.57894736842104</v>
      </c>
      <c r="H21">
        <f>SUBTOTAL(101,temp9[Column8])</f>
        <v>0.47368421052631576</v>
      </c>
      <c r="I21">
        <f>SUBTOTAL(101,temp9[Column9])</f>
        <v>2.5789473684210527</v>
      </c>
      <c r="J21">
        <f>SUBTOTAL(101,temp9[Column10])</f>
        <v>5.1052631578947372</v>
      </c>
      <c r="K21">
        <f>SUBTOTAL(101,temp9[Column11])</f>
        <v>88.94736842105263</v>
      </c>
      <c r="L21">
        <f>SUBTOTAL(101,temp9[Column12])</f>
        <v>18.315789473684209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8D9E-89ED-477E-AF01-818877F5EF1F}">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3</v>
      </c>
      <c r="B2">
        <v>3</v>
      </c>
      <c r="C2">
        <v>0</v>
      </c>
      <c r="D2">
        <v>1</v>
      </c>
      <c r="E2">
        <v>1018</v>
      </c>
      <c r="F2">
        <v>176.5701</v>
      </c>
      <c r="G2">
        <v>680</v>
      </c>
      <c r="H2">
        <v>5</v>
      </c>
      <c r="I2">
        <v>4</v>
      </c>
      <c r="J2">
        <v>5</v>
      </c>
      <c r="K2">
        <v>61</v>
      </c>
      <c r="L2">
        <v>6</v>
      </c>
    </row>
    <row r="3" spans="1:12" x14ac:dyDescent="0.25">
      <c r="A3">
        <v>2</v>
      </c>
      <c r="B3">
        <v>1</v>
      </c>
      <c r="C3">
        <v>0</v>
      </c>
      <c r="D3">
        <v>17</v>
      </c>
      <c r="E3">
        <v>10</v>
      </c>
      <c r="F3">
        <v>123.70350000000001</v>
      </c>
      <c r="G3">
        <v>400</v>
      </c>
      <c r="H3">
        <v>3</v>
      </c>
      <c r="I3">
        <v>3</v>
      </c>
      <c r="J3">
        <v>4</v>
      </c>
      <c r="K3">
        <v>153</v>
      </c>
      <c r="L3">
        <v>0</v>
      </c>
    </row>
    <row r="4" spans="1:12" x14ac:dyDescent="0.25">
      <c r="A4">
        <v>0</v>
      </c>
      <c r="B4">
        <v>1</v>
      </c>
      <c r="C4">
        <v>0</v>
      </c>
      <c r="D4">
        <v>0</v>
      </c>
      <c r="E4">
        <v>0</v>
      </c>
      <c r="F4">
        <v>71.457700000000003</v>
      </c>
      <c r="G4">
        <v>80</v>
      </c>
      <c r="H4">
        <v>1</v>
      </c>
      <c r="I4">
        <v>1</v>
      </c>
      <c r="J4">
        <v>2</v>
      </c>
      <c r="K4">
        <v>107</v>
      </c>
      <c r="L4">
        <v>0</v>
      </c>
    </row>
    <row r="5" spans="1:12" x14ac:dyDescent="0.25">
      <c r="A5">
        <v>7</v>
      </c>
      <c r="B5">
        <v>3</v>
      </c>
      <c r="C5">
        <v>0</v>
      </c>
      <c r="D5">
        <v>18</v>
      </c>
      <c r="E5">
        <v>107</v>
      </c>
      <c r="F5">
        <v>2351948</v>
      </c>
      <c r="G5">
        <v>1320</v>
      </c>
      <c r="H5">
        <v>0</v>
      </c>
      <c r="I5">
        <v>8</v>
      </c>
      <c r="J5">
        <v>16</v>
      </c>
      <c r="K5">
        <v>367</v>
      </c>
      <c r="L5">
        <v>1</v>
      </c>
    </row>
    <row r="6" spans="1:12" x14ac:dyDescent="0.25">
      <c r="A6">
        <v>0</v>
      </c>
      <c r="B6">
        <v>1</v>
      </c>
      <c r="C6">
        <v>0</v>
      </c>
      <c r="D6">
        <v>0</v>
      </c>
      <c r="E6">
        <v>0</v>
      </c>
      <c r="F6">
        <v>96.171880000000002</v>
      </c>
      <c r="G6">
        <v>200</v>
      </c>
      <c r="H6">
        <v>0</v>
      </c>
      <c r="I6">
        <v>2</v>
      </c>
      <c r="J6">
        <v>4</v>
      </c>
      <c r="K6">
        <v>38</v>
      </c>
      <c r="L6">
        <v>0</v>
      </c>
    </row>
    <row r="7" spans="1:12" x14ac:dyDescent="0.25">
      <c r="A7">
        <v>0</v>
      </c>
      <c r="B7">
        <v>2</v>
      </c>
      <c r="C7">
        <v>1</v>
      </c>
      <c r="D7">
        <v>0</v>
      </c>
      <c r="E7">
        <v>0</v>
      </c>
      <c r="F7">
        <v>0.17113590000000001</v>
      </c>
      <c r="G7">
        <v>0</v>
      </c>
      <c r="H7">
        <v>0</v>
      </c>
      <c r="I7">
        <v>0</v>
      </c>
      <c r="J7">
        <v>0</v>
      </c>
      <c r="K7">
        <v>0</v>
      </c>
      <c r="L7">
        <v>0</v>
      </c>
    </row>
    <row r="8" spans="1:12" x14ac:dyDescent="0.25">
      <c r="A8">
        <v>6</v>
      </c>
      <c r="B8">
        <v>2</v>
      </c>
      <c r="C8">
        <v>1</v>
      </c>
      <c r="D8">
        <v>0</v>
      </c>
      <c r="E8">
        <v>0</v>
      </c>
      <c r="F8">
        <v>176.0076</v>
      </c>
      <c r="G8">
        <v>920</v>
      </c>
      <c r="H8">
        <v>0</v>
      </c>
      <c r="I8">
        <v>6</v>
      </c>
      <c r="J8">
        <v>13</v>
      </c>
      <c r="K8">
        <v>63</v>
      </c>
      <c r="L8">
        <v>0</v>
      </c>
    </row>
    <row r="9" spans="1:12" x14ac:dyDescent="0.25">
      <c r="A9">
        <v>1</v>
      </c>
      <c r="B9">
        <v>3</v>
      </c>
      <c r="C9">
        <v>0</v>
      </c>
      <c r="D9">
        <v>3</v>
      </c>
      <c r="E9">
        <v>82</v>
      </c>
      <c r="F9">
        <v>85.771609999999995</v>
      </c>
      <c r="G9">
        <v>400</v>
      </c>
      <c r="H9">
        <v>2</v>
      </c>
      <c r="I9">
        <v>2</v>
      </c>
      <c r="J9">
        <v>4</v>
      </c>
      <c r="K9">
        <v>40</v>
      </c>
      <c r="L9">
        <v>0</v>
      </c>
    </row>
    <row r="10" spans="1:12" x14ac:dyDescent="0.25">
      <c r="A10">
        <v>5</v>
      </c>
      <c r="B10">
        <v>3</v>
      </c>
      <c r="C10">
        <v>1</v>
      </c>
      <c r="D10">
        <v>0</v>
      </c>
      <c r="E10">
        <v>0</v>
      </c>
      <c r="F10">
        <v>85.480469999999997</v>
      </c>
      <c r="G10">
        <v>640</v>
      </c>
      <c r="H10">
        <v>0</v>
      </c>
      <c r="I10">
        <v>2</v>
      </c>
      <c r="J10">
        <v>0</v>
      </c>
      <c r="K10">
        <v>138</v>
      </c>
      <c r="L10">
        <v>77</v>
      </c>
    </row>
    <row r="11" spans="1:12" x14ac:dyDescent="0.25">
      <c r="A11">
        <v>0</v>
      </c>
      <c r="B11">
        <v>4</v>
      </c>
      <c r="C11">
        <v>1</v>
      </c>
      <c r="D11">
        <v>5</v>
      </c>
      <c r="E11">
        <v>1684</v>
      </c>
      <c r="F11">
        <v>3675313</v>
      </c>
      <c r="G11">
        <v>80</v>
      </c>
      <c r="H11">
        <v>0</v>
      </c>
      <c r="I11">
        <v>1</v>
      </c>
      <c r="J11">
        <v>2</v>
      </c>
      <c r="K11">
        <v>44</v>
      </c>
      <c r="L11">
        <v>0</v>
      </c>
    </row>
    <row r="12" spans="1:12" x14ac:dyDescent="0.25">
      <c r="A12">
        <v>0</v>
      </c>
      <c r="B12">
        <v>1</v>
      </c>
      <c r="C12">
        <v>1</v>
      </c>
      <c r="D12">
        <v>0</v>
      </c>
      <c r="E12">
        <v>0</v>
      </c>
      <c r="F12">
        <v>0.52001949999999997</v>
      </c>
      <c r="G12">
        <v>0</v>
      </c>
      <c r="H12">
        <v>0</v>
      </c>
      <c r="I12">
        <v>0</v>
      </c>
      <c r="J12">
        <v>0</v>
      </c>
      <c r="K12">
        <v>0</v>
      </c>
      <c r="L12">
        <v>0</v>
      </c>
    </row>
    <row r="13" spans="1:12" x14ac:dyDescent="0.25">
      <c r="A13">
        <v>17</v>
      </c>
      <c r="B13">
        <v>2</v>
      </c>
      <c r="C13">
        <v>0</v>
      </c>
      <c r="D13">
        <v>64</v>
      </c>
      <c r="E13">
        <v>639</v>
      </c>
      <c r="F13">
        <v>611.29169999999999</v>
      </c>
      <c r="G13">
        <v>2200</v>
      </c>
      <c r="H13">
        <v>18</v>
      </c>
      <c r="I13">
        <v>18</v>
      </c>
      <c r="J13">
        <v>4</v>
      </c>
      <c r="K13">
        <v>1074</v>
      </c>
      <c r="L13">
        <v>11</v>
      </c>
    </row>
    <row r="14" spans="1:12" x14ac:dyDescent="0.25">
      <c r="A14">
        <v>1</v>
      </c>
      <c r="B14">
        <v>1</v>
      </c>
      <c r="C14">
        <v>1</v>
      </c>
      <c r="D14">
        <v>0</v>
      </c>
      <c r="E14">
        <v>0</v>
      </c>
      <c r="F14">
        <v>9.2817989999999995</v>
      </c>
      <c r="G14">
        <v>120</v>
      </c>
      <c r="H14">
        <v>0</v>
      </c>
      <c r="I14">
        <v>0</v>
      </c>
      <c r="J14">
        <v>0</v>
      </c>
      <c r="K14">
        <v>28</v>
      </c>
      <c r="L14">
        <v>0</v>
      </c>
    </row>
    <row r="15" spans="1:12" x14ac:dyDescent="0.25">
      <c r="A15">
        <v>0</v>
      </c>
      <c r="B15">
        <v>1</v>
      </c>
      <c r="C15">
        <v>0</v>
      </c>
      <c r="D15">
        <v>0</v>
      </c>
      <c r="E15">
        <v>0</v>
      </c>
      <c r="F15">
        <v>114.8584</v>
      </c>
      <c r="G15">
        <v>120</v>
      </c>
      <c r="H15">
        <v>0</v>
      </c>
      <c r="I15">
        <v>1</v>
      </c>
      <c r="J15">
        <v>2</v>
      </c>
      <c r="K15">
        <v>60</v>
      </c>
      <c r="L15">
        <v>264</v>
      </c>
    </row>
    <row r="16" spans="1:12" x14ac:dyDescent="0.25">
      <c r="A16">
        <v>0</v>
      </c>
      <c r="B16">
        <v>2</v>
      </c>
      <c r="C16">
        <v>0</v>
      </c>
      <c r="D16">
        <v>19</v>
      </c>
      <c r="E16">
        <v>39</v>
      </c>
      <c r="F16">
        <v>77.542479999999998</v>
      </c>
      <c r="G16">
        <v>280</v>
      </c>
      <c r="H16">
        <v>1</v>
      </c>
      <c r="I16">
        <v>1</v>
      </c>
      <c r="J16">
        <v>9</v>
      </c>
      <c r="K16">
        <v>52</v>
      </c>
      <c r="L16">
        <v>0</v>
      </c>
    </row>
    <row r="17" spans="1:12" x14ac:dyDescent="0.25">
      <c r="A17">
        <v>4</v>
      </c>
      <c r="B17">
        <v>3</v>
      </c>
      <c r="C17">
        <v>0</v>
      </c>
      <c r="D17">
        <v>87</v>
      </c>
      <c r="E17">
        <v>274</v>
      </c>
      <c r="F17">
        <v>353.1087</v>
      </c>
      <c r="G17">
        <v>1280</v>
      </c>
      <c r="H17">
        <v>7</v>
      </c>
      <c r="I17">
        <v>6</v>
      </c>
      <c r="J17">
        <v>13</v>
      </c>
      <c r="K17">
        <v>113</v>
      </c>
      <c r="L17">
        <v>0</v>
      </c>
    </row>
    <row r="18" spans="1:12" x14ac:dyDescent="0.25">
      <c r="A18">
        <v>0</v>
      </c>
      <c r="B18">
        <v>2</v>
      </c>
      <c r="C18">
        <v>0</v>
      </c>
      <c r="D18">
        <v>1</v>
      </c>
      <c r="E18">
        <v>221</v>
      </c>
      <c r="F18">
        <v>83.087220000000002</v>
      </c>
      <c r="G18">
        <v>200</v>
      </c>
      <c r="H18">
        <v>1</v>
      </c>
      <c r="I18">
        <v>1</v>
      </c>
      <c r="J18">
        <v>24</v>
      </c>
      <c r="K18">
        <v>176</v>
      </c>
      <c r="L18">
        <v>0</v>
      </c>
    </row>
    <row r="19" spans="1:12" x14ac:dyDescent="0.25">
      <c r="A19">
        <v>4</v>
      </c>
      <c r="B19">
        <v>3</v>
      </c>
      <c r="C19">
        <v>0</v>
      </c>
      <c r="D19">
        <v>0</v>
      </c>
      <c r="E19">
        <v>0</v>
      </c>
      <c r="F19">
        <v>158.9391</v>
      </c>
      <c r="G19">
        <v>1080</v>
      </c>
      <c r="H19">
        <v>5</v>
      </c>
      <c r="I19">
        <v>6</v>
      </c>
      <c r="J19">
        <v>24</v>
      </c>
      <c r="K19">
        <v>243</v>
      </c>
      <c r="L19">
        <v>45</v>
      </c>
    </row>
    <row r="20" spans="1:12" x14ac:dyDescent="0.25">
      <c r="A20">
        <v>1</v>
      </c>
      <c r="B20">
        <v>4</v>
      </c>
      <c r="C20">
        <v>1</v>
      </c>
      <c r="D20">
        <v>0</v>
      </c>
      <c r="E20">
        <v>0</v>
      </c>
      <c r="F20">
        <v>31.669370000000001</v>
      </c>
      <c r="G20">
        <v>200</v>
      </c>
      <c r="H20">
        <v>0</v>
      </c>
      <c r="I20">
        <v>2</v>
      </c>
      <c r="J20">
        <v>0</v>
      </c>
      <c r="K20">
        <v>30</v>
      </c>
      <c r="L20">
        <v>8</v>
      </c>
    </row>
    <row r="21" spans="1:12" x14ac:dyDescent="0.25">
      <c r="A21">
        <f>SUBTOTAL(101,temp8[Column1])</f>
        <v>2.6842105263157894</v>
      </c>
      <c r="B21">
        <f>SUBTOTAL(101,temp8[Column2])</f>
        <v>2.2105263157894739</v>
      </c>
      <c r="C21">
        <f>SUBTOTAL(101,temp8[Column3])</f>
        <v>0.36842105263157893</v>
      </c>
      <c r="D21">
        <f>SUBTOTAL(101,temp8[Column4])</f>
        <v>11.315789473684211</v>
      </c>
      <c r="E21">
        <f>SUBTOTAL(101,temp8[Column5])</f>
        <v>214.42105263157896</v>
      </c>
      <c r="F21">
        <f>SUBTOTAL(101,temp8[Column6])</f>
        <v>317342.98067286314</v>
      </c>
      <c r="G21">
        <f>SUBTOTAL(101,temp8[Column7])</f>
        <v>536.84210526315792</v>
      </c>
      <c r="H21">
        <f>SUBTOTAL(101,temp8[Column8])</f>
        <v>2.263157894736842</v>
      </c>
      <c r="I21">
        <f>SUBTOTAL(101,temp8[Column9])</f>
        <v>3.3684210526315788</v>
      </c>
      <c r="J21">
        <f>SUBTOTAL(101,temp8[Column10])</f>
        <v>6.6315789473684212</v>
      </c>
      <c r="K21">
        <f>SUBTOTAL(101,temp8[Column11])</f>
        <v>146.68421052631578</v>
      </c>
      <c r="L21">
        <f>SUBTOTAL(101,temp8[Column12])</f>
        <v>21.684210526315791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75CE-028C-4BC4-8EFE-4BE14F1182C4}">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4</v>
      </c>
      <c r="B2">
        <v>2</v>
      </c>
      <c r="C2">
        <v>1</v>
      </c>
      <c r="D2">
        <v>7</v>
      </c>
      <c r="E2">
        <v>133</v>
      </c>
      <c r="F2">
        <v>101.2097</v>
      </c>
      <c r="G2">
        <v>600</v>
      </c>
      <c r="H2">
        <v>3</v>
      </c>
      <c r="I2">
        <v>4</v>
      </c>
      <c r="J2">
        <v>2</v>
      </c>
      <c r="K2">
        <v>38</v>
      </c>
      <c r="L2">
        <v>2</v>
      </c>
    </row>
    <row r="3" spans="1:12" x14ac:dyDescent="0.25">
      <c r="A3">
        <v>3</v>
      </c>
      <c r="B3">
        <v>1</v>
      </c>
      <c r="C3">
        <v>0</v>
      </c>
      <c r="D3">
        <v>29</v>
      </c>
      <c r="E3">
        <v>26</v>
      </c>
      <c r="F3">
        <v>108.4104</v>
      </c>
      <c r="G3">
        <v>640</v>
      </c>
      <c r="H3">
        <v>4</v>
      </c>
      <c r="I3">
        <v>4</v>
      </c>
      <c r="J3">
        <v>9</v>
      </c>
      <c r="K3">
        <v>102</v>
      </c>
      <c r="L3">
        <v>0</v>
      </c>
    </row>
    <row r="4" spans="1:12" x14ac:dyDescent="0.25">
      <c r="A4">
        <v>2</v>
      </c>
      <c r="B4">
        <v>1</v>
      </c>
      <c r="C4">
        <v>0</v>
      </c>
      <c r="D4">
        <v>0</v>
      </c>
      <c r="E4">
        <v>0</v>
      </c>
      <c r="F4">
        <v>89.512699999999995</v>
      </c>
      <c r="G4">
        <v>400</v>
      </c>
      <c r="H4">
        <v>3</v>
      </c>
      <c r="I4">
        <v>3</v>
      </c>
      <c r="J4">
        <v>6</v>
      </c>
      <c r="K4">
        <v>131</v>
      </c>
      <c r="L4">
        <v>1</v>
      </c>
    </row>
    <row r="5" spans="1:12" x14ac:dyDescent="0.25">
      <c r="A5">
        <v>4</v>
      </c>
      <c r="B5">
        <v>3</v>
      </c>
      <c r="C5">
        <v>0</v>
      </c>
      <c r="D5">
        <v>11</v>
      </c>
      <c r="E5">
        <v>104</v>
      </c>
      <c r="F5">
        <v>1826949</v>
      </c>
      <c r="G5">
        <v>880</v>
      </c>
      <c r="H5">
        <v>0</v>
      </c>
      <c r="I5">
        <v>5</v>
      </c>
      <c r="J5">
        <v>10</v>
      </c>
      <c r="K5">
        <v>357</v>
      </c>
      <c r="L5">
        <v>0</v>
      </c>
    </row>
    <row r="6" spans="1:12" x14ac:dyDescent="0.25">
      <c r="A6">
        <v>6</v>
      </c>
      <c r="B6">
        <v>4</v>
      </c>
      <c r="C6">
        <v>1</v>
      </c>
      <c r="D6">
        <v>13</v>
      </c>
      <c r="E6">
        <v>389</v>
      </c>
      <c r="F6">
        <v>275.69909999999999</v>
      </c>
      <c r="G6">
        <v>1200</v>
      </c>
      <c r="H6">
        <v>1</v>
      </c>
      <c r="I6">
        <v>7</v>
      </c>
      <c r="J6">
        <v>14</v>
      </c>
      <c r="K6">
        <v>74</v>
      </c>
      <c r="L6">
        <v>3</v>
      </c>
    </row>
    <row r="7" spans="1:12" x14ac:dyDescent="0.25">
      <c r="A7">
        <v>0</v>
      </c>
      <c r="B7">
        <v>2</v>
      </c>
      <c r="C7">
        <v>1</v>
      </c>
      <c r="D7">
        <v>0</v>
      </c>
      <c r="E7">
        <v>0</v>
      </c>
      <c r="F7">
        <v>0.18092349999999999</v>
      </c>
      <c r="G7">
        <v>0</v>
      </c>
      <c r="H7">
        <v>0</v>
      </c>
      <c r="I7">
        <v>0</v>
      </c>
      <c r="J7">
        <v>0</v>
      </c>
      <c r="K7">
        <v>0</v>
      </c>
      <c r="L7">
        <v>0</v>
      </c>
    </row>
    <row r="8" spans="1:12" x14ac:dyDescent="0.25">
      <c r="A8">
        <v>3</v>
      </c>
      <c r="B8">
        <v>3</v>
      </c>
      <c r="C8">
        <v>1</v>
      </c>
      <c r="D8">
        <v>0</v>
      </c>
      <c r="E8">
        <v>0</v>
      </c>
      <c r="F8">
        <v>112.95010000000001</v>
      </c>
      <c r="G8">
        <v>560</v>
      </c>
      <c r="H8">
        <v>0</v>
      </c>
      <c r="I8">
        <v>4</v>
      </c>
      <c r="J8">
        <v>10</v>
      </c>
      <c r="K8">
        <v>42</v>
      </c>
      <c r="L8">
        <v>0</v>
      </c>
    </row>
    <row r="9" spans="1:12" x14ac:dyDescent="0.25">
      <c r="A9">
        <v>2</v>
      </c>
      <c r="B9">
        <v>4</v>
      </c>
      <c r="C9">
        <v>0</v>
      </c>
      <c r="D9">
        <v>4</v>
      </c>
      <c r="E9">
        <v>64</v>
      </c>
      <c r="F9">
        <v>55.133130000000001</v>
      </c>
      <c r="G9">
        <v>440</v>
      </c>
      <c r="H9">
        <v>3</v>
      </c>
      <c r="I9">
        <v>3</v>
      </c>
      <c r="J9">
        <v>6</v>
      </c>
      <c r="K9">
        <v>39</v>
      </c>
      <c r="L9">
        <v>0</v>
      </c>
    </row>
    <row r="10" spans="1:12" x14ac:dyDescent="0.25">
      <c r="A10">
        <v>2</v>
      </c>
      <c r="B10">
        <v>4</v>
      </c>
      <c r="C10">
        <v>1</v>
      </c>
      <c r="D10">
        <v>0</v>
      </c>
      <c r="E10">
        <v>0</v>
      </c>
      <c r="F10">
        <v>57.936399999999999</v>
      </c>
      <c r="G10">
        <v>240</v>
      </c>
      <c r="H10">
        <v>0</v>
      </c>
      <c r="I10">
        <v>2</v>
      </c>
      <c r="J10">
        <v>0</v>
      </c>
      <c r="K10">
        <v>153</v>
      </c>
      <c r="L10">
        <v>2</v>
      </c>
    </row>
    <row r="11" spans="1:12" x14ac:dyDescent="0.25">
      <c r="A11">
        <v>7</v>
      </c>
      <c r="B11">
        <v>1</v>
      </c>
      <c r="C11">
        <v>0</v>
      </c>
      <c r="D11">
        <v>13</v>
      </c>
      <c r="E11">
        <v>64</v>
      </c>
      <c r="F11">
        <v>1307309</v>
      </c>
      <c r="G11">
        <v>1040</v>
      </c>
      <c r="H11">
        <v>0</v>
      </c>
      <c r="I11">
        <v>8</v>
      </c>
      <c r="J11">
        <v>3</v>
      </c>
      <c r="K11">
        <v>129</v>
      </c>
      <c r="L11">
        <v>0</v>
      </c>
    </row>
    <row r="12" spans="1:12" x14ac:dyDescent="0.25">
      <c r="A12">
        <v>2</v>
      </c>
      <c r="B12">
        <v>1</v>
      </c>
      <c r="C12">
        <v>1</v>
      </c>
      <c r="D12">
        <v>0</v>
      </c>
      <c r="E12">
        <v>0</v>
      </c>
      <c r="F12">
        <v>86.413759999999996</v>
      </c>
      <c r="G12">
        <v>440</v>
      </c>
      <c r="H12">
        <v>0</v>
      </c>
      <c r="I12">
        <v>4</v>
      </c>
      <c r="J12">
        <v>54</v>
      </c>
      <c r="K12">
        <v>107</v>
      </c>
      <c r="L12">
        <v>0</v>
      </c>
    </row>
    <row r="13" spans="1:12" x14ac:dyDescent="0.25">
      <c r="A13">
        <v>0</v>
      </c>
      <c r="B13">
        <v>1</v>
      </c>
      <c r="C13">
        <v>0</v>
      </c>
      <c r="D13">
        <v>3</v>
      </c>
      <c r="E13">
        <v>16</v>
      </c>
      <c r="F13">
        <v>28.953189999999999</v>
      </c>
      <c r="G13">
        <v>80</v>
      </c>
      <c r="H13">
        <v>1</v>
      </c>
      <c r="I13">
        <v>1</v>
      </c>
      <c r="J13">
        <v>0</v>
      </c>
      <c r="K13">
        <v>57</v>
      </c>
      <c r="L13">
        <v>0</v>
      </c>
    </row>
    <row r="14" spans="1:12" x14ac:dyDescent="0.25">
      <c r="A14">
        <v>0</v>
      </c>
      <c r="B14">
        <v>3</v>
      </c>
      <c r="C14">
        <v>1</v>
      </c>
      <c r="D14">
        <v>0</v>
      </c>
      <c r="E14">
        <v>0</v>
      </c>
      <c r="F14">
        <v>10.698359999999999</v>
      </c>
      <c r="G14">
        <v>40</v>
      </c>
      <c r="H14">
        <v>0</v>
      </c>
      <c r="I14">
        <v>0</v>
      </c>
      <c r="J14">
        <v>0</v>
      </c>
      <c r="K14">
        <v>8</v>
      </c>
      <c r="L14">
        <v>0</v>
      </c>
    </row>
    <row r="15" spans="1:12" x14ac:dyDescent="0.25">
      <c r="A15">
        <v>0</v>
      </c>
      <c r="B15">
        <v>1</v>
      </c>
      <c r="C15">
        <v>0</v>
      </c>
      <c r="D15">
        <v>0</v>
      </c>
      <c r="E15">
        <v>0</v>
      </c>
      <c r="F15">
        <v>110.1335</v>
      </c>
      <c r="G15">
        <v>80</v>
      </c>
      <c r="H15">
        <v>0</v>
      </c>
      <c r="I15">
        <v>1</v>
      </c>
      <c r="J15">
        <v>1</v>
      </c>
      <c r="K15">
        <v>56</v>
      </c>
      <c r="L15">
        <v>258</v>
      </c>
    </row>
    <row r="16" spans="1:12" x14ac:dyDescent="0.25">
      <c r="A16">
        <v>0</v>
      </c>
      <c r="B16">
        <v>1</v>
      </c>
      <c r="C16">
        <v>0</v>
      </c>
      <c r="D16">
        <v>6</v>
      </c>
      <c r="E16">
        <v>10</v>
      </c>
      <c r="F16">
        <v>34.693240000000003</v>
      </c>
      <c r="G16">
        <v>160</v>
      </c>
      <c r="H16">
        <v>1</v>
      </c>
      <c r="I16">
        <v>1</v>
      </c>
      <c r="J16">
        <v>5</v>
      </c>
      <c r="K16">
        <v>13</v>
      </c>
      <c r="L16">
        <v>0</v>
      </c>
    </row>
    <row r="17" spans="1:12" x14ac:dyDescent="0.25">
      <c r="A17">
        <v>0</v>
      </c>
      <c r="B17">
        <v>1</v>
      </c>
      <c r="C17">
        <v>0</v>
      </c>
      <c r="D17">
        <v>3</v>
      </c>
      <c r="E17">
        <v>9</v>
      </c>
      <c r="F17">
        <v>43.022460000000002</v>
      </c>
      <c r="G17">
        <v>40</v>
      </c>
      <c r="H17">
        <v>1</v>
      </c>
      <c r="I17">
        <v>1</v>
      </c>
      <c r="J17">
        <v>0</v>
      </c>
      <c r="K17">
        <v>18</v>
      </c>
      <c r="L17">
        <v>0</v>
      </c>
    </row>
    <row r="18" spans="1:12" x14ac:dyDescent="0.25">
      <c r="A18">
        <v>0</v>
      </c>
      <c r="B18">
        <v>1</v>
      </c>
      <c r="C18">
        <v>0</v>
      </c>
      <c r="D18">
        <v>2</v>
      </c>
      <c r="E18">
        <v>180</v>
      </c>
      <c r="F18">
        <v>66.989620000000002</v>
      </c>
      <c r="G18">
        <v>120</v>
      </c>
      <c r="H18">
        <v>1</v>
      </c>
      <c r="I18">
        <v>2</v>
      </c>
      <c r="J18">
        <v>3</v>
      </c>
      <c r="K18">
        <v>166</v>
      </c>
      <c r="L18">
        <v>0</v>
      </c>
    </row>
    <row r="19" spans="1:12" x14ac:dyDescent="0.25">
      <c r="A19">
        <v>0</v>
      </c>
      <c r="B19">
        <v>1</v>
      </c>
      <c r="C19">
        <v>0</v>
      </c>
      <c r="D19">
        <v>0</v>
      </c>
      <c r="E19">
        <v>0</v>
      </c>
      <c r="F19">
        <v>22.402650000000001</v>
      </c>
      <c r="G19">
        <v>160</v>
      </c>
      <c r="H19">
        <v>1</v>
      </c>
      <c r="I19">
        <v>1</v>
      </c>
      <c r="J19">
        <v>2</v>
      </c>
      <c r="K19">
        <v>22</v>
      </c>
      <c r="L19">
        <v>4</v>
      </c>
    </row>
    <row r="20" spans="1:12" x14ac:dyDescent="0.25">
      <c r="A20">
        <v>2</v>
      </c>
      <c r="B20">
        <v>4</v>
      </c>
      <c r="C20">
        <v>1</v>
      </c>
      <c r="D20">
        <v>0</v>
      </c>
      <c r="E20">
        <v>0</v>
      </c>
      <c r="F20">
        <v>51.373469999999998</v>
      </c>
      <c r="G20">
        <v>320</v>
      </c>
      <c r="H20">
        <v>0</v>
      </c>
      <c r="I20">
        <v>3</v>
      </c>
      <c r="J20">
        <v>0</v>
      </c>
      <c r="K20">
        <v>7</v>
      </c>
      <c r="L20">
        <v>9</v>
      </c>
    </row>
    <row r="21" spans="1:12" x14ac:dyDescent="0.25">
      <c r="A21">
        <f>SUBTOTAL(101,temp7[Column1])</f>
        <v>1.9473684210526316</v>
      </c>
      <c r="B21">
        <f>SUBTOTAL(101,temp7[Column2])</f>
        <v>2.0526315789473686</v>
      </c>
      <c r="C21">
        <f>SUBTOTAL(101,temp7[Column3])</f>
        <v>0.42105263157894735</v>
      </c>
      <c r="D21">
        <f>SUBTOTAL(101,temp7[Column4])</f>
        <v>4.7894736842105265</v>
      </c>
      <c r="E21">
        <f>SUBTOTAL(101,temp7[Column5])</f>
        <v>52.368421052631582</v>
      </c>
      <c r="F21">
        <f>SUBTOTAL(101,temp7[Column6])</f>
        <v>165027.03751071054</v>
      </c>
      <c r="G21">
        <f>SUBTOTAL(101,temp7[Column7])</f>
        <v>391.57894736842104</v>
      </c>
      <c r="H21">
        <f>SUBTOTAL(101,temp7[Column8])</f>
        <v>1</v>
      </c>
      <c r="I21">
        <f>SUBTOTAL(101,temp7[Column9])</f>
        <v>2.8421052631578947</v>
      </c>
      <c r="J21">
        <f>SUBTOTAL(101,temp7[Column10])</f>
        <v>6.5789473684210522</v>
      </c>
      <c r="K21">
        <f>SUBTOTAL(101,temp7[Column11])</f>
        <v>79.94736842105263</v>
      </c>
      <c r="L21">
        <f>SUBTOTAL(101,temp7[Column12])</f>
        <v>14.684210526315789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CD61-9AF7-431A-9B73-BCA0EFAB393A}">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3</v>
      </c>
      <c r="B2">
        <v>2</v>
      </c>
      <c r="C2">
        <v>0</v>
      </c>
      <c r="D2">
        <v>4</v>
      </c>
      <c r="E2">
        <v>801</v>
      </c>
      <c r="F2">
        <v>224.7627</v>
      </c>
      <c r="G2">
        <v>520</v>
      </c>
      <c r="H2">
        <v>3</v>
      </c>
      <c r="I2">
        <v>4</v>
      </c>
      <c r="J2">
        <v>3</v>
      </c>
      <c r="K2">
        <v>58</v>
      </c>
      <c r="L2">
        <v>20</v>
      </c>
    </row>
    <row r="3" spans="1:12" x14ac:dyDescent="0.25">
      <c r="A3">
        <v>0</v>
      </c>
      <c r="B3">
        <v>1</v>
      </c>
      <c r="C3">
        <v>0</v>
      </c>
      <c r="D3">
        <v>14</v>
      </c>
      <c r="E3">
        <v>0</v>
      </c>
      <c r="F3">
        <v>68.308229999999995</v>
      </c>
      <c r="G3">
        <v>200</v>
      </c>
      <c r="H3">
        <v>1</v>
      </c>
      <c r="I3">
        <v>1</v>
      </c>
      <c r="J3">
        <v>3</v>
      </c>
      <c r="K3">
        <v>64</v>
      </c>
      <c r="L3">
        <v>0</v>
      </c>
    </row>
    <row r="4" spans="1:12" x14ac:dyDescent="0.25">
      <c r="A4">
        <v>0</v>
      </c>
      <c r="B4">
        <v>1</v>
      </c>
      <c r="C4">
        <v>0</v>
      </c>
      <c r="D4">
        <v>0</v>
      </c>
      <c r="E4">
        <v>0</v>
      </c>
      <c r="F4">
        <v>40.907870000000003</v>
      </c>
      <c r="G4">
        <v>0</v>
      </c>
      <c r="H4">
        <v>1</v>
      </c>
      <c r="I4">
        <v>1</v>
      </c>
      <c r="J4">
        <v>0</v>
      </c>
      <c r="K4">
        <v>55</v>
      </c>
      <c r="L4">
        <v>0</v>
      </c>
    </row>
    <row r="5" spans="1:12" x14ac:dyDescent="0.25">
      <c r="A5">
        <v>0</v>
      </c>
      <c r="B5">
        <v>2</v>
      </c>
      <c r="C5">
        <v>0</v>
      </c>
      <c r="D5">
        <v>0</v>
      </c>
      <c r="E5">
        <v>0</v>
      </c>
      <c r="F5">
        <v>5096857</v>
      </c>
      <c r="G5">
        <v>160</v>
      </c>
      <c r="H5">
        <v>0</v>
      </c>
      <c r="I5">
        <v>1</v>
      </c>
      <c r="J5">
        <v>4</v>
      </c>
      <c r="K5">
        <v>133</v>
      </c>
      <c r="L5">
        <v>0</v>
      </c>
    </row>
    <row r="6" spans="1:12" x14ac:dyDescent="0.25">
      <c r="A6">
        <v>5</v>
      </c>
      <c r="B6">
        <v>3</v>
      </c>
      <c r="C6">
        <v>1</v>
      </c>
      <c r="D6">
        <v>5</v>
      </c>
      <c r="E6">
        <v>196</v>
      </c>
      <c r="F6">
        <v>244.63990000000001</v>
      </c>
      <c r="G6">
        <v>1240</v>
      </c>
      <c r="H6">
        <v>0</v>
      </c>
      <c r="I6">
        <v>6</v>
      </c>
      <c r="J6">
        <v>14</v>
      </c>
      <c r="K6">
        <v>70</v>
      </c>
      <c r="L6">
        <v>0</v>
      </c>
    </row>
    <row r="7" spans="1:12" x14ac:dyDescent="0.25">
      <c r="A7">
        <v>0</v>
      </c>
      <c r="B7">
        <v>2</v>
      </c>
      <c r="C7">
        <v>1</v>
      </c>
      <c r="D7">
        <v>0</v>
      </c>
      <c r="E7">
        <v>0</v>
      </c>
      <c r="F7">
        <v>0.48777680000000001</v>
      </c>
      <c r="G7">
        <v>0</v>
      </c>
      <c r="H7">
        <v>0</v>
      </c>
      <c r="I7">
        <v>0</v>
      </c>
      <c r="J7">
        <v>0</v>
      </c>
      <c r="K7">
        <v>0</v>
      </c>
      <c r="L7">
        <v>0</v>
      </c>
    </row>
    <row r="8" spans="1:12" x14ac:dyDescent="0.25">
      <c r="A8">
        <v>6</v>
      </c>
      <c r="B8">
        <v>3</v>
      </c>
      <c r="C8">
        <v>1</v>
      </c>
      <c r="D8">
        <v>0</v>
      </c>
      <c r="E8">
        <v>0</v>
      </c>
      <c r="F8">
        <v>170.01750000000001</v>
      </c>
      <c r="G8">
        <v>960</v>
      </c>
      <c r="H8">
        <v>0</v>
      </c>
      <c r="I8">
        <v>6</v>
      </c>
      <c r="J8">
        <v>11</v>
      </c>
      <c r="K8">
        <v>75</v>
      </c>
      <c r="L8">
        <v>2</v>
      </c>
    </row>
    <row r="9" spans="1:12" x14ac:dyDescent="0.25">
      <c r="A9">
        <v>0</v>
      </c>
      <c r="B9">
        <v>1</v>
      </c>
      <c r="C9">
        <v>0</v>
      </c>
      <c r="D9">
        <v>3</v>
      </c>
      <c r="E9">
        <v>131</v>
      </c>
      <c r="F9">
        <v>41.212710000000001</v>
      </c>
      <c r="G9">
        <v>120</v>
      </c>
      <c r="H9">
        <v>1</v>
      </c>
      <c r="I9">
        <v>1</v>
      </c>
      <c r="J9">
        <v>1</v>
      </c>
      <c r="K9">
        <v>13</v>
      </c>
      <c r="L9">
        <v>0</v>
      </c>
    </row>
    <row r="10" spans="1:12" x14ac:dyDescent="0.25">
      <c r="A10">
        <v>3</v>
      </c>
      <c r="B10">
        <v>3</v>
      </c>
      <c r="C10">
        <v>1</v>
      </c>
      <c r="D10">
        <v>0</v>
      </c>
      <c r="E10">
        <v>0</v>
      </c>
      <c r="F10">
        <v>56.75714</v>
      </c>
      <c r="G10">
        <v>360</v>
      </c>
      <c r="H10">
        <v>0</v>
      </c>
      <c r="I10">
        <v>2</v>
      </c>
      <c r="J10">
        <v>0</v>
      </c>
      <c r="K10">
        <v>155</v>
      </c>
      <c r="L10">
        <v>3</v>
      </c>
    </row>
    <row r="11" spans="1:12" x14ac:dyDescent="0.25">
      <c r="A11">
        <v>1</v>
      </c>
      <c r="B11">
        <v>1</v>
      </c>
      <c r="C11">
        <v>0</v>
      </c>
      <c r="D11">
        <v>9</v>
      </c>
      <c r="E11">
        <v>34</v>
      </c>
      <c r="F11">
        <v>9773828</v>
      </c>
      <c r="G11">
        <v>320</v>
      </c>
      <c r="H11">
        <v>0</v>
      </c>
      <c r="I11">
        <v>2</v>
      </c>
      <c r="J11">
        <v>4</v>
      </c>
      <c r="K11">
        <v>144</v>
      </c>
      <c r="L11">
        <v>0</v>
      </c>
    </row>
    <row r="12" spans="1:12" x14ac:dyDescent="0.25">
      <c r="A12">
        <v>1</v>
      </c>
      <c r="B12">
        <v>2</v>
      </c>
      <c r="C12">
        <v>0</v>
      </c>
      <c r="D12">
        <v>0</v>
      </c>
      <c r="E12">
        <v>0</v>
      </c>
      <c r="F12">
        <v>153.78559999999999</v>
      </c>
      <c r="G12">
        <v>400</v>
      </c>
      <c r="H12">
        <v>0</v>
      </c>
      <c r="I12">
        <v>6</v>
      </c>
      <c r="J12">
        <v>5</v>
      </c>
      <c r="K12">
        <v>99</v>
      </c>
      <c r="L12">
        <v>23</v>
      </c>
    </row>
    <row r="13" spans="1:12" x14ac:dyDescent="0.25">
      <c r="A13">
        <v>0</v>
      </c>
      <c r="B13">
        <v>1</v>
      </c>
      <c r="C13">
        <v>0</v>
      </c>
      <c r="D13">
        <v>2</v>
      </c>
      <c r="E13">
        <v>12</v>
      </c>
      <c r="F13">
        <v>30.670010000000001</v>
      </c>
      <c r="G13">
        <v>0</v>
      </c>
      <c r="H13">
        <v>1</v>
      </c>
      <c r="I13">
        <v>1</v>
      </c>
      <c r="J13">
        <v>0</v>
      </c>
      <c r="K13">
        <v>67</v>
      </c>
      <c r="L13">
        <v>0</v>
      </c>
    </row>
    <row r="14" spans="1:12" x14ac:dyDescent="0.25">
      <c r="A14">
        <v>5</v>
      </c>
      <c r="B14">
        <v>4</v>
      </c>
      <c r="C14">
        <v>1</v>
      </c>
      <c r="D14">
        <v>0</v>
      </c>
      <c r="E14">
        <v>0</v>
      </c>
      <c r="F14">
        <v>105.2589</v>
      </c>
      <c r="G14">
        <v>600</v>
      </c>
      <c r="H14">
        <v>0</v>
      </c>
      <c r="I14">
        <v>0</v>
      </c>
      <c r="J14">
        <v>0</v>
      </c>
      <c r="K14">
        <v>294</v>
      </c>
      <c r="L14">
        <v>3</v>
      </c>
    </row>
    <row r="15" spans="1:12" x14ac:dyDescent="0.25">
      <c r="A15">
        <v>1</v>
      </c>
      <c r="B15">
        <v>2</v>
      </c>
      <c r="C15">
        <v>0</v>
      </c>
      <c r="D15">
        <v>0</v>
      </c>
      <c r="E15">
        <v>0</v>
      </c>
      <c r="F15">
        <v>135.3596</v>
      </c>
      <c r="G15">
        <v>240</v>
      </c>
      <c r="H15">
        <v>0</v>
      </c>
      <c r="I15">
        <v>3</v>
      </c>
      <c r="J15">
        <v>2</v>
      </c>
      <c r="K15">
        <v>59</v>
      </c>
      <c r="L15">
        <v>196</v>
      </c>
    </row>
    <row r="16" spans="1:12" x14ac:dyDescent="0.25">
      <c r="A16">
        <v>0</v>
      </c>
      <c r="B16">
        <v>1</v>
      </c>
      <c r="C16">
        <v>0</v>
      </c>
      <c r="D16">
        <v>5</v>
      </c>
      <c r="E16">
        <v>11</v>
      </c>
      <c r="F16">
        <v>37.040280000000003</v>
      </c>
      <c r="G16">
        <v>120</v>
      </c>
      <c r="H16">
        <v>1</v>
      </c>
      <c r="I16">
        <v>1</v>
      </c>
      <c r="J16">
        <v>2</v>
      </c>
      <c r="K16">
        <v>16</v>
      </c>
      <c r="L16">
        <v>0</v>
      </c>
    </row>
    <row r="17" spans="1:12" x14ac:dyDescent="0.25">
      <c r="A17">
        <v>0</v>
      </c>
      <c r="B17">
        <v>1</v>
      </c>
      <c r="C17">
        <v>0</v>
      </c>
      <c r="D17">
        <v>2</v>
      </c>
      <c r="E17">
        <v>3</v>
      </c>
      <c r="F17">
        <v>31.024170000000002</v>
      </c>
      <c r="G17">
        <v>80</v>
      </c>
      <c r="H17">
        <v>1</v>
      </c>
      <c r="I17">
        <v>2</v>
      </c>
      <c r="J17">
        <v>1</v>
      </c>
      <c r="K17">
        <v>49</v>
      </c>
      <c r="L17">
        <v>0</v>
      </c>
    </row>
    <row r="18" spans="1:12" x14ac:dyDescent="0.25">
      <c r="A18">
        <v>1</v>
      </c>
      <c r="B18">
        <v>2</v>
      </c>
      <c r="C18">
        <v>0</v>
      </c>
      <c r="D18">
        <v>0</v>
      </c>
      <c r="E18">
        <v>0</v>
      </c>
      <c r="F18">
        <v>65.314760000000007</v>
      </c>
      <c r="G18">
        <v>280</v>
      </c>
      <c r="H18">
        <v>2</v>
      </c>
      <c r="I18">
        <v>2</v>
      </c>
      <c r="J18">
        <v>9</v>
      </c>
      <c r="K18">
        <v>255</v>
      </c>
      <c r="L18">
        <v>0</v>
      </c>
    </row>
    <row r="19" spans="1:12" x14ac:dyDescent="0.25">
      <c r="A19">
        <v>2</v>
      </c>
      <c r="B19">
        <v>3</v>
      </c>
      <c r="C19">
        <v>0</v>
      </c>
      <c r="D19">
        <v>0</v>
      </c>
      <c r="E19">
        <v>0</v>
      </c>
      <c r="F19">
        <v>71.378720000000001</v>
      </c>
      <c r="G19">
        <v>488</v>
      </c>
      <c r="H19">
        <v>3</v>
      </c>
      <c r="I19">
        <v>3</v>
      </c>
      <c r="J19">
        <v>8</v>
      </c>
      <c r="K19">
        <v>54</v>
      </c>
      <c r="L19">
        <v>21</v>
      </c>
    </row>
    <row r="20" spans="1:12" x14ac:dyDescent="0.25">
      <c r="A20">
        <v>2</v>
      </c>
      <c r="B20">
        <v>4</v>
      </c>
      <c r="C20">
        <v>1</v>
      </c>
      <c r="D20">
        <v>0</v>
      </c>
      <c r="E20">
        <v>0</v>
      </c>
      <c r="F20">
        <v>45.712040000000002</v>
      </c>
      <c r="G20">
        <v>240</v>
      </c>
      <c r="H20">
        <v>0</v>
      </c>
      <c r="I20">
        <v>2</v>
      </c>
      <c r="J20">
        <v>0</v>
      </c>
      <c r="K20">
        <v>52</v>
      </c>
      <c r="L20">
        <v>11</v>
      </c>
    </row>
    <row r="21" spans="1:12" x14ac:dyDescent="0.25">
      <c r="A21">
        <f>SUBTOTAL(101,temp6[Column1])</f>
        <v>1.5789473684210527</v>
      </c>
      <c r="B21">
        <f>SUBTOTAL(101,temp6[Column2])</f>
        <v>2.0526315789473686</v>
      </c>
      <c r="C21">
        <f>SUBTOTAL(101,temp6[Column3])</f>
        <v>0.31578947368421051</v>
      </c>
      <c r="D21">
        <f>SUBTOTAL(101,temp6[Column4])</f>
        <v>2.3157894736842106</v>
      </c>
      <c r="E21">
        <f>SUBTOTAL(101,temp6[Column5])</f>
        <v>62.526315789473685</v>
      </c>
      <c r="F21">
        <f>SUBTOTAL(101,temp6[Column6])</f>
        <v>782747.77041614731</v>
      </c>
      <c r="G21">
        <f>SUBTOTAL(101,temp6[Column7])</f>
        <v>333.05263157894734</v>
      </c>
      <c r="H21">
        <f>SUBTOTAL(101,temp6[Column8])</f>
        <v>0.73684210526315785</v>
      </c>
      <c r="I21">
        <f>SUBTOTAL(101,temp6[Column9])</f>
        <v>2.3157894736842106</v>
      </c>
      <c r="J21">
        <f>SUBTOTAL(101,temp6[Column10])</f>
        <v>3.5263157894736841</v>
      </c>
      <c r="K21">
        <f>SUBTOTAL(101,temp6[Column11])</f>
        <v>90.10526315789474</v>
      </c>
      <c r="L21">
        <f>SUBTOTAL(101,temp6[Column12])</f>
        <v>14.684210526315789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AD813-9BF4-4636-B85D-D3E6E615C588}">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13</v>
      </c>
      <c r="B2">
        <v>4</v>
      </c>
      <c r="C2">
        <v>0</v>
      </c>
      <c r="D2">
        <v>5</v>
      </c>
      <c r="E2">
        <v>1471</v>
      </c>
      <c r="F2">
        <v>340.36869999999999</v>
      </c>
      <c r="G2">
        <v>2324</v>
      </c>
      <c r="H2">
        <v>20</v>
      </c>
      <c r="I2">
        <v>15</v>
      </c>
      <c r="J2">
        <v>14</v>
      </c>
      <c r="K2">
        <v>83</v>
      </c>
      <c r="L2">
        <v>23</v>
      </c>
    </row>
    <row r="3" spans="1:12" x14ac:dyDescent="0.25">
      <c r="A3">
        <v>0</v>
      </c>
      <c r="B3">
        <v>1</v>
      </c>
      <c r="C3">
        <v>0</v>
      </c>
      <c r="D3">
        <v>0</v>
      </c>
      <c r="E3">
        <v>0</v>
      </c>
      <c r="F3">
        <v>64.110349999999997</v>
      </c>
      <c r="G3">
        <v>178</v>
      </c>
      <c r="H3">
        <v>1</v>
      </c>
      <c r="I3">
        <v>1</v>
      </c>
      <c r="J3">
        <v>4</v>
      </c>
      <c r="K3">
        <v>36</v>
      </c>
      <c r="L3">
        <v>0</v>
      </c>
    </row>
    <row r="4" spans="1:12" x14ac:dyDescent="0.25">
      <c r="A4">
        <v>0</v>
      </c>
      <c r="B4">
        <v>2</v>
      </c>
      <c r="C4">
        <v>0</v>
      </c>
      <c r="D4">
        <v>0</v>
      </c>
      <c r="E4">
        <v>0</v>
      </c>
      <c r="F4">
        <v>34.184690000000003</v>
      </c>
      <c r="G4">
        <v>123</v>
      </c>
      <c r="H4">
        <v>1</v>
      </c>
      <c r="I4">
        <v>1</v>
      </c>
      <c r="J4">
        <v>3</v>
      </c>
      <c r="K4">
        <v>77</v>
      </c>
      <c r="L4">
        <v>0</v>
      </c>
    </row>
    <row r="5" spans="1:12" x14ac:dyDescent="0.25">
      <c r="A5">
        <v>4</v>
      </c>
      <c r="B5">
        <v>4</v>
      </c>
      <c r="C5">
        <v>1</v>
      </c>
      <c r="D5">
        <v>0</v>
      </c>
      <c r="E5">
        <v>0</v>
      </c>
      <c r="F5">
        <v>105231</v>
      </c>
      <c r="G5">
        <v>634</v>
      </c>
      <c r="H5">
        <v>3</v>
      </c>
      <c r="I5">
        <v>4</v>
      </c>
      <c r="J5">
        <v>11</v>
      </c>
      <c r="K5">
        <v>138</v>
      </c>
      <c r="L5">
        <v>0</v>
      </c>
    </row>
    <row r="6" spans="1:12" x14ac:dyDescent="0.25">
      <c r="A6">
        <v>2</v>
      </c>
      <c r="B6">
        <v>1</v>
      </c>
      <c r="C6">
        <v>0</v>
      </c>
      <c r="D6">
        <v>0</v>
      </c>
      <c r="E6">
        <v>0</v>
      </c>
      <c r="F6">
        <v>175.68020000000001</v>
      </c>
      <c r="G6">
        <v>492</v>
      </c>
      <c r="H6">
        <v>0</v>
      </c>
      <c r="I6">
        <v>3</v>
      </c>
      <c r="J6">
        <v>5</v>
      </c>
      <c r="K6">
        <v>44</v>
      </c>
      <c r="L6">
        <v>0</v>
      </c>
    </row>
    <row r="7" spans="1:12" x14ac:dyDescent="0.25">
      <c r="A7">
        <v>0</v>
      </c>
      <c r="B7">
        <v>3</v>
      </c>
      <c r="C7">
        <v>1</v>
      </c>
      <c r="D7">
        <v>0</v>
      </c>
      <c r="E7">
        <v>0</v>
      </c>
      <c r="F7">
        <v>5.2780149999999998E-2</v>
      </c>
      <c r="G7">
        <v>0</v>
      </c>
      <c r="H7">
        <v>0</v>
      </c>
      <c r="I7">
        <v>0</v>
      </c>
      <c r="J7">
        <v>0</v>
      </c>
      <c r="K7">
        <v>0</v>
      </c>
      <c r="L7">
        <v>0</v>
      </c>
    </row>
    <row r="8" spans="1:12" x14ac:dyDescent="0.25">
      <c r="A8">
        <v>4</v>
      </c>
      <c r="B8">
        <v>4</v>
      </c>
      <c r="C8">
        <v>1</v>
      </c>
      <c r="D8">
        <v>0</v>
      </c>
      <c r="E8">
        <v>0</v>
      </c>
      <c r="F8">
        <v>92.614260000000002</v>
      </c>
      <c r="G8">
        <v>639</v>
      </c>
      <c r="H8">
        <v>0</v>
      </c>
      <c r="I8">
        <v>4</v>
      </c>
      <c r="J8">
        <v>3</v>
      </c>
      <c r="K8">
        <v>20</v>
      </c>
      <c r="L8">
        <v>0</v>
      </c>
    </row>
    <row r="9" spans="1:12" x14ac:dyDescent="0.25">
      <c r="A9">
        <v>1</v>
      </c>
      <c r="B9">
        <v>4</v>
      </c>
      <c r="C9">
        <v>0</v>
      </c>
      <c r="D9">
        <v>0</v>
      </c>
      <c r="E9">
        <v>0</v>
      </c>
      <c r="F9">
        <v>89.255489999999995</v>
      </c>
      <c r="G9">
        <v>167</v>
      </c>
      <c r="H9">
        <v>0</v>
      </c>
      <c r="I9">
        <v>2</v>
      </c>
      <c r="J9">
        <v>1</v>
      </c>
      <c r="K9">
        <v>33</v>
      </c>
      <c r="L9">
        <v>13</v>
      </c>
    </row>
    <row r="10" spans="1:12" x14ac:dyDescent="0.25">
      <c r="A10">
        <v>3</v>
      </c>
      <c r="B10">
        <v>3</v>
      </c>
      <c r="C10">
        <v>1</v>
      </c>
      <c r="D10">
        <v>0</v>
      </c>
      <c r="E10">
        <v>0</v>
      </c>
      <c r="F10">
        <v>54.663939999999997</v>
      </c>
      <c r="G10">
        <v>392</v>
      </c>
      <c r="H10">
        <v>0</v>
      </c>
      <c r="I10">
        <v>3</v>
      </c>
      <c r="J10">
        <v>0</v>
      </c>
      <c r="K10">
        <v>197</v>
      </c>
      <c r="L10">
        <v>1</v>
      </c>
    </row>
    <row r="11" spans="1:12" x14ac:dyDescent="0.25">
      <c r="A11">
        <v>0</v>
      </c>
      <c r="B11">
        <v>2</v>
      </c>
      <c r="C11">
        <v>0</v>
      </c>
      <c r="D11">
        <v>0</v>
      </c>
      <c r="E11">
        <v>0</v>
      </c>
      <c r="F11">
        <v>3359863</v>
      </c>
      <c r="G11">
        <v>28</v>
      </c>
      <c r="H11">
        <v>1</v>
      </c>
      <c r="I11">
        <v>1</v>
      </c>
      <c r="J11">
        <v>1</v>
      </c>
      <c r="K11">
        <v>57</v>
      </c>
      <c r="L11">
        <v>0</v>
      </c>
    </row>
    <row r="12" spans="1:12" x14ac:dyDescent="0.25">
      <c r="A12">
        <v>1</v>
      </c>
      <c r="B12">
        <v>1</v>
      </c>
      <c r="C12">
        <v>1</v>
      </c>
      <c r="D12">
        <v>0</v>
      </c>
      <c r="E12">
        <v>0</v>
      </c>
      <c r="F12">
        <v>52.474119999999999</v>
      </c>
      <c r="G12">
        <v>173</v>
      </c>
      <c r="H12">
        <v>0</v>
      </c>
      <c r="I12">
        <v>2</v>
      </c>
      <c r="J12">
        <v>5</v>
      </c>
      <c r="K12">
        <v>91</v>
      </c>
      <c r="L12">
        <v>0</v>
      </c>
    </row>
    <row r="13" spans="1:12" x14ac:dyDescent="0.25">
      <c r="A13">
        <v>2</v>
      </c>
      <c r="B13">
        <v>1</v>
      </c>
      <c r="C13">
        <v>0</v>
      </c>
      <c r="D13">
        <v>1</v>
      </c>
      <c r="E13">
        <v>5</v>
      </c>
      <c r="F13">
        <v>66.324219999999997</v>
      </c>
      <c r="G13">
        <v>352</v>
      </c>
      <c r="H13">
        <v>3</v>
      </c>
      <c r="I13">
        <v>3</v>
      </c>
      <c r="J13">
        <v>1</v>
      </c>
      <c r="K13">
        <v>112</v>
      </c>
      <c r="L13">
        <v>0</v>
      </c>
    </row>
    <row r="14" spans="1:12" x14ac:dyDescent="0.25">
      <c r="A14">
        <v>1</v>
      </c>
      <c r="B14">
        <v>1</v>
      </c>
      <c r="C14">
        <v>1</v>
      </c>
      <c r="D14">
        <v>0</v>
      </c>
      <c r="E14">
        <v>0</v>
      </c>
      <c r="F14">
        <v>56.02478</v>
      </c>
      <c r="G14">
        <v>103</v>
      </c>
      <c r="H14">
        <v>0</v>
      </c>
      <c r="I14">
        <v>0</v>
      </c>
      <c r="J14">
        <v>0</v>
      </c>
      <c r="K14">
        <v>135</v>
      </c>
      <c r="L14">
        <v>0</v>
      </c>
    </row>
    <row r="15" spans="1:12" x14ac:dyDescent="0.25">
      <c r="A15">
        <v>0</v>
      </c>
      <c r="B15">
        <v>1</v>
      </c>
      <c r="C15">
        <v>0</v>
      </c>
      <c r="D15">
        <v>0</v>
      </c>
      <c r="E15">
        <v>0</v>
      </c>
      <c r="F15">
        <v>54.069580000000002</v>
      </c>
      <c r="G15">
        <v>44</v>
      </c>
      <c r="H15">
        <v>0</v>
      </c>
      <c r="I15">
        <v>1</v>
      </c>
      <c r="J15">
        <v>0</v>
      </c>
      <c r="K15">
        <v>70</v>
      </c>
      <c r="L15">
        <v>7</v>
      </c>
    </row>
    <row r="16" spans="1:12" x14ac:dyDescent="0.25">
      <c r="A16">
        <v>1</v>
      </c>
      <c r="B16">
        <v>3</v>
      </c>
      <c r="C16">
        <v>0</v>
      </c>
      <c r="D16">
        <v>17</v>
      </c>
      <c r="E16">
        <v>18</v>
      </c>
      <c r="F16">
        <v>67.342770000000002</v>
      </c>
      <c r="G16">
        <v>330</v>
      </c>
      <c r="H16">
        <v>2</v>
      </c>
      <c r="I16">
        <v>2</v>
      </c>
      <c r="J16">
        <v>8</v>
      </c>
      <c r="K16">
        <v>42</v>
      </c>
      <c r="L16">
        <v>0</v>
      </c>
    </row>
    <row r="17" spans="1:12" x14ac:dyDescent="0.25">
      <c r="A17">
        <v>1</v>
      </c>
      <c r="B17">
        <v>1</v>
      </c>
      <c r="C17">
        <v>0</v>
      </c>
      <c r="D17">
        <v>3</v>
      </c>
      <c r="E17">
        <v>7</v>
      </c>
      <c r="F17">
        <v>48.294429999999998</v>
      </c>
      <c r="G17">
        <v>148</v>
      </c>
      <c r="H17">
        <v>2</v>
      </c>
      <c r="I17">
        <v>2</v>
      </c>
      <c r="J17">
        <v>1</v>
      </c>
      <c r="K17">
        <v>15</v>
      </c>
      <c r="L17">
        <v>0</v>
      </c>
    </row>
    <row r="18" spans="1:12" x14ac:dyDescent="0.25">
      <c r="A18">
        <v>2</v>
      </c>
      <c r="B18">
        <v>4</v>
      </c>
      <c r="C18">
        <v>1</v>
      </c>
      <c r="D18">
        <v>0</v>
      </c>
      <c r="E18">
        <v>37</v>
      </c>
      <c r="F18">
        <v>20.138670000000001</v>
      </c>
      <c r="G18">
        <v>266</v>
      </c>
      <c r="H18">
        <v>1</v>
      </c>
      <c r="I18">
        <v>1</v>
      </c>
      <c r="J18">
        <v>1</v>
      </c>
      <c r="K18">
        <v>56</v>
      </c>
      <c r="L18">
        <v>0</v>
      </c>
    </row>
    <row r="19" spans="1:12" x14ac:dyDescent="0.25">
      <c r="A19">
        <v>0</v>
      </c>
      <c r="B19">
        <v>1</v>
      </c>
      <c r="C19">
        <v>0</v>
      </c>
      <c r="D19">
        <v>0</v>
      </c>
      <c r="E19">
        <v>0</v>
      </c>
      <c r="F19">
        <v>36.022089999999999</v>
      </c>
      <c r="G19">
        <v>107</v>
      </c>
      <c r="H19">
        <v>1</v>
      </c>
      <c r="I19">
        <v>1</v>
      </c>
      <c r="J19">
        <v>9</v>
      </c>
      <c r="K19">
        <v>50</v>
      </c>
      <c r="L19">
        <v>3</v>
      </c>
    </row>
    <row r="20" spans="1:12" x14ac:dyDescent="0.25">
      <c r="A20">
        <v>1</v>
      </c>
      <c r="B20">
        <v>3</v>
      </c>
      <c r="C20">
        <v>1</v>
      </c>
      <c r="D20">
        <v>0</v>
      </c>
      <c r="E20">
        <v>0</v>
      </c>
      <c r="F20">
        <v>35.540529999999997</v>
      </c>
      <c r="G20">
        <v>105</v>
      </c>
      <c r="H20">
        <v>0</v>
      </c>
      <c r="I20">
        <v>2</v>
      </c>
      <c r="J20">
        <v>0</v>
      </c>
      <c r="K20">
        <v>73</v>
      </c>
      <c r="L20">
        <v>0</v>
      </c>
    </row>
    <row r="21" spans="1:12" x14ac:dyDescent="0.25">
      <c r="A21">
        <f>SUBTOTAL(101,temp23[Column1])</f>
        <v>1.8947368421052631</v>
      </c>
      <c r="B21">
        <f>SUBTOTAL(101,temp23[Column2])</f>
        <v>2.3157894736842106</v>
      </c>
      <c r="C21">
        <f>SUBTOTAL(101,temp23[Column3])</f>
        <v>0.42105263157894735</v>
      </c>
      <c r="D21">
        <f>SUBTOTAL(101,temp23[Column4])</f>
        <v>1.368421052631579</v>
      </c>
      <c r="E21">
        <f>SUBTOTAL(101,temp23[Column5])</f>
        <v>80.94736842105263</v>
      </c>
      <c r="F21">
        <f>SUBTOTAL(101,temp23[Column6])</f>
        <v>182441.11376842891</v>
      </c>
      <c r="G21">
        <f>SUBTOTAL(101,temp23[Column7])</f>
        <v>347.63157894736844</v>
      </c>
      <c r="H21">
        <f>SUBTOTAL(101,temp23[Column8])</f>
        <v>1.8421052631578947</v>
      </c>
      <c r="I21">
        <f>SUBTOTAL(101,temp23[Column9])</f>
        <v>2.5263157894736841</v>
      </c>
      <c r="J21">
        <f>SUBTOTAL(101,temp23[Column10])</f>
        <v>3.5263157894736841</v>
      </c>
      <c r="K21">
        <f>SUBTOTAL(101,temp23[Column11])</f>
        <v>69.94736842105263</v>
      </c>
      <c r="L21">
        <f>SUBTOTAL(101,temp23[Column12])</f>
        <v>2.4736842105263159</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E7CE9-385F-4EC0-9B90-D367EF1672E9}">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3</v>
      </c>
      <c r="B2">
        <v>1</v>
      </c>
      <c r="C2">
        <v>0</v>
      </c>
      <c r="D2">
        <v>2</v>
      </c>
      <c r="E2">
        <v>51</v>
      </c>
      <c r="F2">
        <v>182.32429999999999</v>
      </c>
      <c r="G2">
        <v>440</v>
      </c>
      <c r="H2">
        <v>1</v>
      </c>
      <c r="I2">
        <v>5</v>
      </c>
      <c r="J2">
        <v>0</v>
      </c>
      <c r="K2">
        <v>35</v>
      </c>
      <c r="L2">
        <v>16</v>
      </c>
    </row>
    <row r="3" spans="1:12" x14ac:dyDescent="0.25">
      <c r="A3">
        <v>0</v>
      </c>
      <c r="B3">
        <v>1</v>
      </c>
      <c r="C3">
        <v>0</v>
      </c>
      <c r="D3">
        <v>12</v>
      </c>
      <c r="E3">
        <v>216</v>
      </c>
      <c r="F3">
        <v>68.329830000000001</v>
      </c>
      <c r="G3">
        <v>200</v>
      </c>
      <c r="H3">
        <v>1</v>
      </c>
      <c r="I3">
        <v>1</v>
      </c>
      <c r="J3">
        <v>5</v>
      </c>
      <c r="K3">
        <v>63</v>
      </c>
      <c r="L3">
        <v>0</v>
      </c>
    </row>
    <row r="4" spans="1:12" x14ac:dyDescent="0.25">
      <c r="A4">
        <v>0</v>
      </c>
      <c r="B4">
        <v>1</v>
      </c>
      <c r="C4">
        <v>0</v>
      </c>
      <c r="D4">
        <v>0</v>
      </c>
      <c r="E4">
        <v>0</v>
      </c>
      <c r="F4">
        <v>35.390929999999997</v>
      </c>
      <c r="G4">
        <v>80</v>
      </c>
      <c r="H4">
        <v>1</v>
      </c>
      <c r="I4">
        <v>1</v>
      </c>
      <c r="J4">
        <v>1</v>
      </c>
      <c r="K4">
        <v>39</v>
      </c>
      <c r="L4">
        <v>0</v>
      </c>
    </row>
    <row r="5" spans="1:12" x14ac:dyDescent="0.25">
      <c r="A5">
        <v>0</v>
      </c>
      <c r="B5">
        <v>1</v>
      </c>
      <c r="C5">
        <v>0</v>
      </c>
      <c r="D5">
        <v>0</v>
      </c>
      <c r="E5">
        <v>0</v>
      </c>
      <c r="F5">
        <v>1432782</v>
      </c>
      <c r="G5">
        <v>0</v>
      </c>
      <c r="H5">
        <v>0</v>
      </c>
      <c r="I5">
        <v>1</v>
      </c>
      <c r="J5">
        <v>0</v>
      </c>
      <c r="K5">
        <v>35</v>
      </c>
      <c r="L5">
        <v>0</v>
      </c>
    </row>
    <row r="6" spans="1:12" x14ac:dyDescent="0.25">
      <c r="A6">
        <v>0</v>
      </c>
      <c r="B6">
        <v>1</v>
      </c>
      <c r="C6">
        <v>0</v>
      </c>
      <c r="D6">
        <v>0</v>
      </c>
      <c r="E6">
        <v>0</v>
      </c>
      <c r="F6">
        <v>62.5426</v>
      </c>
      <c r="G6">
        <v>160</v>
      </c>
      <c r="H6">
        <v>0</v>
      </c>
      <c r="I6">
        <v>1</v>
      </c>
      <c r="J6">
        <v>3</v>
      </c>
      <c r="K6">
        <v>20</v>
      </c>
      <c r="L6">
        <v>0</v>
      </c>
    </row>
    <row r="7" spans="1:12" x14ac:dyDescent="0.25">
      <c r="A7">
        <v>0</v>
      </c>
      <c r="B7">
        <v>2</v>
      </c>
      <c r="C7">
        <v>1</v>
      </c>
      <c r="D7">
        <v>0</v>
      </c>
      <c r="E7">
        <v>0</v>
      </c>
      <c r="F7">
        <v>0.27042769999999999</v>
      </c>
      <c r="G7">
        <v>0</v>
      </c>
      <c r="H7">
        <v>0</v>
      </c>
      <c r="I7">
        <v>0</v>
      </c>
      <c r="J7">
        <v>0</v>
      </c>
      <c r="K7">
        <v>0</v>
      </c>
      <c r="L7">
        <v>0</v>
      </c>
    </row>
    <row r="8" spans="1:12" x14ac:dyDescent="0.25">
      <c r="A8">
        <v>0</v>
      </c>
      <c r="B8">
        <v>1</v>
      </c>
      <c r="C8">
        <v>0</v>
      </c>
      <c r="D8">
        <v>0</v>
      </c>
      <c r="E8">
        <v>0</v>
      </c>
      <c r="F8">
        <v>25.991879999999998</v>
      </c>
      <c r="G8">
        <v>40</v>
      </c>
      <c r="H8">
        <v>0</v>
      </c>
      <c r="I8">
        <v>1</v>
      </c>
      <c r="J8">
        <v>0</v>
      </c>
      <c r="K8">
        <v>7</v>
      </c>
      <c r="L8">
        <v>0</v>
      </c>
    </row>
    <row r="9" spans="1:12" x14ac:dyDescent="0.25">
      <c r="A9">
        <v>0</v>
      </c>
      <c r="B9">
        <v>1</v>
      </c>
      <c r="C9">
        <v>0</v>
      </c>
      <c r="D9">
        <v>0</v>
      </c>
      <c r="E9">
        <v>0</v>
      </c>
      <c r="F9">
        <v>15.479660000000001</v>
      </c>
      <c r="G9">
        <v>0</v>
      </c>
      <c r="H9">
        <v>1</v>
      </c>
      <c r="I9">
        <v>1</v>
      </c>
      <c r="J9">
        <v>0</v>
      </c>
      <c r="K9">
        <v>6</v>
      </c>
      <c r="L9">
        <v>0</v>
      </c>
    </row>
    <row r="10" spans="1:12" x14ac:dyDescent="0.25">
      <c r="A10">
        <v>1</v>
      </c>
      <c r="B10">
        <v>2</v>
      </c>
      <c r="C10">
        <v>0</v>
      </c>
      <c r="D10">
        <v>0</v>
      </c>
      <c r="E10">
        <v>0</v>
      </c>
      <c r="F10">
        <v>33.904299999999999</v>
      </c>
      <c r="G10">
        <v>160</v>
      </c>
      <c r="H10">
        <v>0</v>
      </c>
      <c r="I10">
        <v>2</v>
      </c>
      <c r="J10">
        <v>0</v>
      </c>
      <c r="K10">
        <v>83</v>
      </c>
      <c r="L10">
        <v>2</v>
      </c>
    </row>
    <row r="11" spans="1:12" x14ac:dyDescent="0.25">
      <c r="A11">
        <v>0</v>
      </c>
      <c r="B11">
        <v>1</v>
      </c>
      <c r="C11">
        <v>0</v>
      </c>
      <c r="D11">
        <v>0</v>
      </c>
      <c r="E11">
        <v>0</v>
      </c>
      <c r="F11">
        <v>4805408</v>
      </c>
      <c r="G11">
        <v>0</v>
      </c>
      <c r="H11">
        <v>0</v>
      </c>
      <c r="I11">
        <v>1</v>
      </c>
      <c r="J11">
        <v>0</v>
      </c>
      <c r="K11">
        <v>30</v>
      </c>
      <c r="L11">
        <v>0</v>
      </c>
    </row>
    <row r="12" spans="1:12" x14ac:dyDescent="0.25">
      <c r="A12">
        <v>0</v>
      </c>
      <c r="B12">
        <v>2</v>
      </c>
      <c r="C12">
        <v>0</v>
      </c>
      <c r="D12">
        <v>0</v>
      </c>
      <c r="E12">
        <v>0</v>
      </c>
      <c r="F12">
        <v>107.4008</v>
      </c>
      <c r="G12">
        <v>120</v>
      </c>
      <c r="H12">
        <v>0</v>
      </c>
      <c r="I12">
        <v>1</v>
      </c>
      <c r="J12">
        <v>8</v>
      </c>
      <c r="K12">
        <v>96</v>
      </c>
      <c r="L12">
        <v>1</v>
      </c>
    </row>
    <row r="13" spans="1:12" x14ac:dyDescent="0.25">
      <c r="A13">
        <v>0</v>
      </c>
      <c r="B13">
        <v>1</v>
      </c>
      <c r="C13">
        <v>0</v>
      </c>
      <c r="D13">
        <v>2</v>
      </c>
      <c r="E13">
        <v>11</v>
      </c>
      <c r="F13">
        <v>15.735200000000001</v>
      </c>
      <c r="G13">
        <v>80</v>
      </c>
      <c r="H13">
        <v>1</v>
      </c>
      <c r="I13">
        <v>1</v>
      </c>
      <c r="J13">
        <v>0</v>
      </c>
      <c r="K13">
        <v>31</v>
      </c>
      <c r="L13">
        <v>0</v>
      </c>
    </row>
    <row r="14" spans="1:12" x14ac:dyDescent="0.25">
      <c r="A14">
        <v>1</v>
      </c>
      <c r="B14">
        <v>3</v>
      </c>
      <c r="C14">
        <v>1</v>
      </c>
      <c r="D14">
        <v>0</v>
      </c>
      <c r="E14">
        <v>0</v>
      </c>
      <c r="F14">
        <v>46.83887</v>
      </c>
      <c r="G14">
        <v>120</v>
      </c>
      <c r="H14">
        <v>0</v>
      </c>
      <c r="I14">
        <v>0</v>
      </c>
      <c r="J14">
        <v>0</v>
      </c>
      <c r="K14">
        <v>40</v>
      </c>
      <c r="L14">
        <v>0</v>
      </c>
    </row>
    <row r="15" spans="1:12" x14ac:dyDescent="0.25">
      <c r="A15">
        <v>1</v>
      </c>
      <c r="B15">
        <v>1</v>
      </c>
      <c r="C15">
        <v>0</v>
      </c>
      <c r="D15">
        <v>0</v>
      </c>
      <c r="E15">
        <v>0</v>
      </c>
      <c r="F15">
        <v>40.755369999999999</v>
      </c>
      <c r="G15">
        <v>200</v>
      </c>
      <c r="H15">
        <v>0</v>
      </c>
      <c r="I15">
        <v>4</v>
      </c>
      <c r="J15">
        <v>0</v>
      </c>
      <c r="K15">
        <v>24</v>
      </c>
      <c r="L15">
        <v>4</v>
      </c>
    </row>
    <row r="16" spans="1:12" x14ac:dyDescent="0.25">
      <c r="A16">
        <v>1</v>
      </c>
      <c r="B16">
        <v>1</v>
      </c>
      <c r="C16">
        <v>0</v>
      </c>
      <c r="D16">
        <v>4</v>
      </c>
      <c r="E16">
        <v>9</v>
      </c>
      <c r="F16">
        <v>28.829470000000001</v>
      </c>
      <c r="G16">
        <v>240</v>
      </c>
      <c r="H16">
        <v>2</v>
      </c>
      <c r="I16">
        <v>2</v>
      </c>
      <c r="J16">
        <v>1</v>
      </c>
      <c r="K16">
        <v>10</v>
      </c>
      <c r="L16">
        <v>0</v>
      </c>
    </row>
    <row r="17" spans="1:12" x14ac:dyDescent="0.25">
      <c r="A17">
        <v>0</v>
      </c>
      <c r="B17">
        <v>1</v>
      </c>
      <c r="C17">
        <v>0</v>
      </c>
      <c r="D17">
        <v>1</v>
      </c>
      <c r="E17">
        <v>4</v>
      </c>
      <c r="F17">
        <v>15.61975</v>
      </c>
      <c r="G17">
        <v>40</v>
      </c>
      <c r="H17">
        <v>1</v>
      </c>
      <c r="I17">
        <v>1</v>
      </c>
      <c r="J17">
        <v>0</v>
      </c>
      <c r="K17">
        <v>28</v>
      </c>
      <c r="L17">
        <v>0</v>
      </c>
    </row>
    <row r="18" spans="1:12" x14ac:dyDescent="0.25">
      <c r="A18">
        <v>0</v>
      </c>
      <c r="B18">
        <v>1</v>
      </c>
      <c r="C18">
        <v>0</v>
      </c>
      <c r="D18">
        <v>0</v>
      </c>
      <c r="E18">
        <v>63</v>
      </c>
      <c r="F18">
        <v>37.199890000000003</v>
      </c>
      <c r="G18">
        <v>120</v>
      </c>
      <c r="H18">
        <v>1</v>
      </c>
      <c r="I18">
        <v>1</v>
      </c>
      <c r="J18">
        <v>6</v>
      </c>
      <c r="K18">
        <v>149</v>
      </c>
      <c r="L18">
        <v>0</v>
      </c>
    </row>
    <row r="19" spans="1:12" x14ac:dyDescent="0.25">
      <c r="A19">
        <v>1</v>
      </c>
      <c r="B19">
        <v>1</v>
      </c>
      <c r="C19">
        <v>0</v>
      </c>
      <c r="D19">
        <v>4</v>
      </c>
      <c r="E19">
        <v>12</v>
      </c>
      <c r="F19">
        <v>42.516539999999999</v>
      </c>
      <c r="G19">
        <v>200</v>
      </c>
      <c r="H19">
        <v>4</v>
      </c>
      <c r="I19">
        <v>2</v>
      </c>
      <c r="J19">
        <v>2</v>
      </c>
      <c r="K19">
        <v>39</v>
      </c>
      <c r="L19">
        <v>10</v>
      </c>
    </row>
    <row r="20" spans="1:12" x14ac:dyDescent="0.25">
      <c r="A20">
        <v>0</v>
      </c>
      <c r="B20">
        <v>1</v>
      </c>
      <c r="C20">
        <v>0</v>
      </c>
      <c r="D20">
        <v>0</v>
      </c>
      <c r="E20">
        <v>0</v>
      </c>
      <c r="F20">
        <v>24.992799999999999</v>
      </c>
      <c r="G20">
        <v>40</v>
      </c>
      <c r="H20">
        <v>0</v>
      </c>
      <c r="I20">
        <v>1</v>
      </c>
      <c r="J20">
        <v>0</v>
      </c>
      <c r="K20">
        <v>24</v>
      </c>
      <c r="L20">
        <v>5</v>
      </c>
    </row>
    <row r="21" spans="1:12" x14ac:dyDescent="0.25">
      <c r="A21">
        <f>SUBTOTAL(101,temp5[Column1])</f>
        <v>0.42105263157894735</v>
      </c>
      <c r="B21">
        <f>SUBTOTAL(101,temp5[Column2])</f>
        <v>1.263157894736842</v>
      </c>
      <c r="C21">
        <f>SUBTOTAL(101,temp5[Column3])</f>
        <v>0.10526315789473684</v>
      </c>
      <c r="D21">
        <f>SUBTOTAL(101,temp5[Column4])</f>
        <v>1.3157894736842106</v>
      </c>
      <c r="E21">
        <f>SUBTOTAL(101,temp5[Column5])</f>
        <v>19.263157894736842</v>
      </c>
      <c r="F21">
        <f>SUBTOTAL(101,temp5[Column6])</f>
        <v>328367.0590851421</v>
      </c>
      <c r="G21">
        <f>SUBTOTAL(101,temp5[Column7])</f>
        <v>117.89473684210526</v>
      </c>
      <c r="H21">
        <f>SUBTOTAL(101,temp5[Column8])</f>
        <v>0.68421052631578949</v>
      </c>
      <c r="I21">
        <f>SUBTOTAL(101,temp5[Column9])</f>
        <v>1.4210526315789473</v>
      </c>
      <c r="J21">
        <f>SUBTOTAL(101,temp5[Column10])</f>
        <v>1.368421052631579</v>
      </c>
      <c r="K21">
        <f>SUBTOTAL(101,temp5[Column11])</f>
        <v>39.94736842105263</v>
      </c>
      <c r="L21">
        <f>SUBTOTAL(101,temp5[Column12])</f>
        <v>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691E-E650-4A52-9F7B-A5CEED633A8F}">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4</v>
      </c>
      <c r="B2">
        <v>1</v>
      </c>
      <c r="C2">
        <v>1</v>
      </c>
      <c r="D2">
        <v>1</v>
      </c>
      <c r="E2">
        <v>1063</v>
      </c>
      <c r="F2">
        <v>175.82730000000001</v>
      </c>
      <c r="G2">
        <v>520</v>
      </c>
      <c r="H2">
        <v>0</v>
      </c>
      <c r="I2">
        <v>4</v>
      </c>
      <c r="J2">
        <v>1</v>
      </c>
      <c r="K2">
        <v>51</v>
      </c>
      <c r="L2">
        <v>52</v>
      </c>
    </row>
    <row r="3" spans="1:12" x14ac:dyDescent="0.25">
      <c r="A3">
        <v>1</v>
      </c>
      <c r="B3">
        <v>2</v>
      </c>
      <c r="C3">
        <v>0</v>
      </c>
      <c r="D3">
        <v>0</v>
      </c>
      <c r="E3">
        <v>26</v>
      </c>
      <c r="F3">
        <v>97.000609999999995</v>
      </c>
      <c r="G3">
        <v>320</v>
      </c>
      <c r="H3">
        <v>0</v>
      </c>
      <c r="I3">
        <v>2</v>
      </c>
      <c r="J3">
        <v>6</v>
      </c>
      <c r="K3">
        <v>156</v>
      </c>
      <c r="L3">
        <v>58</v>
      </c>
    </row>
    <row r="4" spans="1:12" x14ac:dyDescent="0.25">
      <c r="A4">
        <v>0</v>
      </c>
      <c r="B4">
        <v>1</v>
      </c>
      <c r="C4">
        <v>0</v>
      </c>
      <c r="D4">
        <v>0</v>
      </c>
      <c r="E4">
        <v>0</v>
      </c>
      <c r="F4">
        <v>38.981140000000003</v>
      </c>
      <c r="G4">
        <v>160</v>
      </c>
      <c r="H4">
        <v>1</v>
      </c>
      <c r="I4">
        <v>1</v>
      </c>
      <c r="J4">
        <v>2</v>
      </c>
      <c r="K4">
        <v>55</v>
      </c>
      <c r="L4">
        <v>0</v>
      </c>
    </row>
    <row r="5" spans="1:12" x14ac:dyDescent="0.25">
      <c r="A5">
        <v>1</v>
      </c>
      <c r="B5">
        <v>2</v>
      </c>
      <c r="C5">
        <v>0</v>
      </c>
      <c r="D5">
        <v>0</v>
      </c>
      <c r="E5">
        <v>0</v>
      </c>
      <c r="F5">
        <v>7344623</v>
      </c>
      <c r="G5">
        <v>280</v>
      </c>
      <c r="H5">
        <v>0</v>
      </c>
      <c r="I5">
        <v>2</v>
      </c>
      <c r="J5">
        <v>3</v>
      </c>
      <c r="K5">
        <v>173</v>
      </c>
      <c r="L5">
        <v>0</v>
      </c>
    </row>
    <row r="6" spans="1:12" x14ac:dyDescent="0.25">
      <c r="A6">
        <v>8</v>
      </c>
      <c r="B6">
        <v>4</v>
      </c>
      <c r="C6">
        <v>1</v>
      </c>
      <c r="D6">
        <v>0</v>
      </c>
      <c r="E6">
        <v>0</v>
      </c>
      <c r="F6">
        <v>397.62540000000001</v>
      </c>
      <c r="G6">
        <v>1400</v>
      </c>
      <c r="H6">
        <v>0</v>
      </c>
      <c r="I6">
        <v>9</v>
      </c>
      <c r="J6">
        <v>11</v>
      </c>
      <c r="K6">
        <v>80</v>
      </c>
      <c r="L6">
        <v>2</v>
      </c>
    </row>
    <row r="7" spans="1:12" x14ac:dyDescent="0.25">
      <c r="A7">
        <v>0</v>
      </c>
      <c r="B7">
        <v>4</v>
      </c>
      <c r="C7">
        <v>1</v>
      </c>
      <c r="D7">
        <v>0</v>
      </c>
      <c r="E7">
        <v>0</v>
      </c>
      <c r="F7">
        <v>0.22427269999999999</v>
      </c>
      <c r="G7">
        <v>0</v>
      </c>
      <c r="H7">
        <v>0</v>
      </c>
      <c r="I7">
        <v>0</v>
      </c>
      <c r="J7">
        <v>0</v>
      </c>
      <c r="K7">
        <v>0</v>
      </c>
      <c r="L7">
        <v>0</v>
      </c>
    </row>
    <row r="8" spans="1:12" x14ac:dyDescent="0.25">
      <c r="A8">
        <v>0</v>
      </c>
      <c r="B8">
        <v>3</v>
      </c>
      <c r="C8">
        <v>1</v>
      </c>
      <c r="D8">
        <v>0</v>
      </c>
      <c r="E8">
        <v>0</v>
      </c>
      <c r="F8">
        <v>25.426639999999999</v>
      </c>
      <c r="G8">
        <v>40</v>
      </c>
      <c r="H8">
        <v>0</v>
      </c>
      <c r="I8">
        <v>1</v>
      </c>
      <c r="J8">
        <v>0</v>
      </c>
      <c r="K8">
        <v>10</v>
      </c>
      <c r="L8">
        <v>0</v>
      </c>
    </row>
    <row r="9" spans="1:12" x14ac:dyDescent="0.25">
      <c r="A9">
        <v>0</v>
      </c>
      <c r="B9">
        <v>1</v>
      </c>
      <c r="C9">
        <v>0</v>
      </c>
      <c r="D9">
        <v>0</v>
      </c>
      <c r="E9">
        <v>0</v>
      </c>
      <c r="F9">
        <v>27.985379999999999</v>
      </c>
      <c r="G9">
        <v>80</v>
      </c>
      <c r="H9">
        <v>1</v>
      </c>
      <c r="I9">
        <v>1</v>
      </c>
      <c r="J9">
        <v>1</v>
      </c>
      <c r="K9">
        <v>11</v>
      </c>
      <c r="L9">
        <v>0</v>
      </c>
    </row>
    <row r="10" spans="1:12" x14ac:dyDescent="0.25">
      <c r="A10">
        <v>2</v>
      </c>
      <c r="B10">
        <v>3</v>
      </c>
      <c r="C10">
        <v>1</v>
      </c>
      <c r="D10">
        <v>0</v>
      </c>
      <c r="E10">
        <v>0</v>
      </c>
      <c r="F10">
        <v>62.643189999999997</v>
      </c>
      <c r="G10">
        <v>240</v>
      </c>
      <c r="H10">
        <v>0</v>
      </c>
      <c r="I10">
        <v>3</v>
      </c>
      <c r="J10">
        <v>0</v>
      </c>
      <c r="K10">
        <v>102</v>
      </c>
      <c r="L10">
        <v>11</v>
      </c>
    </row>
    <row r="11" spans="1:12" x14ac:dyDescent="0.25">
      <c r="A11">
        <v>1</v>
      </c>
      <c r="B11">
        <v>3</v>
      </c>
      <c r="C11">
        <v>0</v>
      </c>
      <c r="D11">
        <v>14</v>
      </c>
      <c r="E11">
        <v>62</v>
      </c>
      <c r="F11">
        <v>1774532</v>
      </c>
      <c r="G11">
        <v>320</v>
      </c>
      <c r="H11">
        <v>0</v>
      </c>
      <c r="I11">
        <v>2</v>
      </c>
      <c r="J11">
        <v>3</v>
      </c>
      <c r="K11">
        <v>192</v>
      </c>
      <c r="L11">
        <v>0</v>
      </c>
    </row>
    <row r="12" spans="1:12" x14ac:dyDescent="0.25">
      <c r="A12">
        <v>0</v>
      </c>
      <c r="B12">
        <v>1</v>
      </c>
      <c r="C12">
        <v>1</v>
      </c>
      <c r="D12">
        <v>0</v>
      </c>
      <c r="E12">
        <v>0</v>
      </c>
      <c r="F12">
        <v>0.50952149999999996</v>
      </c>
      <c r="G12">
        <v>0</v>
      </c>
      <c r="H12">
        <v>0</v>
      </c>
      <c r="I12">
        <v>0</v>
      </c>
      <c r="J12">
        <v>0</v>
      </c>
      <c r="K12">
        <v>0</v>
      </c>
      <c r="L12">
        <v>0</v>
      </c>
    </row>
    <row r="13" spans="1:12" x14ac:dyDescent="0.25">
      <c r="A13">
        <v>1</v>
      </c>
      <c r="B13">
        <v>1</v>
      </c>
      <c r="C13">
        <v>0</v>
      </c>
      <c r="D13">
        <v>9</v>
      </c>
      <c r="E13">
        <v>27</v>
      </c>
      <c r="F13">
        <v>60.305759999999999</v>
      </c>
      <c r="G13">
        <v>160</v>
      </c>
      <c r="H13">
        <v>2</v>
      </c>
      <c r="I13">
        <v>2</v>
      </c>
      <c r="J13">
        <v>0</v>
      </c>
      <c r="K13">
        <v>90</v>
      </c>
      <c r="L13">
        <v>0</v>
      </c>
    </row>
    <row r="14" spans="1:12" x14ac:dyDescent="0.25">
      <c r="A14">
        <v>8</v>
      </c>
      <c r="B14">
        <v>3</v>
      </c>
      <c r="C14">
        <v>1</v>
      </c>
      <c r="D14">
        <v>0</v>
      </c>
      <c r="E14">
        <v>0</v>
      </c>
      <c r="F14">
        <v>170.46250000000001</v>
      </c>
      <c r="G14">
        <v>960</v>
      </c>
      <c r="H14">
        <v>0</v>
      </c>
      <c r="I14">
        <v>0</v>
      </c>
      <c r="J14">
        <v>0</v>
      </c>
      <c r="K14">
        <v>379</v>
      </c>
      <c r="L14">
        <v>1</v>
      </c>
    </row>
    <row r="15" spans="1:12" x14ac:dyDescent="0.25">
      <c r="A15">
        <v>0</v>
      </c>
      <c r="B15">
        <v>2</v>
      </c>
      <c r="C15">
        <v>0</v>
      </c>
      <c r="D15">
        <v>0</v>
      </c>
      <c r="E15">
        <v>0</v>
      </c>
      <c r="F15">
        <v>86.627440000000007</v>
      </c>
      <c r="G15">
        <v>80</v>
      </c>
      <c r="H15">
        <v>0</v>
      </c>
      <c r="I15">
        <v>1</v>
      </c>
      <c r="J15">
        <v>2</v>
      </c>
      <c r="K15">
        <v>55</v>
      </c>
      <c r="L15">
        <v>192</v>
      </c>
    </row>
    <row r="16" spans="1:12" x14ac:dyDescent="0.25">
      <c r="A16">
        <v>1</v>
      </c>
      <c r="B16">
        <v>1</v>
      </c>
      <c r="C16">
        <v>0</v>
      </c>
      <c r="D16">
        <v>15</v>
      </c>
      <c r="E16">
        <v>26</v>
      </c>
      <c r="F16">
        <v>72.202820000000003</v>
      </c>
      <c r="G16">
        <v>280</v>
      </c>
      <c r="H16">
        <v>2</v>
      </c>
      <c r="I16">
        <v>2</v>
      </c>
      <c r="J16">
        <v>5</v>
      </c>
      <c r="K16">
        <v>40</v>
      </c>
      <c r="L16">
        <v>0</v>
      </c>
    </row>
    <row r="17" spans="1:12" x14ac:dyDescent="0.25">
      <c r="A17">
        <v>0</v>
      </c>
      <c r="B17">
        <v>1</v>
      </c>
      <c r="C17">
        <v>0</v>
      </c>
      <c r="D17">
        <v>11</v>
      </c>
      <c r="E17">
        <v>33</v>
      </c>
      <c r="F17">
        <v>48.377200000000002</v>
      </c>
      <c r="G17">
        <v>120</v>
      </c>
      <c r="H17">
        <v>1</v>
      </c>
      <c r="I17">
        <v>1</v>
      </c>
      <c r="J17">
        <v>2</v>
      </c>
      <c r="K17">
        <v>9</v>
      </c>
      <c r="L17">
        <v>0</v>
      </c>
    </row>
    <row r="18" spans="1:12" x14ac:dyDescent="0.25">
      <c r="A18">
        <v>0</v>
      </c>
      <c r="B18">
        <v>1</v>
      </c>
      <c r="C18">
        <v>0</v>
      </c>
      <c r="D18">
        <v>0</v>
      </c>
      <c r="E18">
        <v>69</v>
      </c>
      <c r="F18">
        <v>39.654719999999998</v>
      </c>
      <c r="G18">
        <v>120</v>
      </c>
      <c r="H18">
        <v>1</v>
      </c>
      <c r="I18">
        <v>1</v>
      </c>
      <c r="J18">
        <v>2</v>
      </c>
      <c r="K18">
        <v>148</v>
      </c>
      <c r="L18">
        <v>0</v>
      </c>
    </row>
    <row r="19" spans="1:12" x14ac:dyDescent="0.25">
      <c r="A19">
        <v>0</v>
      </c>
      <c r="B19">
        <v>1</v>
      </c>
      <c r="C19">
        <v>0</v>
      </c>
      <c r="D19">
        <v>0</v>
      </c>
      <c r="E19">
        <v>0</v>
      </c>
      <c r="F19">
        <v>43.127690000000001</v>
      </c>
      <c r="G19">
        <v>160</v>
      </c>
      <c r="H19">
        <v>3</v>
      </c>
      <c r="I19">
        <v>1</v>
      </c>
      <c r="J19">
        <v>4</v>
      </c>
      <c r="K19">
        <v>46</v>
      </c>
      <c r="L19">
        <v>6</v>
      </c>
    </row>
    <row r="20" spans="1:12" x14ac:dyDescent="0.25">
      <c r="A20">
        <v>4</v>
      </c>
      <c r="B20">
        <v>3</v>
      </c>
      <c r="C20">
        <v>1</v>
      </c>
      <c r="D20">
        <v>5</v>
      </c>
      <c r="E20">
        <v>42</v>
      </c>
      <c r="F20">
        <v>137.75120000000001</v>
      </c>
      <c r="G20">
        <v>480</v>
      </c>
      <c r="H20">
        <v>1</v>
      </c>
      <c r="I20">
        <v>7</v>
      </c>
      <c r="J20">
        <v>0</v>
      </c>
      <c r="K20">
        <v>90</v>
      </c>
      <c r="L20">
        <v>15</v>
      </c>
    </row>
    <row r="21" spans="1:12" x14ac:dyDescent="0.25">
      <c r="A21">
        <f>SUBTOTAL(101,temp4[Column1])</f>
        <v>1.631578947368421</v>
      </c>
      <c r="B21">
        <f>SUBTOTAL(101,temp4[Column2])</f>
        <v>2</v>
      </c>
      <c r="C21">
        <f>SUBTOTAL(101,temp4[Column3])</f>
        <v>0.42105263157894735</v>
      </c>
      <c r="D21">
        <f>SUBTOTAL(101,temp4[Column4])</f>
        <v>2.8947368421052633</v>
      </c>
      <c r="E21">
        <f>SUBTOTAL(101,temp4[Column5])</f>
        <v>70.94736842105263</v>
      </c>
      <c r="F21">
        <f>SUBTOTAL(101,temp4[Column6])</f>
        <v>480033.67014653684</v>
      </c>
      <c r="G21">
        <f>SUBTOTAL(101,temp4[Column7])</f>
        <v>301.05263157894734</v>
      </c>
      <c r="H21">
        <f>SUBTOTAL(101,temp4[Column8])</f>
        <v>0.63157894736842102</v>
      </c>
      <c r="I21">
        <f>SUBTOTAL(101,temp4[Column9])</f>
        <v>2.1052631578947367</v>
      </c>
      <c r="J21">
        <f>SUBTOTAL(101,temp4[Column10])</f>
        <v>2.2105263157894739</v>
      </c>
      <c r="K21">
        <f>SUBTOTAL(101,temp4[Column11])</f>
        <v>88.78947368421052</v>
      </c>
      <c r="L21">
        <f>SUBTOTAL(101,temp4[Column12])</f>
        <v>17.736842105263158</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80C3F-6DF1-4B99-B088-EFF7A2AE9F96}">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7</v>
      </c>
      <c r="B2">
        <v>1</v>
      </c>
      <c r="C2">
        <v>1</v>
      </c>
      <c r="D2">
        <v>26</v>
      </c>
      <c r="E2">
        <v>1353</v>
      </c>
      <c r="F2">
        <v>420.09460000000001</v>
      </c>
      <c r="G2">
        <v>1160</v>
      </c>
      <c r="H2">
        <v>2</v>
      </c>
      <c r="I2">
        <v>7</v>
      </c>
      <c r="J2">
        <v>8</v>
      </c>
      <c r="K2">
        <v>78</v>
      </c>
      <c r="L2">
        <v>44</v>
      </c>
    </row>
    <row r="3" spans="1:12" x14ac:dyDescent="0.25">
      <c r="A3">
        <v>0</v>
      </c>
      <c r="B3">
        <v>1</v>
      </c>
      <c r="C3">
        <v>0</v>
      </c>
      <c r="D3">
        <v>1</v>
      </c>
      <c r="E3">
        <v>13</v>
      </c>
      <c r="F3">
        <v>81.802369999999996</v>
      </c>
      <c r="G3">
        <v>200</v>
      </c>
      <c r="H3">
        <v>0</v>
      </c>
      <c r="I3">
        <v>1</v>
      </c>
      <c r="J3">
        <v>7</v>
      </c>
      <c r="K3">
        <v>106</v>
      </c>
      <c r="L3">
        <v>45</v>
      </c>
    </row>
    <row r="4" spans="1:12" x14ac:dyDescent="0.25">
      <c r="A4">
        <v>0</v>
      </c>
      <c r="B4">
        <v>1</v>
      </c>
      <c r="C4">
        <v>0</v>
      </c>
      <c r="D4">
        <v>0</v>
      </c>
      <c r="E4">
        <v>0</v>
      </c>
      <c r="F4">
        <v>39.480289999999997</v>
      </c>
      <c r="G4">
        <v>40</v>
      </c>
      <c r="H4">
        <v>1</v>
      </c>
      <c r="I4">
        <v>1</v>
      </c>
      <c r="J4">
        <v>1</v>
      </c>
      <c r="K4">
        <v>62</v>
      </c>
      <c r="L4">
        <v>0</v>
      </c>
    </row>
    <row r="5" spans="1:12" x14ac:dyDescent="0.25">
      <c r="A5">
        <v>0</v>
      </c>
      <c r="B5">
        <v>1</v>
      </c>
      <c r="C5">
        <v>0</v>
      </c>
      <c r="D5">
        <v>0</v>
      </c>
      <c r="E5">
        <v>0</v>
      </c>
      <c r="F5">
        <v>6642993</v>
      </c>
      <c r="G5">
        <v>160</v>
      </c>
      <c r="H5">
        <v>0</v>
      </c>
      <c r="I5">
        <v>1</v>
      </c>
      <c r="J5">
        <v>2</v>
      </c>
      <c r="K5">
        <v>146</v>
      </c>
      <c r="L5">
        <v>0</v>
      </c>
    </row>
    <row r="6" spans="1:12" x14ac:dyDescent="0.25">
      <c r="A6">
        <v>6</v>
      </c>
      <c r="B6">
        <v>4</v>
      </c>
      <c r="C6">
        <v>1</v>
      </c>
      <c r="D6">
        <v>0</v>
      </c>
      <c r="E6">
        <v>0</v>
      </c>
      <c r="F6">
        <v>239.97550000000001</v>
      </c>
      <c r="G6">
        <v>720</v>
      </c>
      <c r="H6">
        <v>0</v>
      </c>
      <c r="I6">
        <v>6</v>
      </c>
      <c r="J6">
        <v>0</v>
      </c>
      <c r="K6">
        <v>39</v>
      </c>
      <c r="L6">
        <v>2</v>
      </c>
    </row>
    <row r="7" spans="1:12" x14ac:dyDescent="0.25">
      <c r="A7">
        <v>0</v>
      </c>
      <c r="B7">
        <v>3</v>
      </c>
      <c r="C7">
        <v>1</v>
      </c>
      <c r="D7">
        <v>0</v>
      </c>
      <c r="E7">
        <v>0</v>
      </c>
      <c r="F7">
        <v>0.22148509999999999</v>
      </c>
      <c r="G7">
        <v>0</v>
      </c>
      <c r="H7">
        <v>0</v>
      </c>
      <c r="I7">
        <v>0</v>
      </c>
      <c r="J7">
        <v>0</v>
      </c>
      <c r="K7">
        <v>0</v>
      </c>
      <c r="L7">
        <v>0</v>
      </c>
    </row>
    <row r="8" spans="1:12" x14ac:dyDescent="0.25">
      <c r="A8">
        <v>9</v>
      </c>
      <c r="B8">
        <v>4</v>
      </c>
      <c r="C8">
        <v>1</v>
      </c>
      <c r="D8">
        <v>0</v>
      </c>
      <c r="E8">
        <v>0</v>
      </c>
      <c r="F8">
        <v>319.22719999999998</v>
      </c>
      <c r="G8">
        <v>1400</v>
      </c>
      <c r="H8">
        <v>0</v>
      </c>
      <c r="I8">
        <v>10</v>
      </c>
      <c r="J8">
        <v>13</v>
      </c>
      <c r="K8">
        <v>120</v>
      </c>
      <c r="L8">
        <v>0</v>
      </c>
    </row>
    <row r="9" spans="1:12" x14ac:dyDescent="0.25">
      <c r="A9">
        <v>0</v>
      </c>
      <c r="B9">
        <v>1</v>
      </c>
      <c r="C9">
        <v>0</v>
      </c>
      <c r="D9">
        <v>0</v>
      </c>
      <c r="E9">
        <v>0</v>
      </c>
      <c r="F9">
        <v>43.831359999999997</v>
      </c>
      <c r="G9">
        <v>160</v>
      </c>
      <c r="H9">
        <v>1</v>
      </c>
      <c r="I9">
        <v>1</v>
      </c>
      <c r="J9">
        <v>3</v>
      </c>
      <c r="K9">
        <v>15</v>
      </c>
      <c r="L9">
        <v>0</v>
      </c>
    </row>
    <row r="10" spans="1:12" x14ac:dyDescent="0.25">
      <c r="A10">
        <v>8</v>
      </c>
      <c r="B10">
        <v>3</v>
      </c>
      <c r="C10">
        <v>1</v>
      </c>
      <c r="D10">
        <v>0</v>
      </c>
      <c r="E10">
        <v>0</v>
      </c>
      <c r="F10">
        <v>216.6498</v>
      </c>
      <c r="G10">
        <v>960</v>
      </c>
      <c r="H10">
        <v>0</v>
      </c>
      <c r="I10">
        <v>4</v>
      </c>
      <c r="J10">
        <v>0</v>
      </c>
      <c r="K10">
        <v>535</v>
      </c>
      <c r="L10">
        <v>14</v>
      </c>
    </row>
    <row r="11" spans="1:12" x14ac:dyDescent="0.25">
      <c r="A11">
        <v>1</v>
      </c>
      <c r="B11">
        <v>2</v>
      </c>
      <c r="C11">
        <v>0</v>
      </c>
      <c r="D11">
        <v>10</v>
      </c>
      <c r="E11">
        <v>80</v>
      </c>
      <c r="F11">
        <v>1364114</v>
      </c>
      <c r="G11">
        <v>280</v>
      </c>
      <c r="H11">
        <v>0</v>
      </c>
      <c r="I11">
        <v>2</v>
      </c>
      <c r="J11">
        <v>3</v>
      </c>
      <c r="K11">
        <v>127</v>
      </c>
      <c r="L11">
        <v>0</v>
      </c>
    </row>
    <row r="12" spans="1:12" x14ac:dyDescent="0.25">
      <c r="A12">
        <v>1</v>
      </c>
      <c r="B12">
        <v>2</v>
      </c>
      <c r="C12">
        <v>0</v>
      </c>
      <c r="D12">
        <v>0</v>
      </c>
      <c r="E12">
        <v>0</v>
      </c>
      <c r="F12">
        <v>100.9781</v>
      </c>
      <c r="G12">
        <v>160</v>
      </c>
      <c r="H12">
        <v>0</v>
      </c>
      <c r="I12">
        <v>2</v>
      </c>
      <c r="J12">
        <v>1</v>
      </c>
      <c r="K12">
        <v>124</v>
      </c>
      <c r="L12">
        <v>0</v>
      </c>
    </row>
    <row r="13" spans="1:12" x14ac:dyDescent="0.25">
      <c r="A13">
        <v>0</v>
      </c>
      <c r="B13">
        <v>1</v>
      </c>
      <c r="C13">
        <v>0</v>
      </c>
      <c r="D13">
        <v>3</v>
      </c>
      <c r="E13">
        <v>6</v>
      </c>
      <c r="F13">
        <v>35.37256</v>
      </c>
      <c r="G13">
        <v>40</v>
      </c>
      <c r="H13">
        <v>1</v>
      </c>
      <c r="I13">
        <v>1</v>
      </c>
      <c r="J13">
        <v>0</v>
      </c>
      <c r="K13">
        <v>43</v>
      </c>
      <c r="L13">
        <v>0</v>
      </c>
    </row>
    <row r="14" spans="1:12" x14ac:dyDescent="0.25">
      <c r="A14">
        <v>5</v>
      </c>
      <c r="B14">
        <v>4</v>
      </c>
      <c r="C14">
        <v>1</v>
      </c>
      <c r="D14">
        <v>0</v>
      </c>
      <c r="E14">
        <v>0</v>
      </c>
      <c r="F14">
        <v>114.5457</v>
      </c>
      <c r="G14">
        <v>600</v>
      </c>
      <c r="H14">
        <v>0</v>
      </c>
      <c r="I14">
        <v>0</v>
      </c>
      <c r="J14">
        <v>0</v>
      </c>
      <c r="K14">
        <v>256</v>
      </c>
      <c r="L14">
        <v>17</v>
      </c>
    </row>
    <row r="15" spans="1:12" x14ac:dyDescent="0.25">
      <c r="A15">
        <v>3</v>
      </c>
      <c r="B15">
        <v>4</v>
      </c>
      <c r="C15">
        <v>1</v>
      </c>
      <c r="D15">
        <v>0</v>
      </c>
      <c r="E15">
        <v>0</v>
      </c>
      <c r="F15">
        <v>181.76480000000001</v>
      </c>
      <c r="G15">
        <v>440</v>
      </c>
      <c r="H15">
        <v>0</v>
      </c>
      <c r="I15">
        <v>3</v>
      </c>
      <c r="J15">
        <v>2</v>
      </c>
      <c r="K15">
        <v>84</v>
      </c>
      <c r="L15">
        <v>276</v>
      </c>
    </row>
    <row r="16" spans="1:12" x14ac:dyDescent="0.25">
      <c r="A16">
        <v>0</v>
      </c>
      <c r="B16">
        <v>1</v>
      </c>
      <c r="C16">
        <v>0</v>
      </c>
      <c r="D16">
        <v>10</v>
      </c>
      <c r="E16">
        <v>19</v>
      </c>
      <c r="F16">
        <v>62.211300000000001</v>
      </c>
      <c r="G16">
        <v>40</v>
      </c>
      <c r="H16">
        <v>1</v>
      </c>
      <c r="I16">
        <v>1</v>
      </c>
      <c r="J16">
        <v>0</v>
      </c>
      <c r="K16">
        <v>16</v>
      </c>
      <c r="L16">
        <v>0</v>
      </c>
    </row>
    <row r="17" spans="1:12" x14ac:dyDescent="0.25">
      <c r="A17">
        <v>0</v>
      </c>
      <c r="B17">
        <v>1</v>
      </c>
      <c r="C17">
        <v>0</v>
      </c>
      <c r="D17">
        <v>18</v>
      </c>
      <c r="E17">
        <v>51</v>
      </c>
      <c r="F17">
        <v>76.376649999999998</v>
      </c>
      <c r="G17">
        <v>200</v>
      </c>
      <c r="H17">
        <v>1</v>
      </c>
      <c r="I17">
        <v>3</v>
      </c>
      <c r="J17">
        <v>4</v>
      </c>
      <c r="K17">
        <v>15</v>
      </c>
      <c r="L17">
        <v>0</v>
      </c>
    </row>
    <row r="18" spans="1:12" x14ac:dyDescent="0.25">
      <c r="A18">
        <v>5</v>
      </c>
      <c r="B18">
        <v>4</v>
      </c>
      <c r="C18">
        <v>0</v>
      </c>
      <c r="D18">
        <v>5</v>
      </c>
      <c r="E18">
        <v>305</v>
      </c>
      <c r="F18">
        <v>188.2946</v>
      </c>
      <c r="G18">
        <v>1120</v>
      </c>
      <c r="H18">
        <v>6</v>
      </c>
      <c r="I18">
        <v>6</v>
      </c>
      <c r="J18">
        <v>13</v>
      </c>
      <c r="K18">
        <v>568</v>
      </c>
      <c r="L18">
        <v>6</v>
      </c>
    </row>
    <row r="19" spans="1:12" x14ac:dyDescent="0.25">
      <c r="A19">
        <v>0</v>
      </c>
      <c r="B19">
        <v>1</v>
      </c>
      <c r="C19">
        <v>0</v>
      </c>
      <c r="D19">
        <v>0</v>
      </c>
      <c r="E19">
        <v>0</v>
      </c>
      <c r="F19">
        <v>33.666870000000003</v>
      </c>
      <c r="G19">
        <v>200</v>
      </c>
      <c r="H19">
        <v>1</v>
      </c>
      <c r="I19">
        <v>1</v>
      </c>
      <c r="J19">
        <v>9</v>
      </c>
      <c r="K19">
        <v>52</v>
      </c>
      <c r="L19">
        <v>0</v>
      </c>
    </row>
    <row r="20" spans="1:12" x14ac:dyDescent="0.25">
      <c r="A20">
        <v>5</v>
      </c>
      <c r="B20">
        <v>4</v>
      </c>
      <c r="C20">
        <v>1</v>
      </c>
      <c r="D20">
        <v>1</v>
      </c>
      <c r="E20">
        <v>151</v>
      </c>
      <c r="F20">
        <v>129.83760000000001</v>
      </c>
      <c r="G20">
        <v>600</v>
      </c>
      <c r="H20">
        <v>4</v>
      </c>
      <c r="I20">
        <v>5</v>
      </c>
      <c r="J20">
        <v>0</v>
      </c>
      <c r="K20">
        <v>92</v>
      </c>
      <c r="L20">
        <v>14</v>
      </c>
    </row>
    <row r="21" spans="1:12" x14ac:dyDescent="0.25">
      <c r="A21">
        <f>SUBTOTAL(101,temp3[Column1])</f>
        <v>2.6315789473684212</v>
      </c>
      <c r="B21">
        <f>SUBTOTAL(101,temp3[Column2])</f>
        <v>2.263157894736842</v>
      </c>
      <c r="C21">
        <f>SUBTOTAL(101,temp3[Column3])</f>
        <v>0.42105263157894735</v>
      </c>
      <c r="D21">
        <f>SUBTOTAL(101,temp3[Column4])</f>
        <v>3.8947368421052633</v>
      </c>
      <c r="E21">
        <f>SUBTOTAL(101,temp3[Column5])</f>
        <v>104.10526315789474</v>
      </c>
      <c r="F21">
        <f>SUBTOTAL(101,temp3[Column6])</f>
        <v>421546.91214658413</v>
      </c>
      <c r="G21">
        <f>SUBTOTAL(101,temp3[Column7])</f>
        <v>446.31578947368422</v>
      </c>
      <c r="H21">
        <f>SUBTOTAL(101,temp3[Column8])</f>
        <v>0.94736842105263153</v>
      </c>
      <c r="I21">
        <f>SUBTOTAL(101,temp3[Column9])</f>
        <v>2.8947368421052633</v>
      </c>
      <c r="J21">
        <f>SUBTOTAL(101,temp3[Column10])</f>
        <v>3.4736842105263159</v>
      </c>
      <c r="K21">
        <f>SUBTOTAL(101,temp3[Column11])</f>
        <v>130.42105263157896</v>
      </c>
      <c r="L21">
        <f>SUBTOTAL(101,temp3[Column12])</f>
        <v>22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F0ED-E15C-44A9-855F-A9E9DDD9D47F}">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6</v>
      </c>
      <c r="B2">
        <v>3</v>
      </c>
      <c r="C2">
        <v>0</v>
      </c>
      <c r="D2">
        <v>29</v>
      </c>
      <c r="E2">
        <v>1258</v>
      </c>
      <c r="F2">
        <v>343.72250000000003</v>
      </c>
      <c r="G2">
        <v>960</v>
      </c>
      <c r="H2">
        <v>16</v>
      </c>
      <c r="I2">
        <v>7</v>
      </c>
      <c r="J2">
        <v>9</v>
      </c>
      <c r="K2">
        <v>151</v>
      </c>
      <c r="L2">
        <v>28</v>
      </c>
    </row>
    <row r="3" spans="1:12" x14ac:dyDescent="0.25">
      <c r="A3">
        <v>6</v>
      </c>
      <c r="B3">
        <v>1</v>
      </c>
      <c r="C3">
        <v>0</v>
      </c>
      <c r="D3">
        <v>13</v>
      </c>
      <c r="E3">
        <v>179</v>
      </c>
      <c r="F3">
        <v>140.756</v>
      </c>
      <c r="G3">
        <v>640</v>
      </c>
      <c r="H3">
        <v>0</v>
      </c>
      <c r="I3">
        <v>7</v>
      </c>
      <c r="J3">
        <v>2</v>
      </c>
      <c r="K3">
        <v>164</v>
      </c>
      <c r="L3">
        <v>84</v>
      </c>
    </row>
    <row r="4" spans="1:12" x14ac:dyDescent="0.25">
      <c r="A4">
        <v>1</v>
      </c>
      <c r="B4">
        <v>1</v>
      </c>
      <c r="C4">
        <v>1</v>
      </c>
      <c r="D4">
        <v>0</v>
      </c>
      <c r="E4">
        <v>0</v>
      </c>
      <c r="F4">
        <v>33.208620000000003</v>
      </c>
      <c r="G4">
        <v>120</v>
      </c>
      <c r="H4">
        <v>1</v>
      </c>
      <c r="I4">
        <v>1</v>
      </c>
      <c r="J4">
        <v>3</v>
      </c>
      <c r="K4">
        <v>40</v>
      </c>
      <c r="L4">
        <v>0</v>
      </c>
    </row>
    <row r="5" spans="1:12" x14ac:dyDescent="0.25">
      <c r="A5">
        <v>1</v>
      </c>
      <c r="B5">
        <v>1</v>
      </c>
      <c r="C5">
        <v>0</v>
      </c>
      <c r="D5">
        <v>8</v>
      </c>
      <c r="E5">
        <v>62</v>
      </c>
      <c r="F5">
        <v>1146423</v>
      </c>
      <c r="G5">
        <v>240</v>
      </c>
      <c r="H5">
        <v>0</v>
      </c>
      <c r="I5">
        <v>2</v>
      </c>
      <c r="J5">
        <v>7</v>
      </c>
      <c r="K5">
        <v>142</v>
      </c>
      <c r="L5">
        <v>1</v>
      </c>
    </row>
    <row r="6" spans="1:12" x14ac:dyDescent="0.25">
      <c r="A6">
        <v>2</v>
      </c>
      <c r="B6">
        <v>4</v>
      </c>
      <c r="C6">
        <v>1</v>
      </c>
      <c r="D6">
        <v>0</v>
      </c>
      <c r="E6">
        <v>0</v>
      </c>
      <c r="F6">
        <v>81.0976</v>
      </c>
      <c r="G6">
        <v>240</v>
      </c>
      <c r="H6">
        <v>0</v>
      </c>
      <c r="I6">
        <v>2</v>
      </c>
      <c r="J6">
        <v>2</v>
      </c>
      <c r="K6">
        <v>17</v>
      </c>
      <c r="L6">
        <v>1</v>
      </c>
    </row>
    <row r="7" spans="1:12" x14ac:dyDescent="0.25">
      <c r="A7">
        <v>0</v>
      </c>
      <c r="B7">
        <v>2</v>
      </c>
      <c r="C7">
        <v>1</v>
      </c>
      <c r="D7">
        <v>0</v>
      </c>
      <c r="E7">
        <v>0</v>
      </c>
      <c r="F7">
        <v>0.3234668</v>
      </c>
      <c r="G7">
        <v>0</v>
      </c>
      <c r="H7">
        <v>0</v>
      </c>
      <c r="I7">
        <v>0</v>
      </c>
      <c r="J7">
        <v>0</v>
      </c>
      <c r="K7">
        <v>0</v>
      </c>
      <c r="L7">
        <v>0</v>
      </c>
    </row>
    <row r="8" spans="1:12" x14ac:dyDescent="0.25">
      <c r="A8">
        <v>8</v>
      </c>
      <c r="B8">
        <v>3</v>
      </c>
      <c r="C8">
        <v>1</v>
      </c>
      <c r="D8">
        <v>0</v>
      </c>
      <c r="E8">
        <v>0</v>
      </c>
      <c r="F8">
        <v>259.06099999999998</v>
      </c>
      <c r="G8">
        <v>760</v>
      </c>
      <c r="H8">
        <v>0</v>
      </c>
      <c r="I8">
        <v>8</v>
      </c>
      <c r="J8">
        <v>4</v>
      </c>
      <c r="K8">
        <v>80</v>
      </c>
      <c r="L8">
        <v>0</v>
      </c>
    </row>
    <row r="9" spans="1:12" x14ac:dyDescent="0.25">
      <c r="A9">
        <v>0</v>
      </c>
      <c r="B9">
        <v>2</v>
      </c>
      <c r="C9">
        <v>0</v>
      </c>
      <c r="D9">
        <v>1</v>
      </c>
      <c r="E9">
        <v>31</v>
      </c>
      <c r="F9">
        <v>41.856760000000001</v>
      </c>
      <c r="G9">
        <v>120</v>
      </c>
      <c r="H9">
        <v>1</v>
      </c>
      <c r="I9">
        <v>1</v>
      </c>
      <c r="J9">
        <v>3</v>
      </c>
      <c r="K9">
        <v>12</v>
      </c>
      <c r="L9">
        <v>0</v>
      </c>
    </row>
    <row r="10" spans="1:12" x14ac:dyDescent="0.25">
      <c r="A10">
        <v>9</v>
      </c>
      <c r="B10">
        <v>3</v>
      </c>
      <c r="C10">
        <v>1</v>
      </c>
      <c r="D10">
        <v>0</v>
      </c>
      <c r="E10">
        <v>0</v>
      </c>
      <c r="F10">
        <v>223.96360000000001</v>
      </c>
      <c r="G10">
        <v>720</v>
      </c>
      <c r="H10">
        <v>0</v>
      </c>
      <c r="I10">
        <v>9</v>
      </c>
      <c r="J10">
        <v>0</v>
      </c>
      <c r="K10">
        <v>519</v>
      </c>
      <c r="L10">
        <v>31</v>
      </c>
    </row>
    <row r="11" spans="1:12" x14ac:dyDescent="0.25">
      <c r="A11">
        <v>29</v>
      </c>
      <c r="B11">
        <v>4</v>
      </c>
      <c r="C11">
        <v>0</v>
      </c>
      <c r="D11">
        <v>101</v>
      </c>
      <c r="E11">
        <v>521</v>
      </c>
      <c r="F11">
        <v>9481892</v>
      </c>
      <c r="G11">
        <v>3280</v>
      </c>
      <c r="H11">
        <v>0</v>
      </c>
      <c r="I11">
        <v>29</v>
      </c>
      <c r="J11">
        <v>27</v>
      </c>
      <c r="K11">
        <v>711</v>
      </c>
      <c r="L11">
        <v>3</v>
      </c>
    </row>
    <row r="12" spans="1:12" x14ac:dyDescent="0.25">
      <c r="A12">
        <v>5</v>
      </c>
      <c r="B12">
        <v>3</v>
      </c>
      <c r="C12">
        <v>0</v>
      </c>
      <c r="D12">
        <v>1</v>
      </c>
      <c r="E12">
        <v>24</v>
      </c>
      <c r="F12">
        <v>242.0932</v>
      </c>
      <c r="G12">
        <v>520</v>
      </c>
      <c r="H12">
        <v>0</v>
      </c>
      <c r="I12">
        <v>6</v>
      </c>
      <c r="J12">
        <v>3</v>
      </c>
      <c r="K12">
        <v>275</v>
      </c>
      <c r="L12">
        <v>6</v>
      </c>
    </row>
    <row r="13" spans="1:12" x14ac:dyDescent="0.25">
      <c r="A13">
        <v>1</v>
      </c>
      <c r="B13">
        <v>1</v>
      </c>
      <c r="C13">
        <v>0</v>
      </c>
      <c r="D13">
        <v>6</v>
      </c>
      <c r="E13">
        <v>32</v>
      </c>
      <c r="F13">
        <v>50.003050000000002</v>
      </c>
      <c r="G13">
        <v>120</v>
      </c>
      <c r="H13">
        <v>2</v>
      </c>
      <c r="I13">
        <v>2</v>
      </c>
      <c r="J13">
        <v>0</v>
      </c>
      <c r="K13">
        <v>78</v>
      </c>
      <c r="L13">
        <v>0</v>
      </c>
    </row>
    <row r="14" spans="1:12" x14ac:dyDescent="0.25">
      <c r="A14">
        <v>6</v>
      </c>
      <c r="B14">
        <v>3</v>
      </c>
      <c r="C14">
        <v>1</v>
      </c>
      <c r="D14">
        <v>0</v>
      </c>
      <c r="E14">
        <v>0</v>
      </c>
      <c r="F14">
        <v>130.86099999999999</v>
      </c>
      <c r="G14">
        <v>480</v>
      </c>
      <c r="H14">
        <v>0</v>
      </c>
      <c r="I14">
        <v>0</v>
      </c>
      <c r="J14">
        <v>0</v>
      </c>
      <c r="K14">
        <v>113</v>
      </c>
      <c r="L14">
        <v>4</v>
      </c>
    </row>
    <row r="15" spans="1:12" x14ac:dyDescent="0.25">
      <c r="A15">
        <v>10</v>
      </c>
      <c r="B15">
        <v>4</v>
      </c>
      <c r="C15">
        <v>1</v>
      </c>
      <c r="D15">
        <v>10</v>
      </c>
      <c r="E15">
        <v>344</v>
      </c>
      <c r="F15">
        <v>171.18430000000001</v>
      </c>
      <c r="G15">
        <v>800</v>
      </c>
      <c r="H15">
        <v>0</v>
      </c>
      <c r="I15">
        <v>12</v>
      </c>
      <c r="J15">
        <v>1</v>
      </c>
      <c r="K15">
        <v>117</v>
      </c>
      <c r="L15">
        <v>241</v>
      </c>
    </row>
    <row r="16" spans="1:12" x14ac:dyDescent="0.25">
      <c r="A16">
        <v>6</v>
      </c>
      <c r="B16">
        <v>4</v>
      </c>
      <c r="C16">
        <v>0</v>
      </c>
      <c r="D16">
        <v>63</v>
      </c>
      <c r="E16">
        <v>109</v>
      </c>
      <c r="F16">
        <v>292.43869999999998</v>
      </c>
      <c r="G16">
        <v>520</v>
      </c>
      <c r="H16">
        <v>7</v>
      </c>
      <c r="I16">
        <v>7</v>
      </c>
      <c r="J16">
        <v>1</v>
      </c>
      <c r="K16">
        <v>75</v>
      </c>
      <c r="L16">
        <v>1</v>
      </c>
    </row>
    <row r="17" spans="1:12" x14ac:dyDescent="0.25">
      <c r="A17">
        <v>3</v>
      </c>
      <c r="B17">
        <v>3</v>
      </c>
      <c r="C17">
        <v>0</v>
      </c>
      <c r="D17">
        <v>54</v>
      </c>
      <c r="E17">
        <v>173</v>
      </c>
      <c r="F17">
        <v>188.93819999999999</v>
      </c>
      <c r="G17">
        <v>680</v>
      </c>
      <c r="H17">
        <v>6</v>
      </c>
      <c r="I17">
        <v>7</v>
      </c>
      <c r="J17">
        <v>9</v>
      </c>
      <c r="K17">
        <v>44</v>
      </c>
      <c r="L17">
        <v>0</v>
      </c>
    </row>
    <row r="18" spans="1:12" x14ac:dyDescent="0.25">
      <c r="A18">
        <v>4</v>
      </c>
      <c r="B18">
        <v>2</v>
      </c>
      <c r="C18">
        <v>0</v>
      </c>
      <c r="D18">
        <v>1</v>
      </c>
      <c r="E18">
        <v>154</v>
      </c>
      <c r="F18">
        <v>84.624110000000002</v>
      </c>
      <c r="G18">
        <v>440</v>
      </c>
      <c r="H18">
        <v>1</v>
      </c>
      <c r="I18">
        <v>4</v>
      </c>
      <c r="J18">
        <v>2</v>
      </c>
      <c r="K18">
        <v>189</v>
      </c>
      <c r="L18">
        <v>7</v>
      </c>
    </row>
    <row r="19" spans="1:12" x14ac:dyDescent="0.25">
      <c r="A19">
        <v>12</v>
      </c>
      <c r="B19">
        <v>4</v>
      </c>
      <c r="C19">
        <v>0</v>
      </c>
      <c r="D19">
        <v>12</v>
      </c>
      <c r="E19">
        <v>48</v>
      </c>
      <c r="F19">
        <v>329.6456</v>
      </c>
      <c r="G19">
        <v>1440</v>
      </c>
      <c r="H19">
        <v>1</v>
      </c>
      <c r="I19">
        <v>13</v>
      </c>
      <c r="J19">
        <v>38</v>
      </c>
      <c r="K19">
        <v>282</v>
      </c>
      <c r="L19">
        <v>256</v>
      </c>
    </row>
    <row r="20" spans="1:12" x14ac:dyDescent="0.25">
      <c r="A20">
        <v>11</v>
      </c>
      <c r="B20">
        <v>4</v>
      </c>
      <c r="C20">
        <v>1</v>
      </c>
      <c r="D20">
        <v>0</v>
      </c>
      <c r="E20">
        <v>0</v>
      </c>
      <c r="F20">
        <v>189.07769999999999</v>
      </c>
      <c r="G20">
        <v>880</v>
      </c>
      <c r="H20">
        <v>0</v>
      </c>
      <c r="I20">
        <v>11</v>
      </c>
      <c r="J20">
        <v>0</v>
      </c>
      <c r="K20">
        <v>65</v>
      </c>
      <c r="L20">
        <v>40</v>
      </c>
    </row>
    <row r="21" spans="1:12" x14ac:dyDescent="0.25">
      <c r="A21">
        <f>SUBTOTAL(101,temp2[Column1])</f>
        <v>6.3157894736842106</v>
      </c>
      <c r="B21">
        <f>SUBTOTAL(101,temp2[Column2])</f>
        <v>2.736842105263158</v>
      </c>
      <c r="C21">
        <f>SUBTOTAL(101,temp2[Column3])</f>
        <v>0.42105263157894735</v>
      </c>
      <c r="D21">
        <f>SUBTOTAL(101,temp2[Column4])</f>
        <v>15.736842105263158</v>
      </c>
      <c r="E21">
        <f>SUBTOTAL(101,temp2[Column5])</f>
        <v>154.47368421052633</v>
      </c>
      <c r="F21">
        <f>SUBTOTAL(101,temp2[Column6])</f>
        <v>559532.51870562101</v>
      </c>
      <c r="G21">
        <f>SUBTOTAL(101,temp2[Column7])</f>
        <v>682.10526315789468</v>
      </c>
      <c r="H21">
        <f>SUBTOTAL(101,temp2[Column8])</f>
        <v>1.8421052631578947</v>
      </c>
      <c r="I21">
        <f>SUBTOTAL(101,temp2[Column9])</f>
        <v>6.7368421052631575</v>
      </c>
      <c r="J21">
        <f>SUBTOTAL(101,temp2[Column10])</f>
        <v>5.8421052631578947</v>
      </c>
      <c r="K21">
        <f>SUBTOTAL(101,temp2[Column11])</f>
        <v>161.78947368421052</v>
      </c>
      <c r="L21">
        <f>SUBTOTAL(101,temp2[Column12])</f>
        <v>37</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5FD6D-D1FC-4C5D-8DEC-29C6C39990E4}">
  <dimension ref="A1:L1"/>
  <sheetViews>
    <sheetView workbookViewId="0">
      <selection sqref="A1:L21"/>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sheetData>
  <phoneticPr fontId="6" type="noConversion"/>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6E8DC-BB5E-4680-AFD0-EEC894018456}">
  <dimension ref="A1:M458"/>
  <sheetViews>
    <sheetView topLeftCell="A432" workbookViewId="0">
      <selection activeCell="N19" sqref="N19"/>
    </sheetView>
  </sheetViews>
  <sheetFormatPr defaultColWidth="9.140625" defaultRowHeight="15" x14ac:dyDescent="0.25"/>
  <cols>
    <col min="1" max="1" width="15.5703125" bestFit="1" customWidth="1"/>
    <col min="2" max="10" width="11.42578125" bestFit="1" customWidth="1"/>
    <col min="11" max="13" width="12.42578125" bestFit="1" customWidth="1"/>
  </cols>
  <sheetData>
    <row r="1" spans="1:13" x14ac:dyDescent="0.25">
      <c r="A1" t="s">
        <v>13</v>
      </c>
      <c r="B1" t="s">
        <v>0</v>
      </c>
      <c r="C1" t="s">
        <v>1</v>
      </c>
      <c r="D1" t="s">
        <v>2</v>
      </c>
      <c r="E1" t="s">
        <v>3</v>
      </c>
      <c r="F1" t="s">
        <v>4</v>
      </c>
      <c r="G1" t="s">
        <v>5</v>
      </c>
      <c r="H1" t="s">
        <v>6</v>
      </c>
      <c r="I1" t="s">
        <v>7</v>
      </c>
      <c r="J1" t="s">
        <v>8</v>
      </c>
      <c r="K1" t="s">
        <v>9</v>
      </c>
      <c r="L1" t="s">
        <v>10</v>
      </c>
      <c r="M1" t="s">
        <v>11</v>
      </c>
    </row>
    <row r="2" spans="1:13" x14ac:dyDescent="0.25">
      <c r="A2" t="s">
        <v>14</v>
      </c>
      <c r="B2">
        <v>14</v>
      </c>
      <c r="C2">
        <v>1</v>
      </c>
      <c r="D2">
        <v>0</v>
      </c>
      <c r="E2">
        <v>40</v>
      </c>
      <c r="F2">
        <v>3801</v>
      </c>
      <c r="G2">
        <v>766.89359999999999</v>
      </c>
      <c r="H2">
        <v>2480</v>
      </c>
      <c r="I2">
        <v>6</v>
      </c>
      <c r="J2">
        <v>16</v>
      </c>
      <c r="K2">
        <v>17</v>
      </c>
      <c r="L2">
        <v>367</v>
      </c>
      <c r="M2">
        <v>104</v>
      </c>
    </row>
    <row r="3" spans="1:13" x14ac:dyDescent="0.25">
      <c r="A3" t="s">
        <v>14</v>
      </c>
      <c r="B3">
        <v>7</v>
      </c>
      <c r="C3">
        <v>1</v>
      </c>
      <c r="D3">
        <v>0</v>
      </c>
      <c r="E3">
        <v>34</v>
      </c>
      <c r="F3">
        <v>29</v>
      </c>
      <c r="G3">
        <v>170.54689999999999</v>
      </c>
      <c r="H3">
        <v>1000</v>
      </c>
      <c r="I3">
        <v>2</v>
      </c>
      <c r="J3">
        <v>5</v>
      </c>
      <c r="K3">
        <v>2</v>
      </c>
      <c r="L3">
        <v>137</v>
      </c>
      <c r="M3">
        <v>18</v>
      </c>
    </row>
    <row r="4" spans="1:13" x14ac:dyDescent="0.25">
      <c r="A4" t="s">
        <v>14</v>
      </c>
      <c r="B4">
        <v>6</v>
      </c>
      <c r="C4">
        <v>1</v>
      </c>
      <c r="D4">
        <v>0</v>
      </c>
      <c r="E4">
        <v>1</v>
      </c>
      <c r="F4">
        <v>5</v>
      </c>
      <c r="G4">
        <v>241.1491</v>
      </c>
      <c r="H4">
        <v>1080</v>
      </c>
      <c r="I4">
        <v>2</v>
      </c>
      <c r="J4">
        <v>6</v>
      </c>
      <c r="K4">
        <v>20</v>
      </c>
      <c r="L4">
        <v>245</v>
      </c>
      <c r="M4">
        <v>14</v>
      </c>
    </row>
    <row r="5" spans="1:13" x14ac:dyDescent="0.25">
      <c r="A5" t="s">
        <v>14</v>
      </c>
      <c r="B5">
        <v>10</v>
      </c>
      <c r="C5">
        <v>4</v>
      </c>
      <c r="D5">
        <v>1</v>
      </c>
      <c r="E5">
        <v>10</v>
      </c>
      <c r="F5">
        <v>305</v>
      </c>
      <c r="G5">
        <v>2624142</v>
      </c>
      <c r="H5">
        <v>1320</v>
      </c>
      <c r="I5">
        <v>0</v>
      </c>
      <c r="J5">
        <v>10</v>
      </c>
      <c r="K5">
        <v>5</v>
      </c>
      <c r="L5">
        <v>242</v>
      </c>
      <c r="M5">
        <v>12</v>
      </c>
    </row>
    <row r="6" spans="1:13" x14ac:dyDescent="0.25">
      <c r="A6" t="s">
        <v>14</v>
      </c>
      <c r="B6">
        <v>6</v>
      </c>
      <c r="C6">
        <v>3</v>
      </c>
      <c r="D6">
        <v>0</v>
      </c>
      <c r="E6">
        <v>3</v>
      </c>
      <c r="F6">
        <v>101</v>
      </c>
      <c r="G6">
        <v>494.5702</v>
      </c>
      <c r="H6">
        <v>1440</v>
      </c>
      <c r="I6">
        <v>0</v>
      </c>
      <c r="J6">
        <v>8</v>
      </c>
      <c r="K6">
        <v>18</v>
      </c>
      <c r="L6">
        <v>175</v>
      </c>
      <c r="M6">
        <v>5</v>
      </c>
    </row>
    <row r="7" spans="1:13" x14ac:dyDescent="0.25">
      <c r="A7" t="s">
        <v>14</v>
      </c>
      <c r="B7">
        <v>0</v>
      </c>
      <c r="C7">
        <v>1</v>
      </c>
      <c r="D7">
        <v>1</v>
      </c>
      <c r="E7">
        <v>0</v>
      </c>
      <c r="F7">
        <v>0</v>
      </c>
      <c r="G7">
        <v>0.50183909999999998</v>
      </c>
      <c r="H7">
        <v>0</v>
      </c>
      <c r="I7">
        <v>0</v>
      </c>
      <c r="J7">
        <v>0</v>
      </c>
      <c r="K7">
        <v>0</v>
      </c>
      <c r="L7">
        <v>1</v>
      </c>
      <c r="M7">
        <v>0</v>
      </c>
    </row>
    <row r="8" spans="1:13" x14ac:dyDescent="0.25">
      <c r="A8" t="s">
        <v>14</v>
      </c>
      <c r="B8">
        <v>12</v>
      </c>
      <c r="C8">
        <v>3</v>
      </c>
      <c r="D8">
        <v>1</v>
      </c>
      <c r="E8">
        <v>0</v>
      </c>
      <c r="F8">
        <v>169</v>
      </c>
      <c r="G8">
        <v>319.51400000000001</v>
      </c>
      <c r="H8">
        <v>1840</v>
      </c>
      <c r="I8">
        <v>0</v>
      </c>
      <c r="J8">
        <v>10</v>
      </c>
      <c r="K8">
        <v>14</v>
      </c>
      <c r="L8">
        <v>155</v>
      </c>
      <c r="M8">
        <v>0</v>
      </c>
    </row>
    <row r="9" spans="1:13" x14ac:dyDescent="0.25">
      <c r="A9" t="s">
        <v>14</v>
      </c>
      <c r="B9">
        <v>0</v>
      </c>
      <c r="C9">
        <v>1</v>
      </c>
      <c r="D9">
        <v>0</v>
      </c>
      <c r="E9">
        <v>0</v>
      </c>
      <c r="F9">
        <v>0</v>
      </c>
      <c r="G9">
        <v>36.219250000000002</v>
      </c>
      <c r="H9">
        <v>120</v>
      </c>
      <c r="I9">
        <v>1</v>
      </c>
      <c r="J9">
        <v>1</v>
      </c>
      <c r="K9">
        <v>2</v>
      </c>
      <c r="L9">
        <v>11</v>
      </c>
      <c r="M9">
        <v>0</v>
      </c>
    </row>
    <row r="10" spans="1:13" x14ac:dyDescent="0.25">
      <c r="A10" t="s">
        <v>14</v>
      </c>
      <c r="B10">
        <v>17</v>
      </c>
      <c r="C10">
        <v>3</v>
      </c>
      <c r="D10">
        <v>1</v>
      </c>
      <c r="E10">
        <v>0</v>
      </c>
      <c r="F10">
        <v>0</v>
      </c>
      <c r="G10">
        <v>384.33699999999999</v>
      </c>
      <c r="H10">
        <v>2040</v>
      </c>
      <c r="I10">
        <v>0</v>
      </c>
      <c r="J10">
        <v>4</v>
      </c>
      <c r="K10">
        <v>0</v>
      </c>
      <c r="L10">
        <v>720</v>
      </c>
      <c r="M10">
        <v>34</v>
      </c>
    </row>
    <row r="11" spans="1:13" x14ac:dyDescent="0.25">
      <c r="A11" t="s">
        <v>14</v>
      </c>
      <c r="B11">
        <v>5</v>
      </c>
      <c r="C11">
        <v>1</v>
      </c>
      <c r="D11">
        <v>0</v>
      </c>
      <c r="E11">
        <v>23</v>
      </c>
      <c r="F11">
        <v>113</v>
      </c>
      <c r="G11">
        <v>2755099</v>
      </c>
      <c r="H11">
        <v>720</v>
      </c>
      <c r="I11">
        <v>0</v>
      </c>
      <c r="J11">
        <v>1</v>
      </c>
      <c r="K11">
        <v>4</v>
      </c>
      <c r="L11">
        <v>392</v>
      </c>
      <c r="M11">
        <v>102</v>
      </c>
    </row>
    <row r="12" spans="1:13" x14ac:dyDescent="0.25">
      <c r="A12" t="s">
        <v>14</v>
      </c>
      <c r="B12">
        <v>2</v>
      </c>
      <c r="C12">
        <v>2</v>
      </c>
      <c r="D12">
        <v>0</v>
      </c>
      <c r="E12">
        <v>0</v>
      </c>
      <c r="F12">
        <v>0</v>
      </c>
      <c r="G12">
        <v>150.58869999999999</v>
      </c>
      <c r="H12">
        <v>320</v>
      </c>
      <c r="I12">
        <v>0</v>
      </c>
      <c r="J12">
        <v>4</v>
      </c>
      <c r="K12">
        <v>2</v>
      </c>
      <c r="L12">
        <v>235</v>
      </c>
      <c r="M12">
        <v>2</v>
      </c>
    </row>
    <row r="13" spans="1:13" x14ac:dyDescent="0.25">
      <c r="A13" t="s">
        <v>14</v>
      </c>
      <c r="B13">
        <v>1</v>
      </c>
      <c r="C13">
        <v>1</v>
      </c>
      <c r="D13">
        <v>0</v>
      </c>
      <c r="E13">
        <v>5</v>
      </c>
      <c r="F13">
        <v>23</v>
      </c>
      <c r="G13">
        <v>41.041460000000001</v>
      </c>
      <c r="H13">
        <v>200</v>
      </c>
      <c r="I13">
        <v>2</v>
      </c>
      <c r="J13">
        <v>2</v>
      </c>
      <c r="K13">
        <v>0</v>
      </c>
      <c r="L13">
        <v>57</v>
      </c>
      <c r="M13">
        <v>0</v>
      </c>
    </row>
    <row r="14" spans="1:13" x14ac:dyDescent="0.25">
      <c r="A14" t="s">
        <v>14</v>
      </c>
      <c r="B14">
        <v>4</v>
      </c>
      <c r="C14">
        <v>3</v>
      </c>
      <c r="D14">
        <v>1</v>
      </c>
      <c r="E14">
        <v>0</v>
      </c>
      <c r="F14">
        <v>0</v>
      </c>
      <c r="G14">
        <v>73.823409999999996</v>
      </c>
      <c r="H14">
        <v>480</v>
      </c>
      <c r="I14">
        <v>0</v>
      </c>
      <c r="J14">
        <v>0</v>
      </c>
      <c r="K14">
        <v>1</v>
      </c>
      <c r="L14">
        <v>99</v>
      </c>
      <c r="M14">
        <v>18</v>
      </c>
    </row>
    <row r="15" spans="1:13" x14ac:dyDescent="0.25">
      <c r="A15" t="s">
        <v>14</v>
      </c>
      <c r="B15">
        <v>7</v>
      </c>
      <c r="C15">
        <v>4</v>
      </c>
      <c r="D15">
        <v>1</v>
      </c>
      <c r="E15">
        <v>37</v>
      </c>
      <c r="F15">
        <v>1382</v>
      </c>
      <c r="G15">
        <v>225.48869999999999</v>
      </c>
      <c r="H15">
        <v>920</v>
      </c>
      <c r="I15">
        <v>5</v>
      </c>
      <c r="J15">
        <v>7</v>
      </c>
      <c r="K15">
        <v>0</v>
      </c>
      <c r="L15">
        <v>48</v>
      </c>
      <c r="M15">
        <v>1</v>
      </c>
    </row>
    <row r="16" spans="1:13" x14ac:dyDescent="0.25">
      <c r="A16" t="s">
        <v>14</v>
      </c>
      <c r="B16">
        <v>10</v>
      </c>
      <c r="C16">
        <v>2</v>
      </c>
      <c r="D16">
        <v>0</v>
      </c>
      <c r="E16">
        <v>65</v>
      </c>
      <c r="F16">
        <v>97</v>
      </c>
      <c r="G16">
        <v>487.0625</v>
      </c>
      <c r="H16">
        <v>1280</v>
      </c>
      <c r="I16">
        <v>4</v>
      </c>
      <c r="J16">
        <v>13</v>
      </c>
      <c r="K16">
        <v>0</v>
      </c>
      <c r="L16">
        <v>94</v>
      </c>
      <c r="M16">
        <v>56</v>
      </c>
    </row>
    <row r="17" spans="1:13" x14ac:dyDescent="0.25">
      <c r="A17" t="s">
        <v>14</v>
      </c>
      <c r="B17">
        <v>3</v>
      </c>
      <c r="C17">
        <v>2</v>
      </c>
      <c r="D17">
        <v>0</v>
      </c>
      <c r="E17">
        <v>104</v>
      </c>
      <c r="F17">
        <v>291</v>
      </c>
      <c r="G17">
        <v>203.2704</v>
      </c>
      <c r="H17">
        <v>880</v>
      </c>
      <c r="I17">
        <v>3</v>
      </c>
      <c r="J17">
        <v>4</v>
      </c>
      <c r="K17">
        <v>11</v>
      </c>
      <c r="L17">
        <v>46</v>
      </c>
      <c r="M17">
        <v>0</v>
      </c>
    </row>
    <row r="18" spans="1:13" x14ac:dyDescent="0.25">
      <c r="A18" t="s">
        <v>14</v>
      </c>
      <c r="B18">
        <v>0</v>
      </c>
      <c r="C18">
        <v>3</v>
      </c>
      <c r="D18">
        <v>0</v>
      </c>
      <c r="E18">
        <v>1</v>
      </c>
      <c r="F18">
        <v>135</v>
      </c>
      <c r="G18">
        <v>57.148910000000001</v>
      </c>
      <c r="H18">
        <v>200</v>
      </c>
      <c r="I18">
        <v>1</v>
      </c>
      <c r="J18">
        <v>3</v>
      </c>
      <c r="K18">
        <v>6</v>
      </c>
      <c r="L18">
        <v>122</v>
      </c>
      <c r="M18">
        <v>2</v>
      </c>
    </row>
    <row r="19" spans="1:13" x14ac:dyDescent="0.25">
      <c r="A19" t="s">
        <v>14</v>
      </c>
      <c r="B19">
        <v>0</v>
      </c>
      <c r="C19">
        <v>1</v>
      </c>
      <c r="D19">
        <v>0</v>
      </c>
      <c r="E19">
        <v>0</v>
      </c>
      <c r="F19">
        <v>0</v>
      </c>
      <c r="G19">
        <v>101.5073</v>
      </c>
      <c r="H19">
        <v>320</v>
      </c>
      <c r="I19">
        <v>0</v>
      </c>
      <c r="J19">
        <v>1</v>
      </c>
      <c r="K19">
        <v>9</v>
      </c>
      <c r="L19">
        <v>94</v>
      </c>
      <c r="M19">
        <v>165</v>
      </c>
    </row>
    <row r="20" spans="1:13" x14ac:dyDescent="0.25">
      <c r="A20" t="s">
        <v>14</v>
      </c>
      <c r="B20">
        <v>2</v>
      </c>
      <c r="C20">
        <v>2</v>
      </c>
      <c r="D20">
        <v>0</v>
      </c>
      <c r="E20">
        <v>0</v>
      </c>
      <c r="F20">
        <v>28</v>
      </c>
      <c r="G20">
        <v>81.502560000000003</v>
      </c>
      <c r="H20">
        <v>440</v>
      </c>
      <c r="I20">
        <v>0</v>
      </c>
      <c r="J20">
        <v>2</v>
      </c>
      <c r="K20">
        <v>4</v>
      </c>
      <c r="L20">
        <v>158</v>
      </c>
      <c r="M20">
        <v>1</v>
      </c>
    </row>
    <row r="21" spans="1:13" x14ac:dyDescent="0.25">
      <c r="A21" t="s">
        <v>15</v>
      </c>
      <c r="B21">
        <v>8</v>
      </c>
      <c r="C21">
        <v>2</v>
      </c>
      <c r="D21">
        <v>0</v>
      </c>
      <c r="E21">
        <v>4</v>
      </c>
      <c r="F21">
        <v>312</v>
      </c>
      <c r="G21">
        <v>325.01639999999998</v>
      </c>
      <c r="H21">
        <v>1120</v>
      </c>
      <c r="I21">
        <v>27</v>
      </c>
      <c r="J21">
        <v>9</v>
      </c>
      <c r="K21">
        <v>2</v>
      </c>
      <c r="L21">
        <v>71</v>
      </c>
      <c r="M21">
        <v>38</v>
      </c>
    </row>
    <row r="22" spans="1:13" x14ac:dyDescent="0.25">
      <c r="A22" t="s">
        <v>15</v>
      </c>
      <c r="B22">
        <v>2</v>
      </c>
      <c r="C22">
        <v>1</v>
      </c>
      <c r="D22">
        <v>0</v>
      </c>
      <c r="E22">
        <v>0</v>
      </c>
      <c r="F22">
        <v>0</v>
      </c>
      <c r="G22">
        <v>116.7777</v>
      </c>
      <c r="H22">
        <v>440</v>
      </c>
      <c r="I22">
        <v>2</v>
      </c>
      <c r="J22">
        <v>3</v>
      </c>
      <c r="K22">
        <v>8</v>
      </c>
      <c r="L22">
        <v>146</v>
      </c>
      <c r="M22">
        <v>17</v>
      </c>
    </row>
    <row r="23" spans="1:13" x14ac:dyDescent="0.25">
      <c r="A23" t="s">
        <v>15</v>
      </c>
      <c r="B23">
        <v>0</v>
      </c>
      <c r="C23">
        <v>1</v>
      </c>
      <c r="D23">
        <v>0</v>
      </c>
      <c r="E23">
        <v>0</v>
      </c>
      <c r="F23">
        <v>0</v>
      </c>
      <c r="G23">
        <v>47.073549999999997</v>
      </c>
      <c r="H23">
        <v>120</v>
      </c>
      <c r="I23">
        <v>1</v>
      </c>
      <c r="J23">
        <v>1</v>
      </c>
      <c r="K23">
        <v>2</v>
      </c>
      <c r="L23">
        <v>56</v>
      </c>
      <c r="M23">
        <v>0</v>
      </c>
    </row>
    <row r="24" spans="1:13" x14ac:dyDescent="0.25">
      <c r="A24" t="s">
        <v>15</v>
      </c>
      <c r="B24">
        <v>3</v>
      </c>
      <c r="C24">
        <v>2</v>
      </c>
      <c r="D24">
        <v>0</v>
      </c>
      <c r="E24">
        <v>0</v>
      </c>
      <c r="F24">
        <v>83</v>
      </c>
      <c r="G24">
        <v>1536423</v>
      </c>
      <c r="H24">
        <v>560</v>
      </c>
      <c r="I24">
        <v>0</v>
      </c>
      <c r="J24">
        <v>5</v>
      </c>
      <c r="K24">
        <v>5</v>
      </c>
      <c r="L24">
        <v>264</v>
      </c>
      <c r="M24">
        <v>27</v>
      </c>
    </row>
    <row r="25" spans="1:13" x14ac:dyDescent="0.25">
      <c r="A25" t="s">
        <v>15</v>
      </c>
      <c r="B25">
        <v>1</v>
      </c>
      <c r="C25">
        <v>1</v>
      </c>
      <c r="D25">
        <v>0</v>
      </c>
      <c r="E25">
        <v>1</v>
      </c>
      <c r="F25">
        <v>31</v>
      </c>
      <c r="G25">
        <v>185.50290000000001</v>
      </c>
      <c r="H25">
        <v>360</v>
      </c>
      <c r="I25">
        <v>0</v>
      </c>
      <c r="J25">
        <v>2</v>
      </c>
      <c r="K25">
        <v>5</v>
      </c>
      <c r="L25">
        <v>59</v>
      </c>
      <c r="M25">
        <v>1</v>
      </c>
    </row>
    <row r="26" spans="1:13" x14ac:dyDescent="0.25">
      <c r="A26" t="s">
        <v>15</v>
      </c>
      <c r="B26">
        <v>0</v>
      </c>
      <c r="C26">
        <v>2</v>
      </c>
      <c r="D26">
        <v>1</v>
      </c>
      <c r="E26">
        <v>0</v>
      </c>
      <c r="F26">
        <v>0</v>
      </c>
      <c r="G26">
        <v>0.13819409999999999</v>
      </c>
      <c r="H26">
        <v>0</v>
      </c>
      <c r="I26">
        <v>0</v>
      </c>
      <c r="J26">
        <v>0</v>
      </c>
      <c r="K26">
        <v>0</v>
      </c>
      <c r="L26">
        <v>0</v>
      </c>
      <c r="M26">
        <v>0</v>
      </c>
    </row>
    <row r="27" spans="1:13" x14ac:dyDescent="0.25">
      <c r="A27" t="s">
        <v>15</v>
      </c>
      <c r="B27">
        <v>10</v>
      </c>
      <c r="C27">
        <v>4</v>
      </c>
      <c r="D27">
        <v>1</v>
      </c>
      <c r="E27">
        <v>0</v>
      </c>
      <c r="F27">
        <v>0</v>
      </c>
      <c r="G27">
        <v>273.16309999999999</v>
      </c>
      <c r="H27">
        <v>1360</v>
      </c>
      <c r="I27">
        <v>0</v>
      </c>
      <c r="J27">
        <v>9</v>
      </c>
      <c r="K27">
        <v>7</v>
      </c>
      <c r="L27">
        <v>117</v>
      </c>
      <c r="M27">
        <v>0</v>
      </c>
    </row>
    <row r="28" spans="1:13" x14ac:dyDescent="0.25">
      <c r="A28" t="s">
        <v>15</v>
      </c>
      <c r="B28">
        <v>0</v>
      </c>
      <c r="C28">
        <v>2</v>
      </c>
      <c r="D28">
        <v>0</v>
      </c>
      <c r="E28">
        <v>3</v>
      </c>
      <c r="F28">
        <v>102</v>
      </c>
      <c r="G28">
        <v>42.68289</v>
      </c>
      <c r="H28">
        <v>200</v>
      </c>
      <c r="I28">
        <v>1</v>
      </c>
      <c r="J28">
        <v>1</v>
      </c>
      <c r="K28">
        <v>2</v>
      </c>
      <c r="L28">
        <v>17</v>
      </c>
      <c r="M28">
        <v>0</v>
      </c>
    </row>
    <row r="29" spans="1:13" x14ac:dyDescent="0.25">
      <c r="A29" t="s">
        <v>15</v>
      </c>
      <c r="B29">
        <v>1</v>
      </c>
      <c r="C29">
        <v>3</v>
      </c>
      <c r="D29">
        <v>1</v>
      </c>
      <c r="E29">
        <v>0</v>
      </c>
      <c r="F29">
        <v>0</v>
      </c>
      <c r="G29">
        <v>37.531860000000002</v>
      </c>
      <c r="H29">
        <v>120</v>
      </c>
      <c r="I29">
        <v>0</v>
      </c>
      <c r="J29">
        <v>1</v>
      </c>
      <c r="K29">
        <v>0</v>
      </c>
      <c r="L29">
        <v>98</v>
      </c>
      <c r="M29">
        <v>11</v>
      </c>
    </row>
    <row r="30" spans="1:13" x14ac:dyDescent="0.25">
      <c r="A30" t="s">
        <v>15</v>
      </c>
      <c r="B30">
        <v>2</v>
      </c>
      <c r="C30">
        <v>2</v>
      </c>
      <c r="D30">
        <v>0</v>
      </c>
      <c r="E30">
        <v>2</v>
      </c>
      <c r="F30">
        <v>11</v>
      </c>
      <c r="G30">
        <v>1696812</v>
      </c>
      <c r="H30">
        <v>360</v>
      </c>
      <c r="I30">
        <v>0</v>
      </c>
      <c r="J30">
        <v>3</v>
      </c>
      <c r="K30">
        <v>3</v>
      </c>
      <c r="L30">
        <v>131</v>
      </c>
      <c r="M30">
        <v>1</v>
      </c>
    </row>
    <row r="31" spans="1:13" x14ac:dyDescent="0.25">
      <c r="A31" t="s">
        <v>15</v>
      </c>
      <c r="B31">
        <v>2</v>
      </c>
      <c r="C31">
        <v>3</v>
      </c>
      <c r="D31">
        <v>1</v>
      </c>
      <c r="E31">
        <v>0</v>
      </c>
      <c r="F31">
        <v>0</v>
      </c>
      <c r="G31">
        <v>98.345950000000002</v>
      </c>
      <c r="H31">
        <v>400</v>
      </c>
      <c r="I31">
        <v>0</v>
      </c>
      <c r="J31">
        <v>4</v>
      </c>
      <c r="K31">
        <v>16</v>
      </c>
      <c r="L31">
        <v>142</v>
      </c>
      <c r="M31">
        <v>0</v>
      </c>
    </row>
    <row r="32" spans="1:13" x14ac:dyDescent="0.25">
      <c r="A32" t="s">
        <v>15</v>
      </c>
      <c r="B32">
        <v>0</v>
      </c>
      <c r="C32">
        <v>1</v>
      </c>
      <c r="D32">
        <v>0</v>
      </c>
      <c r="E32">
        <v>0</v>
      </c>
      <c r="F32">
        <v>0</v>
      </c>
      <c r="G32">
        <v>23.447019999999998</v>
      </c>
      <c r="H32">
        <v>0</v>
      </c>
      <c r="I32">
        <v>1</v>
      </c>
      <c r="J32">
        <v>1</v>
      </c>
      <c r="K32">
        <v>0</v>
      </c>
      <c r="L32">
        <v>49</v>
      </c>
      <c r="M32">
        <v>0</v>
      </c>
    </row>
    <row r="33" spans="1:13" x14ac:dyDescent="0.25">
      <c r="A33" t="s">
        <v>15</v>
      </c>
      <c r="B33">
        <v>2</v>
      </c>
      <c r="C33">
        <v>2</v>
      </c>
      <c r="D33">
        <v>1</v>
      </c>
      <c r="E33">
        <v>0</v>
      </c>
      <c r="F33">
        <v>0</v>
      </c>
      <c r="G33">
        <v>55.024900000000002</v>
      </c>
      <c r="H33">
        <v>280</v>
      </c>
      <c r="I33">
        <v>0</v>
      </c>
      <c r="J33">
        <v>0</v>
      </c>
      <c r="K33">
        <v>0</v>
      </c>
      <c r="L33">
        <v>122</v>
      </c>
      <c r="M33">
        <v>0</v>
      </c>
    </row>
    <row r="34" spans="1:13" x14ac:dyDescent="0.25">
      <c r="A34" t="s">
        <v>15</v>
      </c>
      <c r="B34">
        <v>0</v>
      </c>
      <c r="C34">
        <v>1</v>
      </c>
      <c r="D34">
        <v>0</v>
      </c>
      <c r="E34">
        <v>0</v>
      </c>
      <c r="F34">
        <v>0</v>
      </c>
      <c r="G34">
        <v>115.9551</v>
      </c>
      <c r="H34">
        <v>120</v>
      </c>
      <c r="I34">
        <v>0</v>
      </c>
      <c r="J34">
        <v>2</v>
      </c>
      <c r="K34">
        <v>2</v>
      </c>
      <c r="L34">
        <v>52</v>
      </c>
      <c r="M34">
        <v>278</v>
      </c>
    </row>
    <row r="35" spans="1:13" x14ac:dyDescent="0.25">
      <c r="A35" t="s">
        <v>15</v>
      </c>
      <c r="B35">
        <v>0</v>
      </c>
      <c r="C35">
        <v>1</v>
      </c>
      <c r="D35">
        <v>0</v>
      </c>
      <c r="E35">
        <v>7</v>
      </c>
      <c r="F35">
        <v>14</v>
      </c>
      <c r="G35">
        <v>44.533810000000003</v>
      </c>
      <c r="H35">
        <v>80</v>
      </c>
      <c r="I35">
        <v>1</v>
      </c>
      <c r="J35">
        <v>1</v>
      </c>
      <c r="K35">
        <v>1</v>
      </c>
      <c r="L35">
        <v>15</v>
      </c>
      <c r="M35">
        <v>0</v>
      </c>
    </row>
    <row r="36" spans="1:13" x14ac:dyDescent="0.25">
      <c r="A36" t="s">
        <v>15</v>
      </c>
      <c r="B36">
        <v>0</v>
      </c>
      <c r="C36">
        <v>1</v>
      </c>
      <c r="D36">
        <v>0</v>
      </c>
      <c r="E36">
        <v>2</v>
      </c>
      <c r="F36">
        <v>7</v>
      </c>
      <c r="G36">
        <v>40.525509999999997</v>
      </c>
      <c r="H36">
        <v>120</v>
      </c>
      <c r="I36">
        <v>1</v>
      </c>
      <c r="J36">
        <v>1</v>
      </c>
      <c r="K36">
        <v>1</v>
      </c>
      <c r="L36">
        <v>10</v>
      </c>
      <c r="M36">
        <v>0</v>
      </c>
    </row>
    <row r="37" spans="1:13" x14ac:dyDescent="0.25">
      <c r="A37" t="s">
        <v>15</v>
      </c>
      <c r="B37">
        <v>0</v>
      </c>
      <c r="C37">
        <v>4</v>
      </c>
      <c r="D37">
        <v>1</v>
      </c>
      <c r="E37">
        <v>1</v>
      </c>
      <c r="F37">
        <v>181</v>
      </c>
      <c r="G37">
        <v>20.774290000000001</v>
      </c>
      <c r="H37">
        <v>0</v>
      </c>
      <c r="I37">
        <v>0</v>
      </c>
      <c r="J37">
        <v>0</v>
      </c>
      <c r="K37">
        <v>0</v>
      </c>
      <c r="L37">
        <v>1</v>
      </c>
      <c r="M37">
        <v>0</v>
      </c>
    </row>
    <row r="38" spans="1:13" x14ac:dyDescent="0.25">
      <c r="A38" t="s">
        <v>15</v>
      </c>
      <c r="B38">
        <v>3</v>
      </c>
      <c r="C38">
        <v>3</v>
      </c>
      <c r="D38">
        <v>0</v>
      </c>
      <c r="E38">
        <v>0</v>
      </c>
      <c r="F38">
        <v>0</v>
      </c>
      <c r="G38">
        <v>94.010130000000004</v>
      </c>
      <c r="H38">
        <v>720</v>
      </c>
      <c r="I38">
        <v>4</v>
      </c>
      <c r="J38">
        <v>4</v>
      </c>
      <c r="K38">
        <v>21</v>
      </c>
      <c r="L38">
        <v>99</v>
      </c>
      <c r="M38">
        <v>58</v>
      </c>
    </row>
    <row r="39" spans="1:13" x14ac:dyDescent="0.25">
      <c r="A39" t="s">
        <v>15</v>
      </c>
      <c r="B39">
        <v>1</v>
      </c>
      <c r="C39">
        <v>3</v>
      </c>
      <c r="D39">
        <v>1</v>
      </c>
      <c r="E39">
        <v>0</v>
      </c>
      <c r="F39">
        <v>0</v>
      </c>
      <c r="G39">
        <v>14.62903</v>
      </c>
      <c r="H39">
        <v>120</v>
      </c>
      <c r="I39">
        <v>0</v>
      </c>
      <c r="J39">
        <v>1</v>
      </c>
      <c r="K39">
        <v>0</v>
      </c>
      <c r="L39">
        <v>13</v>
      </c>
      <c r="M39">
        <v>3</v>
      </c>
    </row>
    <row r="40" spans="1:13" x14ac:dyDescent="0.25">
      <c r="A40" t="s">
        <v>16</v>
      </c>
      <c r="B40">
        <v>4</v>
      </c>
      <c r="C40">
        <v>4</v>
      </c>
      <c r="D40">
        <v>1</v>
      </c>
      <c r="E40">
        <v>1</v>
      </c>
      <c r="F40">
        <v>1259</v>
      </c>
      <c r="G40">
        <v>280.2747</v>
      </c>
      <c r="H40">
        <v>640</v>
      </c>
      <c r="I40">
        <v>0</v>
      </c>
      <c r="J40">
        <v>4</v>
      </c>
      <c r="K40">
        <v>4</v>
      </c>
      <c r="L40">
        <v>48</v>
      </c>
      <c r="M40">
        <v>49</v>
      </c>
    </row>
    <row r="41" spans="1:13" x14ac:dyDescent="0.25">
      <c r="A41" t="s">
        <v>16</v>
      </c>
      <c r="B41">
        <v>1</v>
      </c>
      <c r="C41">
        <v>1</v>
      </c>
      <c r="D41">
        <v>0</v>
      </c>
      <c r="E41">
        <v>0</v>
      </c>
      <c r="F41">
        <v>0</v>
      </c>
      <c r="G41">
        <v>61.394530000000003</v>
      </c>
      <c r="H41">
        <v>240</v>
      </c>
      <c r="I41">
        <v>2</v>
      </c>
      <c r="J41">
        <v>2</v>
      </c>
      <c r="K41">
        <v>3</v>
      </c>
      <c r="L41">
        <v>53</v>
      </c>
      <c r="M41">
        <v>0</v>
      </c>
    </row>
    <row r="42" spans="1:13" x14ac:dyDescent="0.25">
      <c r="A42" t="s">
        <v>16</v>
      </c>
      <c r="B42">
        <v>0</v>
      </c>
      <c r="C42">
        <v>1</v>
      </c>
      <c r="D42">
        <v>0</v>
      </c>
      <c r="E42">
        <v>0</v>
      </c>
      <c r="F42">
        <v>0</v>
      </c>
      <c r="G42">
        <v>49.891419999999997</v>
      </c>
      <c r="H42">
        <v>120</v>
      </c>
      <c r="I42">
        <v>1</v>
      </c>
      <c r="J42">
        <v>1</v>
      </c>
      <c r="K42">
        <v>2</v>
      </c>
      <c r="L42">
        <v>79</v>
      </c>
      <c r="M42">
        <v>0</v>
      </c>
    </row>
    <row r="43" spans="1:13" x14ac:dyDescent="0.25">
      <c r="A43" t="s">
        <v>16</v>
      </c>
      <c r="B43">
        <v>8</v>
      </c>
      <c r="C43">
        <v>4</v>
      </c>
      <c r="D43">
        <v>0</v>
      </c>
      <c r="E43">
        <v>0</v>
      </c>
      <c r="F43">
        <v>0</v>
      </c>
      <c r="G43">
        <v>2790021</v>
      </c>
      <c r="H43">
        <v>1480</v>
      </c>
      <c r="I43">
        <v>0</v>
      </c>
      <c r="J43">
        <v>9</v>
      </c>
      <c r="K43">
        <v>20</v>
      </c>
      <c r="L43">
        <v>469</v>
      </c>
      <c r="M43">
        <v>45</v>
      </c>
    </row>
    <row r="44" spans="1:13" x14ac:dyDescent="0.25">
      <c r="A44" t="s">
        <v>16</v>
      </c>
      <c r="B44">
        <v>3</v>
      </c>
      <c r="C44">
        <v>4</v>
      </c>
      <c r="D44">
        <v>1</v>
      </c>
      <c r="E44">
        <v>2</v>
      </c>
      <c r="F44">
        <v>72</v>
      </c>
      <c r="G44">
        <v>148.99459999999999</v>
      </c>
      <c r="H44">
        <v>840</v>
      </c>
      <c r="I44">
        <v>0</v>
      </c>
      <c r="J44">
        <v>5</v>
      </c>
      <c r="K44">
        <v>9</v>
      </c>
      <c r="L44">
        <v>40</v>
      </c>
      <c r="M44">
        <v>0</v>
      </c>
    </row>
    <row r="45" spans="1:13" x14ac:dyDescent="0.25">
      <c r="A45" t="s">
        <v>16</v>
      </c>
      <c r="B45">
        <v>0</v>
      </c>
      <c r="C45">
        <v>2</v>
      </c>
      <c r="D45">
        <v>1</v>
      </c>
      <c r="E45">
        <v>0</v>
      </c>
      <c r="F45">
        <v>0</v>
      </c>
      <c r="G45">
        <v>0.1595058</v>
      </c>
      <c r="H45">
        <v>0</v>
      </c>
      <c r="I45">
        <v>0</v>
      </c>
      <c r="J45">
        <v>0</v>
      </c>
      <c r="K45">
        <v>0</v>
      </c>
      <c r="L45">
        <v>0</v>
      </c>
      <c r="M45">
        <v>0</v>
      </c>
    </row>
    <row r="46" spans="1:13" x14ac:dyDescent="0.25">
      <c r="A46" t="s">
        <v>16</v>
      </c>
      <c r="B46">
        <v>12</v>
      </c>
      <c r="C46">
        <v>4</v>
      </c>
      <c r="D46">
        <v>1</v>
      </c>
      <c r="E46">
        <v>0</v>
      </c>
      <c r="F46">
        <v>0</v>
      </c>
      <c r="G46">
        <v>382.0283</v>
      </c>
      <c r="H46">
        <v>1680</v>
      </c>
      <c r="I46">
        <v>0</v>
      </c>
      <c r="J46">
        <v>11</v>
      </c>
      <c r="K46">
        <v>11</v>
      </c>
      <c r="L46">
        <v>130</v>
      </c>
      <c r="M46">
        <v>0</v>
      </c>
    </row>
    <row r="47" spans="1:13" x14ac:dyDescent="0.25">
      <c r="A47" t="s">
        <v>16</v>
      </c>
      <c r="B47">
        <v>1</v>
      </c>
      <c r="C47">
        <v>4</v>
      </c>
      <c r="D47">
        <v>0</v>
      </c>
      <c r="E47">
        <v>3</v>
      </c>
      <c r="F47">
        <v>109</v>
      </c>
      <c r="G47">
        <v>104.15009999999999</v>
      </c>
      <c r="H47">
        <v>280</v>
      </c>
      <c r="I47">
        <v>3</v>
      </c>
      <c r="J47">
        <v>2</v>
      </c>
      <c r="K47">
        <v>3</v>
      </c>
      <c r="L47">
        <v>28</v>
      </c>
      <c r="M47">
        <v>19</v>
      </c>
    </row>
    <row r="48" spans="1:13" x14ac:dyDescent="0.25">
      <c r="A48" t="s">
        <v>16</v>
      </c>
      <c r="B48">
        <v>4</v>
      </c>
      <c r="C48">
        <v>3</v>
      </c>
      <c r="D48">
        <v>1</v>
      </c>
      <c r="E48">
        <v>0</v>
      </c>
      <c r="F48">
        <v>0</v>
      </c>
      <c r="G48">
        <v>70.460080000000005</v>
      </c>
      <c r="H48">
        <v>480</v>
      </c>
      <c r="I48">
        <v>0</v>
      </c>
      <c r="J48">
        <v>3</v>
      </c>
      <c r="K48">
        <v>0</v>
      </c>
      <c r="L48">
        <v>127</v>
      </c>
      <c r="M48">
        <v>4</v>
      </c>
    </row>
    <row r="49" spans="1:13" x14ac:dyDescent="0.25">
      <c r="A49" t="s">
        <v>16</v>
      </c>
      <c r="B49">
        <v>0</v>
      </c>
      <c r="C49">
        <v>1</v>
      </c>
      <c r="D49">
        <v>0</v>
      </c>
      <c r="E49">
        <v>3</v>
      </c>
      <c r="F49">
        <v>14</v>
      </c>
      <c r="G49">
        <v>9760205</v>
      </c>
      <c r="H49">
        <v>240</v>
      </c>
      <c r="I49">
        <v>0</v>
      </c>
      <c r="J49">
        <v>1</v>
      </c>
      <c r="K49">
        <v>4</v>
      </c>
      <c r="L49">
        <v>83</v>
      </c>
      <c r="M49">
        <v>9</v>
      </c>
    </row>
    <row r="50" spans="1:13" x14ac:dyDescent="0.25">
      <c r="A50" t="s">
        <v>16</v>
      </c>
      <c r="B50">
        <v>1</v>
      </c>
      <c r="C50">
        <v>1</v>
      </c>
      <c r="D50">
        <v>1</v>
      </c>
      <c r="E50">
        <v>0</v>
      </c>
      <c r="F50">
        <v>0</v>
      </c>
      <c r="G50">
        <v>22.834720000000001</v>
      </c>
      <c r="H50">
        <v>120</v>
      </c>
      <c r="I50">
        <v>0</v>
      </c>
      <c r="J50">
        <v>1</v>
      </c>
      <c r="K50">
        <v>1</v>
      </c>
      <c r="L50">
        <v>27</v>
      </c>
      <c r="M50">
        <v>5</v>
      </c>
    </row>
    <row r="51" spans="1:13" x14ac:dyDescent="0.25">
      <c r="A51" t="s">
        <v>16</v>
      </c>
      <c r="B51">
        <v>1</v>
      </c>
      <c r="C51">
        <v>1</v>
      </c>
      <c r="D51">
        <v>0</v>
      </c>
      <c r="E51">
        <v>0</v>
      </c>
      <c r="F51">
        <v>0</v>
      </c>
      <c r="G51">
        <v>45.46387</v>
      </c>
      <c r="H51">
        <v>160</v>
      </c>
      <c r="I51">
        <v>4</v>
      </c>
      <c r="J51">
        <v>2</v>
      </c>
      <c r="K51">
        <v>3</v>
      </c>
      <c r="L51">
        <v>72</v>
      </c>
      <c r="M51">
        <v>0</v>
      </c>
    </row>
    <row r="52" spans="1:13" x14ac:dyDescent="0.25">
      <c r="A52" t="s">
        <v>16</v>
      </c>
      <c r="B52">
        <v>2</v>
      </c>
      <c r="C52">
        <v>2</v>
      </c>
      <c r="D52">
        <v>1</v>
      </c>
      <c r="E52">
        <v>0</v>
      </c>
      <c r="F52">
        <v>0</v>
      </c>
      <c r="G52">
        <v>57.474429999999998</v>
      </c>
      <c r="H52">
        <v>240</v>
      </c>
      <c r="I52">
        <v>0</v>
      </c>
      <c r="J52">
        <v>0</v>
      </c>
      <c r="K52">
        <v>0</v>
      </c>
      <c r="L52">
        <v>121</v>
      </c>
      <c r="M52">
        <v>0</v>
      </c>
    </row>
    <row r="53" spans="1:13" x14ac:dyDescent="0.25">
      <c r="A53" t="s">
        <v>16</v>
      </c>
      <c r="B53">
        <v>1</v>
      </c>
      <c r="C53">
        <v>1</v>
      </c>
      <c r="D53">
        <v>0</v>
      </c>
      <c r="E53">
        <v>0</v>
      </c>
      <c r="F53">
        <v>0</v>
      </c>
      <c r="G53">
        <v>139.58459999999999</v>
      </c>
      <c r="H53">
        <v>200</v>
      </c>
      <c r="I53">
        <v>0</v>
      </c>
      <c r="J53">
        <v>2</v>
      </c>
      <c r="K53">
        <v>1</v>
      </c>
      <c r="L53">
        <v>47</v>
      </c>
      <c r="M53">
        <v>281</v>
      </c>
    </row>
    <row r="54" spans="1:13" x14ac:dyDescent="0.25">
      <c r="A54" t="s">
        <v>16</v>
      </c>
      <c r="B54">
        <v>0</v>
      </c>
      <c r="C54">
        <v>1</v>
      </c>
      <c r="D54">
        <v>0</v>
      </c>
      <c r="E54">
        <v>4</v>
      </c>
      <c r="F54">
        <v>9</v>
      </c>
      <c r="G54">
        <v>48.923340000000003</v>
      </c>
      <c r="H54">
        <v>80</v>
      </c>
      <c r="I54">
        <v>1</v>
      </c>
      <c r="J54">
        <v>1</v>
      </c>
      <c r="K54">
        <v>2</v>
      </c>
      <c r="L54">
        <v>13</v>
      </c>
      <c r="M54">
        <v>0</v>
      </c>
    </row>
    <row r="55" spans="1:13" x14ac:dyDescent="0.25">
      <c r="A55" t="s">
        <v>16</v>
      </c>
      <c r="B55">
        <v>1</v>
      </c>
      <c r="C55">
        <v>2</v>
      </c>
      <c r="D55">
        <v>0</v>
      </c>
      <c r="E55">
        <v>6</v>
      </c>
      <c r="F55">
        <v>18</v>
      </c>
      <c r="G55">
        <v>62.942019999999999</v>
      </c>
      <c r="H55">
        <v>200</v>
      </c>
      <c r="I55">
        <v>2</v>
      </c>
      <c r="J55">
        <v>3</v>
      </c>
      <c r="K55">
        <v>2</v>
      </c>
      <c r="L55">
        <v>13</v>
      </c>
      <c r="M55">
        <v>0</v>
      </c>
    </row>
    <row r="56" spans="1:13" x14ac:dyDescent="0.25">
      <c r="A56" t="s">
        <v>16</v>
      </c>
      <c r="B56">
        <v>1</v>
      </c>
      <c r="C56">
        <v>3</v>
      </c>
      <c r="D56">
        <v>1</v>
      </c>
      <c r="E56">
        <v>1</v>
      </c>
      <c r="F56">
        <v>491</v>
      </c>
      <c r="G56">
        <v>51.048580000000001</v>
      </c>
      <c r="H56">
        <v>200</v>
      </c>
      <c r="I56">
        <v>2</v>
      </c>
      <c r="J56">
        <v>2</v>
      </c>
      <c r="K56">
        <v>17</v>
      </c>
      <c r="L56">
        <v>64</v>
      </c>
      <c r="M56">
        <v>0</v>
      </c>
    </row>
    <row r="57" spans="1:13" x14ac:dyDescent="0.25">
      <c r="A57" t="s">
        <v>16</v>
      </c>
      <c r="B57">
        <v>0</v>
      </c>
      <c r="C57">
        <v>1</v>
      </c>
      <c r="D57">
        <v>0</v>
      </c>
      <c r="E57">
        <v>0</v>
      </c>
      <c r="F57">
        <v>0</v>
      </c>
      <c r="G57">
        <v>31.878540000000001</v>
      </c>
      <c r="H57">
        <v>120</v>
      </c>
      <c r="I57">
        <v>1</v>
      </c>
      <c r="J57">
        <v>1</v>
      </c>
      <c r="K57">
        <v>1</v>
      </c>
      <c r="L57">
        <v>38</v>
      </c>
      <c r="M57">
        <v>0</v>
      </c>
    </row>
    <row r="58" spans="1:13" x14ac:dyDescent="0.25">
      <c r="A58" t="s">
        <v>16</v>
      </c>
      <c r="B58">
        <v>1</v>
      </c>
      <c r="C58">
        <v>2</v>
      </c>
      <c r="D58">
        <v>1</v>
      </c>
      <c r="E58">
        <v>0</v>
      </c>
      <c r="F58">
        <v>0</v>
      </c>
      <c r="G58">
        <v>44.227229999999999</v>
      </c>
      <c r="H58">
        <v>200</v>
      </c>
      <c r="I58">
        <v>0</v>
      </c>
      <c r="J58">
        <v>2</v>
      </c>
      <c r="K58">
        <v>0</v>
      </c>
      <c r="L58">
        <v>100</v>
      </c>
      <c r="M58">
        <v>2</v>
      </c>
    </row>
    <row r="59" spans="1:13" x14ac:dyDescent="0.25">
      <c r="A59" t="s">
        <v>17</v>
      </c>
      <c r="B59">
        <v>0</v>
      </c>
      <c r="C59">
        <v>4</v>
      </c>
      <c r="D59">
        <v>0</v>
      </c>
      <c r="E59">
        <v>0</v>
      </c>
      <c r="F59">
        <v>0</v>
      </c>
      <c r="G59">
        <v>50.04907</v>
      </c>
      <c r="H59">
        <v>0</v>
      </c>
      <c r="I59">
        <v>1</v>
      </c>
      <c r="J59">
        <v>1</v>
      </c>
      <c r="K59">
        <v>0</v>
      </c>
      <c r="L59">
        <v>36</v>
      </c>
      <c r="M59">
        <v>7</v>
      </c>
    </row>
    <row r="60" spans="1:13" x14ac:dyDescent="0.25">
      <c r="A60" t="s">
        <v>17</v>
      </c>
      <c r="B60">
        <v>0</v>
      </c>
      <c r="C60">
        <v>1</v>
      </c>
      <c r="D60">
        <v>0</v>
      </c>
      <c r="E60">
        <v>0</v>
      </c>
      <c r="F60">
        <v>0</v>
      </c>
      <c r="G60">
        <v>150.32140000000001</v>
      </c>
      <c r="H60">
        <v>0</v>
      </c>
      <c r="I60">
        <v>1</v>
      </c>
      <c r="J60">
        <v>2</v>
      </c>
      <c r="K60">
        <v>0</v>
      </c>
      <c r="L60">
        <v>41</v>
      </c>
      <c r="M60">
        <v>0</v>
      </c>
    </row>
    <row r="61" spans="1:13" x14ac:dyDescent="0.25">
      <c r="A61" t="s">
        <v>17</v>
      </c>
      <c r="B61">
        <v>0</v>
      </c>
      <c r="C61">
        <v>1</v>
      </c>
      <c r="D61">
        <v>0</v>
      </c>
      <c r="E61">
        <v>0</v>
      </c>
      <c r="F61">
        <v>0</v>
      </c>
      <c r="G61">
        <v>58.084290000000003</v>
      </c>
      <c r="H61">
        <v>0</v>
      </c>
      <c r="I61">
        <v>1</v>
      </c>
      <c r="J61">
        <v>3</v>
      </c>
      <c r="K61">
        <v>0</v>
      </c>
      <c r="L61">
        <v>107</v>
      </c>
      <c r="M61">
        <v>0</v>
      </c>
    </row>
    <row r="62" spans="1:13" x14ac:dyDescent="0.25">
      <c r="A62" t="s">
        <v>17</v>
      </c>
      <c r="B62">
        <v>0</v>
      </c>
      <c r="C62">
        <v>1</v>
      </c>
      <c r="D62">
        <v>1</v>
      </c>
      <c r="E62">
        <v>0</v>
      </c>
      <c r="F62">
        <v>0</v>
      </c>
      <c r="G62">
        <v>2125559</v>
      </c>
      <c r="H62">
        <v>0</v>
      </c>
      <c r="I62">
        <v>12</v>
      </c>
      <c r="J62">
        <v>4</v>
      </c>
      <c r="K62">
        <v>0</v>
      </c>
      <c r="L62">
        <v>342</v>
      </c>
      <c r="M62">
        <v>4</v>
      </c>
    </row>
    <row r="63" spans="1:13" x14ac:dyDescent="0.25">
      <c r="A63" t="s">
        <v>17</v>
      </c>
      <c r="B63">
        <v>0</v>
      </c>
      <c r="C63">
        <v>2</v>
      </c>
      <c r="D63">
        <v>0</v>
      </c>
      <c r="E63">
        <v>0</v>
      </c>
      <c r="F63">
        <v>0</v>
      </c>
      <c r="G63">
        <v>75.476320000000001</v>
      </c>
      <c r="H63">
        <v>0</v>
      </c>
      <c r="I63">
        <v>1</v>
      </c>
      <c r="J63">
        <v>2</v>
      </c>
      <c r="K63">
        <v>0</v>
      </c>
      <c r="L63">
        <v>34</v>
      </c>
      <c r="M63">
        <v>0</v>
      </c>
    </row>
    <row r="64" spans="1:13" x14ac:dyDescent="0.25">
      <c r="A64" t="s">
        <v>17</v>
      </c>
      <c r="B64">
        <v>0</v>
      </c>
      <c r="C64">
        <v>2</v>
      </c>
      <c r="D64">
        <v>1</v>
      </c>
      <c r="E64">
        <v>0</v>
      </c>
      <c r="F64">
        <v>0</v>
      </c>
      <c r="G64">
        <v>0.15256120000000001</v>
      </c>
      <c r="H64">
        <v>0</v>
      </c>
      <c r="I64">
        <v>0</v>
      </c>
      <c r="J64">
        <v>0</v>
      </c>
      <c r="K64">
        <v>0</v>
      </c>
      <c r="L64">
        <v>0</v>
      </c>
      <c r="M64">
        <v>0</v>
      </c>
    </row>
    <row r="65" spans="1:13" x14ac:dyDescent="0.25">
      <c r="A65" t="s">
        <v>17</v>
      </c>
      <c r="B65">
        <v>0</v>
      </c>
      <c r="C65">
        <v>1</v>
      </c>
      <c r="D65">
        <v>0</v>
      </c>
      <c r="E65">
        <v>0</v>
      </c>
      <c r="F65">
        <v>0</v>
      </c>
      <c r="G65">
        <v>89.030519999999996</v>
      </c>
      <c r="H65">
        <v>0</v>
      </c>
      <c r="I65">
        <v>0</v>
      </c>
      <c r="J65">
        <v>1</v>
      </c>
      <c r="K65">
        <v>1</v>
      </c>
      <c r="L65">
        <v>73</v>
      </c>
      <c r="M65">
        <v>0</v>
      </c>
    </row>
    <row r="66" spans="1:13" x14ac:dyDescent="0.25">
      <c r="A66" t="s">
        <v>17</v>
      </c>
      <c r="B66">
        <v>0</v>
      </c>
      <c r="C66">
        <v>4</v>
      </c>
      <c r="D66">
        <v>0</v>
      </c>
      <c r="E66">
        <v>0</v>
      </c>
      <c r="F66">
        <v>217</v>
      </c>
      <c r="G66">
        <v>42.972349999999999</v>
      </c>
      <c r="H66">
        <v>0</v>
      </c>
      <c r="I66">
        <v>1</v>
      </c>
      <c r="J66">
        <v>1</v>
      </c>
      <c r="K66">
        <v>0</v>
      </c>
      <c r="L66">
        <v>22</v>
      </c>
      <c r="M66">
        <v>0</v>
      </c>
    </row>
    <row r="67" spans="1:13" x14ac:dyDescent="0.25">
      <c r="A67" t="s">
        <v>17</v>
      </c>
      <c r="B67">
        <v>0</v>
      </c>
      <c r="C67">
        <v>2</v>
      </c>
      <c r="D67">
        <v>0</v>
      </c>
      <c r="E67">
        <v>0</v>
      </c>
      <c r="F67">
        <v>0</v>
      </c>
      <c r="G67">
        <v>115.1544</v>
      </c>
      <c r="H67">
        <v>40</v>
      </c>
      <c r="I67">
        <v>0</v>
      </c>
      <c r="J67">
        <v>1</v>
      </c>
      <c r="K67">
        <v>0</v>
      </c>
      <c r="L67">
        <v>537</v>
      </c>
      <c r="M67">
        <v>14</v>
      </c>
    </row>
    <row r="68" spans="1:13" x14ac:dyDescent="0.25">
      <c r="A68" t="s">
        <v>17</v>
      </c>
      <c r="B68">
        <v>0</v>
      </c>
      <c r="C68">
        <v>1</v>
      </c>
      <c r="D68">
        <v>0</v>
      </c>
      <c r="E68">
        <v>1</v>
      </c>
      <c r="F68">
        <v>4</v>
      </c>
      <c r="G68">
        <v>855293</v>
      </c>
      <c r="H68">
        <v>40</v>
      </c>
      <c r="I68">
        <v>0</v>
      </c>
      <c r="J68">
        <v>1</v>
      </c>
      <c r="K68">
        <v>1</v>
      </c>
      <c r="L68">
        <v>131</v>
      </c>
      <c r="M68">
        <v>0</v>
      </c>
    </row>
    <row r="69" spans="1:13" x14ac:dyDescent="0.25">
      <c r="A69" t="s">
        <v>17</v>
      </c>
      <c r="B69">
        <v>0</v>
      </c>
      <c r="C69">
        <v>1</v>
      </c>
      <c r="D69">
        <v>0</v>
      </c>
      <c r="E69">
        <v>0</v>
      </c>
      <c r="F69">
        <v>0</v>
      </c>
      <c r="G69">
        <v>73.221440000000001</v>
      </c>
      <c r="H69">
        <v>0</v>
      </c>
      <c r="I69">
        <v>0</v>
      </c>
      <c r="J69">
        <v>1</v>
      </c>
      <c r="K69">
        <v>0</v>
      </c>
      <c r="L69">
        <v>180</v>
      </c>
      <c r="M69">
        <v>5</v>
      </c>
    </row>
    <row r="70" spans="1:13" x14ac:dyDescent="0.25">
      <c r="A70" t="s">
        <v>17</v>
      </c>
      <c r="B70">
        <v>0</v>
      </c>
      <c r="C70">
        <v>1</v>
      </c>
      <c r="D70">
        <v>0</v>
      </c>
      <c r="E70">
        <v>0</v>
      </c>
      <c r="F70">
        <v>0</v>
      </c>
      <c r="G70">
        <v>22.964479999999998</v>
      </c>
      <c r="H70">
        <v>0</v>
      </c>
      <c r="I70">
        <v>1</v>
      </c>
      <c r="J70">
        <v>1</v>
      </c>
      <c r="K70">
        <v>0</v>
      </c>
      <c r="L70">
        <v>55</v>
      </c>
      <c r="M70">
        <v>0</v>
      </c>
    </row>
    <row r="71" spans="1:13" x14ac:dyDescent="0.25">
      <c r="A71" t="s">
        <v>17</v>
      </c>
      <c r="B71">
        <v>0</v>
      </c>
      <c r="C71">
        <v>1</v>
      </c>
      <c r="D71">
        <v>0</v>
      </c>
      <c r="E71">
        <v>0</v>
      </c>
      <c r="F71">
        <v>0</v>
      </c>
      <c r="G71">
        <v>127.774</v>
      </c>
      <c r="H71">
        <v>0</v>
      </c>
      <c r="I71">
        <v>0</v>
      </c>
      <c r="J71">
        <v>0</v>
      </c>
      <c r="K71">
        <v>0</v>
      </c>
      <c r="L71">
        <v>416</v>
      </c>
      <c r="M71">
        <v>0</v>
      </c>
    </row>
    <row r="72" spans="1:13" x14ac:dyDescent="0.25">
      <c r="A72" t="s">
        <v>17</v>
      </c>
      <c r="B72">
        <v>0</v>
      </c>
      <c r="C72">
        <v>1</v>
      </c>
      <c r="D72">
        <v>0</v>
      </c>
      <c r="E72">
        <v>0</v>
      </c>
      <c r="F72">
        <v>0</v>
      </c>
      <c r="G72">
        <v>84.896850000000001</v>
      </c>
      <c r="H72">
        <v>0</v>
      </c>
      <c r="I72">
        <v>0</v>
      </c>
      <c r="J72">
        <v>2</v>
      </c>
      <c r="K72">
        <v>0</v>
      </c>
      <c r="L72">
        <v>93</v>
      </c>
      <c r="M72">
        <v>29</v>
      </c>
    </row>
    <row r="73" spans="1:13" x14ac:dyDescent="0.25">
      <c r="A73" t="s">
        <v>17</v>
      </c>
      <c r="B73">
        <v>0</v>
      </c>
      <c r="C73">
        <v>3</v>
      </c>
      <c r="D73">
        <v>0</v>
      </c>
      <c r="E73">
        <v>4</v>
      </c>
      <c r="F73">
        <v>10</v>
      </c>
      <c r="G73">
        <v>39.011839999999999</v>
      </c>
      <c r="H73">
        <v>0</v>
      </c>
      <c r="I73">
        <v>1</v>
      </c>
      <c r="J73">
        <v>1</v>
      </c>
      <c r="K73">
        <v>0</v>
      </c>
      <c r="L73">
        <v>39</v>
      </c>
      <c r="M73">
        <v>0</v>
      </c>
    </row>
    <row r="74" spans="1:13" x14ac:dyDescent="0.25">
      <c r="A74" t="s">
        <v>17</v>
      </c>
      <c r="B74">
        <v>0</v>
      </c>
      <c r="C74">
        <v>1</v>
      </c>
      <c r="D74">
        <v>0</v>
      </c>
      <c r="E74">
        <v>1</v>
      </c>
      <c r="F74">
        <v>5</v>
      </c>
      <c r="G74">
        <v>36.341430000000003</v>
      </c>
      <c r="H74">
        <v>0</v>
      </c>
      <c r="I74">
        <v>1</v>
      </c>
      <c r="J74">
        <v>1</v>
      </c>
      <c r="K74">
        <v>0</v>
      </c>
      <c r="L74">
        <v>21</v>
      </c>
      <c r="M74">
        <v>0</v>
      </c>
    </row>
    <row r="75" spans="1:13" x14ac:dyDescent="0.25">
      <c r="A75" t="s">
        <v>17</v>
      </c>
      <c r="B75">
        <v>0</v>
      </c>
      <c r="C75">
        <v>2</v>
      </c>
      <c r="D75">
        <v>1</v>
      </c>
      <c r="E75">
        <v>1</v>
      </c>
      <c r="F75">
        <v>1214</v>
      </c>
      <c r="G75">
        <v>128.85839999999999</v>
      </c>
      <c r="H75">
        <v>0</v>
      </c>
      <c r="I75">
        <v>1</v>
      </c>
      <c r="J75">
        <v>3</v>
      </c>
      <c r="K75">
        <v>0</v>
      </c>
      <c r="L75">
        <v>100</v>
      </c>
      <c r="M75">
        <v>1</v>
      </c>
    </row>
    <row r="76" spans="1:13" x14ac:dyDescent="0.25">
      <c r="A76" t="s">
        <v>17</v>
      </c>
      <c r="B76">
        <v>0</v>
      </c>
      <c r="C76">
        <v>1</v>
      </c>
      <c r="D76">
        <v>0</v>
      </c>
      <c r="E76">
        <v>0</v>
      </c>
      <c r="F76">
        <v>0</v>
      </c>
      <c r="G76">
        <v>32.801639999999999</v>
      </c>
      <c r="H76">
        <v>0</v>
      </c>
      <c r="I76">
        <v>1</v>
      </c>
      <c r="J76">
        <v>1</v>
      </c>
      <c r="K76">
        <v>0</v>
      </c>
      <c r="L76">
        <v>32</v>
      </c>
      <c r="M76">
        <v>5</v>
      </c>
    </row>
    <row r="77" spans="1:13" x14ac:dyDescent="0.25">
      <c r="A77" t="s">
        <v>17</v>
      </c>
      <c r="B77">
        <v>0</v>
      </c>
      <c r="C77">
        <v>1</v>
      </c>
      <c r="D77">
        <v>0</v>
      </c>
      <c r="E77">
        <v>0</v>
      </c>
      <c r="F77">
        <v>0</v>
      </c>
      <c r="G77">
        <v>51.050049999999999</v>
      </c>
      <c r="H77">
        <v>0</v>
      </c>
      <c r="I77">
        <v>0</v>
      </c>
      <c r="J77">
        <v>2</v>
      </c>
      <c r="K77">
        <v>0</v>
      </c>
      <c r="L77">
        <v>156</v>
      </c>
      <c r="M77">
        <v>0</v>
      </c>
    </row>
    <row r="78" spans="1:13" x14ac:dyDescent="0.25">
      <c r="A78" t="s">
        <v>18</v>
      </c>
      <c r="B78">
        <v>1</v>
      </c>
      <c r="C78">
        <v>3</v>
      </c>
      <c r="D78">
        <v>1</v>
      </c>
      <c r="E78">
        <v>0</v>
      </c>
      <c r="F78">
        <v>135</v>
      </c>
      <c r="G78">
        <v>22.229489999999998</v>
      </c>
      <c r="H78">
        <v>120</v>
      </c>
      <c r="I78">
        <v>0</v>
      </c>
      <c r="J78">
        <v>1</v>
      </c>
      <c r="K78">
        <v>1</v>
      </c>
      <c r="L78">
        <v>3</v>
      </c>
      <c r="M78">
        <v>6</v>
      </c>
    </row>
    <row r="79" spans="1:13" x14ac:dyDescent="0.25">
      <c r="A79" t="s">
        <v>18</v>
      </c>
      <c r="B79">
        <v>0</v>
      </c>
      <c r="C79">
        <v>2</v>
      </c>
      <c r="D79">
        <v>0</v>
      </c>
      <c r="E79">
        <v>0</v>
      </c>
      <c r="F79">
        <v>0</v>
      </c>
      <c r="G79">
        <v>42.515500000000003</v>
      </c>
      <c r="H79">
        <v>120</v>
      </c>
      <c r="I79">
        <v>1</v>
      </c>
      <c r="J79">
        <v>1</v>
      </c>
      <c r="K79">
        <v>2</v>
      </c>
      <c r="L79">
        <v>45</v>
      </c>
      <c r="M79">
        <v>0</v>
      </c>
    </row>
    <row r="80" spans="1:13" x14ac:dyDescent="0.25">
      <c r="A80" t="s">
        <v>18</v>
      </c>
      <c r="B80">
        <v>0</v>
      </c>
      <c r="C80">
        <v>1</v>
      </c>
      <c r="D80">
        <v>0</v>
      </c>
      <c r="E80">
        <v>0</v>
      </c>
      <c r="F80">
        <v>0</v>
      </c>
      <c r="G80">
        <v>33.354190000000003</v>
      </c>
      <c r="H80">
        <v>160</v>
      </c>
      <c r="I80">
        <v>1</v>
      </c>
      <c r="J80">
        <v>1</v>
      </c>
      <c r="K80">
        <v>4</v>
      </c>
      <c r="L80">
        <v>42</v>
      </c>
      <c r="M80">
        <v>0</v>
      </c>
    </row>
    <row r="81" spans="1:13" x14ac:dyDescent="0.25">
      <c r="A81" t="s">
        <v>18</v>
      </c>
      <c r="B81">
        <v>2</v>
      </c>
      <c r="C81">
        <v>2</v>
      </c>
      <c r="D81">
        <v>0</v>
      </c>
      <c r="E81">
        <v>0</v>
      </c>
      <c r="F81">
        <v>46</v>
      </c>
      <c r="G81">
        <v>7203625</v>
      </c>
      <c r="H81">
        <v>440</v>
      </c>
      <c r="I81">
        <v>2</v>
      </c>
      <c r="J81">
        <v>2</v>
      </c>
      <c r="K81">
        <v>5</v>
      </c>
      <c r="L81">
        <v>92</v>
      </c>
      <c r="M81">
        <v>0</v>
      </c>
    </row>
    <row r="82" spans="1:13" x14ac:dyDescent="0.25">
      <c r="A82" t="s">
        <v>18</v>
      </c>
      <c r="B82">
        <v>4</v>
      </c>
      <c r="C82">
        <v>3</v>
      </c>
      <c r="D82">
        <v>1</v>
      </c>
      <c r="E82">
        <v>0</v>
      </c>
      <c r="F82">
        <v>0</v>
      </c>
      <c r="G82">
        <v>93.508300000000006</v>
      </c>
      <c r="H82">
        <v>560</v>
      </c>
      <c r="I82">
        <v>0</v>
      </c>
      <c r="J82">
        <v>5</v>
      </c>
      <c r="K82">
        <v>4</v>
      </c>
      <c r="L82">
        <v>23</v>
      </c>
      <c r="M82">
        <v>0</v>
      </c>
    </row>
    <row r="83" spans="1:13" x14ac:dyDescent="0.25">
      <c r="A83" t="s">
        <v>18</v>
      </c>
      <c r="B83">
        <v>0</v>
      </c>
      <c r="C83">
        <v>2</v>
      </c>
      <c r="D83">
        <v>1</v>
      </c>
      <c r="E83">
        <v>0</v>
      </c>
      <c r="F83">
        <v>0</v>
      </c>
      <c r="G83">
        <v>0.26862720000000001</v>
      </c>
      <c r="H83">
        <v>0</v>
      </c>
      <c r="I83">
        <v>0</v>
      </c>
      <c r="J83">
        <v>0</v>
      </c>
      <c r="K83">
        <v>0</v>
      </c>
      <c r="L83">
        <v>0</v>
      </c>
      <c r="M83">
        <v>0</v>
      </c>
    </row>
    <row r="84" spans="1:13" x14ac:dyDescent="0.25">
      <c r="A84" t="s">
        <v>18</v>
      </c>
      <c r="B84">
        <v>11</v>
      </c>
      <c r="C84">
        <v>4</v>
      </c>
      <c r="D84">
        <v>1</v>
      </c>
      <c r="E84">
        <v>1</v>
      </c>
      <c r="F84">
        <v>4025</v>
      </c>
      <c r="G84">
        <v>328.56689999999998</v>
      </c>
      <c r="H84">
        <v>1440</v>
      </c>
      <c r="I84">
        <v>0</v>
      </c>
      <c r="J84">
        <v>10</v>
      </c>
      <c r="K84">
        <v>7</v>
      </c>
      <c r="L84">
        <v>105</v>
      </c>
      <c r="M84">
        <v>0</v>
      </c>
    </row>
    <row r="85" spans="1:13" x14ac:dyDescent="0.25">
      <c r="A85" t="s">
        <v>18</v>
      </c>
      <c r="B85">
        <v>1</v>
      </c>
      <c r="C85">
        <v>3</v>
      </c>
      <c r="D85">
        <v>0</v>
      </c>
      <c r="E85">
        <v>2</v>
      </c>
      <c r="F85">
        <v>84</v>
      </c>
      <c r="G85">
        <v>132.02340000000001</v>
      </c>
      <c r="H85">
        <v>440</v>
      </c>
      <c r="I85">
        <v>2</v>
      </c>
      <c r="J85">
        <v>2</v>
      </c>
      <c r="K85">
        <v>6</v>
      </c>
      <c r="L85">
        <v>41</v>
      </c>
      <c r="M85">
        <v>33</v>
      </c>
    </row>
    <row r="86" spans="1:13" x14ac:dyDescent="0.25">
      <c r="A86" t="s">
        <v>18</v>
      </c>
      <c r="B86">
        <v>3</v>
      </c>
      <c r="C86">
        <v>2</v>
      </c>
      <c r="D86">
        <v>1</v>
      </c>
      <c r="E86">
        <v>0</v>
      </c>
      <c r="F86">
        <v>0</v>
      </c>
      <c r="G86">
        <v>25.912960000000002</v>
      </c>
      <c r="H86">
        <v>360</v>
      </c>
      <c r="I86">
        <v>0</v>
      </c>
      <c r="J86">
        <v>3</v>
      </c>
      <c r="K86">
        <v>0</v>
      </c>
      <c r="L86">
        <v>59</v>
      </c>
      <c r="M86">
        <v>4</v>
      </c>
    </row>
    <row r="87" spans="1:13" x14ac:dyDescent="0.25">
      <c r="A87" t="s">
        <v>18</v>
      </c>
      <c r="B87">
        <v>0</v>
      </c>
      <c r="C87">
        <v>2</v>
      </c>
      <c r="D87">
        <v>0</v>
      </c>
      <c r="E87">
        <v>6</v>
      </c>
      <c r="F87">
        <v>22</v>
      </c>
      <c r="G87">
        <v>1254551</v>
      </c>
      <c r="H87">
        <v>320</v>
      </c>
      <c r="I87">
        <v>0</v>
      </c>
      <c r="J87">
        <v>2</v>
      </c>
      <c r="K87">
        <v>5</v>
      </c>
      <c r="L87">
        <v>93</v>
      </c>
      <c r="M87">
        <v>10</v>
      </c>
    </row>
    <row r="88" spans="1:13" x14ac:dyDescent="0.25">
      <c r="A88" t="s">
        <v>18</v>
      </c>
      <c r="B88">
        <v>1</v>
      </c>
      <c r="C88">
        <v>2</v>
      </c>
      <c r="D88">
        <v>1</v>
      </c>
      <c r="E88">
        <v>0</v>
      </c>
      <c r="F88">
        <v>0</v>
      </c>
      <c r="G88">
        <v>66.012209999999996</v>
      </c>
      <c r="H88">
        <v>360</v>
      </c>
      <c r="I88">
        <v>0</v>
      </c>
      <c r="J88">
        <v>3</v>
      </c>
      <c r="K88">
        <v>4</v>
      </c>
      <c r="L88">
        <v>100</v>
      </c>
      <c r="M88">
        <v>4</v>
      </c>
    </row>
    <row r="89" spans="1:13" x14ac:dyDescent="0.25">
      <c r="A89" t="s">
        <v>18</v>
      </c>
      <c r="B89">
        <v>0</v>
      </c>
      <c r="C89">
        <v>1</v>
      </c>
      <c r="D89">
        <v>0</v>
      </c>
      <c r="E89">
        <v>0</v>
      </c>
      <c r="F89">
        <v>0</v>
      </c>
      <c r="G89">
        <v>25.323239999999998</v>
      </c>
      <c r="H89">
        <v>40</v>
      </c>
      <c r="I89">
        <v>1</v>
      </c>
      <c r="J89">
        <v>1</v>
      </c>
      <c r="K89">
        <v>1</v>
      </c>
      <c r="L89">
        <v>47</v>
      </c>
      <c r="M89">
        <v>0</v>
      </c>
    </row>
    <row r="90" spans="1:13" x14ac:dyDescent="0.25">
      <c r="A90" t="s">
        <v>18</v>
      </c>
      <c r="B90">
        <v>3</v>
      </c>
      <c r="C90">
        <v>4</v>
      </c>
      <c r="D90">
        <v>1</v>
      </c>
      <c r="E90">
        <v>0</v>
      </c>
      <c r="F90">
        <v>0</v>
      </c>
      <c r="G90">
        <v>41.793700000000001</v>
      </c>
      <c r="H90">
        <v>360</v>
      </c>
      <c r="I90">
        <v>0</v>
      </c>
      <c r="J90">
        <v>0</v>
      </c>
      <c r="K90">
        <v>0</v>
      </c>
      <c r="L90">
        <v>142</v>
      </c>
      <c r="M90">
        <v>2</v>
      </c>
    </row>
    <row r="91" spans="1:13" x14ac:dyDescent="0.25">
      <c r="A91" t="s">
        <v>18</v>
      </c>
      <c r="B91">
        <v>2</v>
      </c>
      <c r="C91">
        <v>1</v>
      </c>
      <c r="D91">
        <v>0</v>
      </c>
      <c r="E91">
        <v>0</v>
      </c>
      <c r="F91">
        <v>0</v>
      </c>
      <c r="G91">
        <v>103.8796</v>
      </c>
      <c r="H91">
        <v>280</v>
      </c>
      <c r="I91">
        <v>0</v>
      </c>
      <c r="J91">
        <v>3</v>
      </c>
      <c r="K91">
        <v>0</v>
      </c>
      <c r="L91">
        <v>76</v>
      </c>
      <c r="M91">
        <v>238</v>
      </c>
    </row>
    <row r="92" spans="1:13" x14ac:dyDescent="0.25">
      <c r="A92" t="s">
        <v>18</v>
      </c>
      <c r="B92">
        <v>4</v>
      </c>
      <c r="C92">
        <v>4</v>
      </c>
      <c r="D92">
        <v>0</v>
      </c>
      <c r="E92">
        <v>21</v>
      </c>
      <c r="F92">
        <v>34</v>
      </c>
      <c r="G92">
        <v>131.82320000000001</v>
      </c>
      <c r="H92">
        <v>880</v>
      </c>
      <c r="I92">
        <v>5</v>
      </c>
      <c r="J92">
        <v>5</v>
      </c>
      <c r="K92">
        <v>17</v>
      </c>
      <c r="L92">
        <v>86</v>
      </c>
      <c r="M92">
        <v>0</v>
      </c>
    </row>
    <row r="93" spans="1:13" x14ac:dyDescent="0.25">
      <c r="A93" t="s">
        <v>18</v>
      </c>
      <c r="B93">
        <v>2</v>
      </c>
      <c r="C93">
        <v>3</v>
      </c>
      <c r="D93">
        <v>0</v>
      </c>
      <c r="E93">
        <v>16</v>
      </c>
      <c r="F93">
        <v>50</v>
      </c>
      <c r="G93">
        <v>99.227170000000001</v>
      </c>
      <c r="H93">
        <v>520</v>
      </c>
      <c r="I93">
        <v>3</v>
      </c>
      <c r="J93">
        <v>3</v>
      </c>
      <c r="K93">
        <v>4</v>
      </c>
      <c r="L93">
        <v>40</v>
      </c>
      <c r="M93">
        <v>0</v>
      </c>
    </row>
    <row r="94" spans="1:13" x14ac:dyDescent="0.25">
      <c r="A94" t="s">
        <v>18</v>
      </c>
      <c r="B94">
        <v>3</v>
      </c>
      <c r="C94">
        <v>4</v>
      </c>
      <c r="D94">
        <v>1</v>
      </c>
      <c r="E94">
        <v>1</v>
      </c>
      <c r="F94">
        <v>192</v>
      </c>
      <c r="G94">
        <v>60.328000000000003</v>
      </c>
      <c r="H94">
        <v>640</v>
      </c>
      <c r="I94">
        <v>1</v>
      </c>
      <c r="J94">
        <v>2</v>
      </c>
      <c r="K94">
        <v>6</v>
      </c>
      <c r="L94">
        <v>183</v>
      </c>
      <c r="M94">
        <v>0</v>
      </c>
    </row>
    <row r="95" spans="1:13" x14ac:dyDescent="0.25">
      <c r="A95" t="s">
        <v>18</v>
      </c>
      <c r="B95">
        <v>5</v>
      </c>
      <c r="C95">
        <v>4</v>
      </c>
      <c r="D95">
        <v>0</v>
      </c>
      <c r="E95">
        <v>6</v>
      </c>
      <c r="F95">
        <v>17</v>
      </c>
      <c r="G95">
        <v>117.1293</v>
      </c>
      <c r="H95">
        <v>1000</v>
      </c>
      <c r="I95">
        <v>5</v>
      </c>
      <c r="J95">
        <v>8</v>
      </c>
      <c r="K95">
        <v>21</v>
      </c>
      <c r="L95">
        <v>132</v>
      </c>
      <c r="M95">
        <v>8</v>
      </c>
    </row>
    <row r="96" spans="1:13" x14ac:dyDescent="0.25">
      <c r="A96" t="s">
        <v>18</v>
      </c>
      <c r="B96">
        <v>2</v>
      </c>
      <c r="C96">
        <v>4</v>
      </c>
      <c r="D96">
        <v>1</v>
      </c>
      <c r="E96">
        <v>0</v>
      </c>
      <c r="F96">
        <v>0</v>
      </c>
      <c r="G96">
        <v>26.27216</v>
      </c>
      <c r="H96">
        <v>240</v>
      </c>
      <c r="I96">
        <v>0</v>
      </c>
      <c r="J96">
        <v>2</v>
      </c>
      <c r="K96">
        <v>0</v>
      </c>
      <c r="L96">
        <v>49</v>
      </c>
      <c r="M96">
        <v>2</v>
      </c>
    </row>
    <row r="97" spans="1:13" x14ac:dyDescent="0.25">
      <c r="A97" t="s">
        <v>19</v>
      </c>
      <c r="B97">
        <v>5</v>
      </c>
      <c r="C97">
        <v>3</v>
      </c>
      <c r="D97">
        <v>1</v>
      </c>
      <c r="E97">
        <v>0</v>
      </c>
      <c r="F97">
        <v>849</v>
      </c>
      <c r="G97">
        <v>90.126220000000004</v>
      </c>
      <c r="H97">
        <v>680</v>
      </c>
      <c r="I97">
        <v>1</v>
      </c>
      <c r="J97">
        <v>5</v>
      </c>
      <c r="K97">
        <v>2</v>
      </c>
      <c r="L97">
        <v>21</v>
      </c>
      <c r="M97">
        <v>9</v>
      </c>
    </row>
    <row r="98" spans="1:13" x14ac:dyDescent="0.25">
      <c r="A98" t="s">
        <v>19</v>
      </c>
      <c r="B98">
        <v>0</v>
      </c>
      <c r="C98">
        <v>1</v>
      </c>
      <c r="D98">
        <v>0</v>
      </c>
      <c r="E98">
        <v>0</v>
      </c>
      <c r="F98">
        <v>0</v>
      </c>
      <c r="G98">
        <v>53.58325</v>
      </c>
      <c r="H98">
        <v>120</v>
      </c>
      <c r="I98">
        <v>1</v>
      </c>
      <c r="J98">
        <v>1</v>
      </c>
      <c r="K98">
        <v>3</v>
      </c>
      <c r="L98">
        <v>68</v>
      </c>
      <c r="M98">
        <v>0</v>
      </c>
    </row>
    <row r="99" spans="1:13" x14ac:dyDescent="0.25">
      <c r="A99" t="s">
        <v>19</v>
      </c>
      <c r="B99">
        <v>1</v>
      </c>
      <c r="C99">
        <v>1</v>
      </c>
      <c r="D99">
        <v>0</v>
      </c>
      <c r="E99">
        <v>0</v>
      </c>
      <c r="F99">
        <v>0</v>
      </c>
      <c r="G99">
        <v>60.050420000000003</v>
      </c>
      <c r="H99">
        <v>280</v>
      </c>
      <c r="I99">
        <v>1</v>
      </c>
      <c r="J99">
        <v>2</v>
      </c>
      <c r="K99">
        <v>4</v>
      </c>
      <c r="L99">
        <v>97</v>
      </c>
      <c r="M99">
        <v>0</v>
      </c>
    </row>
    <row r="100" spans="1:13" x14ac:dyDescent="0.25">
      <c r="A100" t="s">
        <v>19</v>
      </c>
      <c r="B100">
        <v>0</v>
      </c>
      <c r="C100">
        <v>1</v>
      </c>
      <c r="D100">
        <v>0</v>
      </c>
      <c r="E100">
        <v>0</v>
      </c>
      <c r="F100">
        <v>0</v>
      </c>
      <c r="G100">
        <v>5185986</v>
      </c>
      <c r="H100">
        <v>80</v>
      </c>
      <c r="I100">
        <v>1</v>
      </c>
      <c r="J100">
        <v>1</v>
      </c>
      <c r="K100">
        <v>2</v>
      </c>
      <c r="L100">
        <v>106</v>
      </c>
      <c r="M100">
        <v>0</v>
      </c>
    </row>
    <row r="101" spans="1:13" x14ac:dyDescent="0.25">
      <c r="A101" t="s">
        <v>19</v>
      </c>
      <c r="B101">
        <v>2</v>
      </c>
      <c r="C101">
        <v>3</v>
      </c>
      <c r="D101">
        <v>1</v>
      </c>
      <c r="E101">
        <v>1</v>
      </c>
      <c r="F101">
        <v>23</v>
      </c>
      <c r="G101">
        <v>92.331540000000004</v>
      </c>
      <c r="H101">
        <v>360</v>
      </c>
      <c r="I101">
        <v>0</v>
      </c>
      <c r="J101">
        <v>3</v>
      </c>
      <c r="K101">
        <v>3</v>
      </c>
      <c r="L101">
        <v>18</v>
      </c>
      <c r="M101">
        <v>0</v>
      </c>
    </row>
    <row r="102" spans="1:13" x14ac:dyDescent="0.25">
      <c r="A102" t="s">
        <v>19</v>
      </c>
      <c r="B102">
        <v>0</v>
      </c>
      <c r="C102">
        <v>2</v>
      </c>
      <c r="D102">
        <v>1</v>
      </c>
      <c r="E102">
        <v>0</v>
      </c>
      <c r="F102">
        <v>0</v>
      </c>
      <c r="G102">
        <v>0.1270771</v>
      </c>
      <c r="H102">
        <v>0</v>
      </c>
      <c r="I102">
        <v>0</v>
      </c>
      <c r="J102">
        <v>0</v>
      </c>
      <c r="K102">
        <v>0</v>
      </c>
      <c r="L102">
        <v>0</v>
      </c>
      <c r="M102">
        <v>0</v>
      </c>
    </row>
    <row r="103" spans="1:13" x14ac:dyDescent="0.25">
      <c r="A103" t="s">
        <v>19</v>
      </c>
      <c r="B103">
        <v>6</v>
      </c>
      <c r="C103">
        <v>4</v>
      </c>
      <c r="D103">
        <v>1</v>
      </c>
      <c r="E103">
        <v>0</v>
      </c>
      <c r="F103">
        <v>0</v>
      </c>
      <c r="G103">
        <v>177.7783</v>
      </c>
      <c r="H103">
        <v>840</v>
      </c>
      <c r="I103">
        <v>0</v>
      </c>
      <c r="J103">
        <v>6</v>
      </c>
      <c r="K103">
        <v>5</v>
      </c>
      <c r="L103">
        <v>52</v>
      </c>
      <c r="M103">
        <v>0</v>
      </c>
    </row>
    <row r="104" spans="1:13" x14ac:dyDescent="0.25">
      <c r="A104" t="s">
        <v>19</v>
      </c>
      <c r="B104">
        <v>0</v>
      </c>
      <c r="C104">
        <v>1</v>
      </c>
      <c r="D104">
        <v>0</v>
      </c>
      <c r="E104">
        <v>0</v>
      </c>
      <c r="F104">
        <v>0</v>
      </c>
      <c r="G104">
        <v>104.4438</v>
      </c>
      <c r="H104">
        <v>200</v>
      </c>
      <c r="I104">
        <v>10</v>
      </c>
      <c r="J104">
        <v>1</v>
      </c>
      <c r="K104">
        <v>4</v>
      </c>
      <c r="L104">
        <v>39</v>
      </c>
      <c r="M104">
        <v>25</v>
      </c>
    </row>
    <row r="105" spans="1:13" x14ac:dyDescent="0.25">
      <c r="A105" t="s">
        <v>19</v>
      </c>
      <c r="B105">
        <v>1</v>
      </c>
      <c r="C105">
        <v>2</v>
      </c>
      <c r="D105">
        <v>1</v>
      </c>
      <c r="E105">
        <v>0</v>
      </c>
      <c r="F105">
        <v>0</v>
      </c>
      <c r="G105">
        <v>48.52722</v>
      </c>
      <c r="H105">
        <v>120</v>
      </c>
      <c r="I105">
        <v>0</v>
      </c>
      <c r="J105">
        <v>1</v>
      </c>
      <c r="K105">
        <v>0</v>
      </c>
      <c r="L105">
        <v>207</v>
      </c>
      <c r="M105">
        <v>6</v>
      </c>
    </row>
    <row r="106" spans="1:13" x14ac:dyDescent="0.25">
      <c r="A106" t="s">
        <v>19</v>
      </c>
      <c r="B106">
        <v>0</v>
      </c>
      <c r="C106">
        <v>2</v>
      </c>
      <c r="D106">
        <v>0</v>
      </c>
      <c r="E106">
        <v>3</v>
      </c>
      <c r="F106">
        <v>13</v>
      </c>
      <c r="G106">
        <v>127479</v>
      </c>
      <c r="H106">
        <v>320</v>
      </c>
      <c r="I106">
        <v>3</v>
      </c>
      <c r="J106">
        <v>1</v>
      </c>
      <c r="K106">
        <v>5</v>
      </c>
      <c r="L106">
        <v>96</v>
      </c>
      <c r="M106">
        <v>9</v>
      </c>
    </row>
    <row r="107" spans="1:13" x14ac:dyDescent="0.25">
      <c r="A107" t="s">
        <v>19</v>
      </c>
      <c r="B107">
        <v>0</v>
      </c>
      <c r="C107">
        <v>2</v>
      </c>
      <c r="D107">
        <v>1</v>
      </c>
      <c r="E107">
        <v>0</v>
      </c>
      <c r="F107">
        <v>0</v>
      </c>
      <c r="G107">
        <v>54.929569999999998</v>
      </c>
      <c r="H107">
        <v>200</v>
      </c>
      <c r="I107">
        <v>0</v>
      </c>
      <c r="J107">
        <v>1</v>
      </c>
      <c r="K107">
        <v>7</v>
      </c>
      <c r="L107">
        <v>83</v>
      </c>
      <c r="M107">
        <v>0</v>
      </c>
    </row>
    <row r="108" spans="1:13" x14ac:dyDescent="0.25">
      <c r="A108" t="s">
        <v>19</v>
      </c>
      <c r="B108">
        <v>1</v>
      </c>
      <c r="C108">
        <v>1</v>
      </c>
      <c r="D108">
        <v>0</v>
      </c>
      <c r="E108">
        <v>0</v>
      </c>
      <c r="F108">
        <v>0</v>
      </c>
      <c r="G108">
        <v>64.536739999999995</v>
      </c>
      <c r="H108">
        <v>280</v>
      </c>
      <c r="I108">
        <v>2</v>
      </c>
      <c r="J108">
        <v>2</v>
      </c>
      <c r="K108">
        <v>4</v>
      </c>
      <c r="L108">
        <v>137</v>
      </c>
      <c r="M108">
        <v>0</v>
      </c>
    </row>
    <row r="109" spans="1:13" x14ac:dyDescent="0.25">
      <c r="A109" t="s">
        <v>19</v>
      </c>
      <c r="B109">
        <v>2</v>
      </c>
      <c r="C109">
        <v>2</v>
      </c>
      <c r="D109">
        <v>1</v>
      </c>
      <c r="E109">
        <v>0</v>
      </c>
      <c r="F109">
        <v>0</v>
      </c>
      <c r="G109">
        <v>24.728390000000001</v>
      </c>
      <c r="H109">
        <v>240</v>
      </c>
      <c r="I109">
        <v>0</v>
      </c>
      <c r="J109">
        <v>0</v>
      </c>
      <c r="K109">
        <v>0</v>
      </c>
      <c r="L109">
        <v>68</v>
      </c>
      <c r="M109">
        <v>0</v>
      </c>
    </row>
    <row r="110" spans="1:13" x14ac:dyDescent="0.25">
      <c r="A110" t="s">
        <v>19</v>
      </c>
      <c r="B110">
        <v>0</v>
      </c>
      <c r="C110">
        <v>4</v>
      </c>
      <c r="D110">
        <v>1</v>
      </c>
      <c r="E110">
        <v>0</v>
      </c>
      <c r="F110">
        <v>0</v>
      </c>
      <c r="G110">
        <v>14.910640000000001</v>
      </c>
      <c r="H110">
        <v>80</v>
      </c>
      <c r="I110">
        <v>0</v>
      </c>
      <c r="J110">
        <v>1</v>
      </c>
      <c r="K110">
        <v>0</v>
      </c>
      <c r="L110">
        <v>3</v>
      </c>
      <c r="M110">
        <v>4</v>
      </c>
    </row>
    <row r="111" spans="1:13" x14ac:dyDescent="0.25">
      <c r="A111" t="s">
        <v>19</v>
      </c>
      <c r="B111">
        <v>0</v>
      </c>
      <c r="C111">
        <v>3</v>
      </c>
      <c r="D111">
        <v>0</v>
      </c>
      <c r="E111">
        <v>7</v>
      </c>
      <c r="F111">
        <v>15</v>
      </c>
      <c r="G111">
        <v>47.343020000000003</v>
      </c>
      <c r="H111">
        <v>200</v>
      </c>
      <c r="I111">
        <v>1</v>
      </c>
      <c r="J111">
        <v>1</v>
      </c>
      <c r="K111">
        <v>3</v>
      </c>
      <c r="L111">
        <v>31</v>
      </c>
      <c r="M111">
        <v>1</v>
      </c>
    </row>
    <row r="112" spans="1:13" x14ac:dyDescent="0.25">
      <c r="A112" t="s">
        <v>19</v>
      </c>
      <c r="B112">
        <v>1</v>
      </c>
      <c r="C112">
        <v>2</v>
      </c>
      <c r="D112">
        <v>0</v>
      </c>
      <c r="E112">
        <v>15</v>
      </c>
      <c r="F112">
        <v>42</v>
      </c>
      <c r="G112">
        <v>108.1279</v>
      </c>
      <c r="H112">
        <v>440</v>
      </c>
      <c r="I112">
        <v>2</v>
      </c>
      <c r="J112">
        <v>2</v>
      </c>
      <c r="K112">
        <v>9</v>
      </c>
      <c r="L112">
        <v>32</v>
      </c>
      <c r="M112">
        <v>0</v>
      </c>
    </row>
    <row r="113" spans="1:13" x14ac:dyDescent="0.25">
      <c r="A113" t="s">
        <v>19</v>
      </c>
      <c r="B113">
        <v>2</v>
      </c>
      <c r="C113">
        <v>4</v>
      </c>
      <c r="D113">
        <v>1</v>
      </c>
      <c r="E113">
        <v>0</v>
      </c>
      <c r="F113">
        <v>123</v>
      </c>
      <c r="G113">
        <v>77.340580000000003</v>
      </c>
      <c r="H113">
        <v>440</v>
      </c>
      <c r="I113">
        <v>2</v>
      </c>
      <c r="J113">
        <v>2</v>
      </c>
      <c r="K113">
        <v>9</v>
      </c>
      <c r="L113">
        <v>306</v>
      </c>
      <c r="M113">
        <v>0</v>
      </c>
    </row>
    <row r="114" spans="1:13" x14ac:dyDescent="0.25">
      <c r="A114" t="s">
        <v>19</v>
      </c>
      <c r="B114">
        <v>1</v>
      </c>
      <c r="C114">
        <v>3</v>
      </c>
      <c r="D114">
        <v>0</v>
      </c>
      <c r="E114">
        <v>0</v>
      </c>
      <c r="F114">
        <v>0</v>
      </c>
      <c r="G114">
        <v>78.670779999999993</v>
      </c>
      <c r="H114">
        <v>400</v>
      </c>
      <c r="I114">
        <v>2</v>
      </c>
      <c r="J114">
        <v>2</v>
      </c>
      <c r="K114">
        <v>20</v>
      </c>
      <c r="L114">
        <v>108</v>
      </c>
      <c r="M114">
        <v>1</v>
      </c>
    </row>
    <row r="115" spans="1:13" x14ac:dyDescent="0.25">
      <c r="A115" t="s">
        <v>19</v>
      </c>
      <c r="B115">
        <v>1</v>
      </c>
      <c r="C115">
        <v>4</v>
      </c>
      <c r="D115">
        <v>1</v>
      </c>
      <c r="E115">
        <v>0</v>
      </c>
      <c r="F115">
        <v>0</v>
      </c>
      <c r="G115">
        <v>36.200130000000001</v>
      </c>
      <c r="H115">
        <v>120</v>
      </c>
      <c r="I115">
        <v>0</v>
      </c>
      <c r="J115">
        <v>1</v>
      </c>
      <c r="K115">
        <v>0</v>
      </c>
      <c r="L115">
        <v>37</v>
      </c>
      <c r="M115">
        <v>8</v>
      </c>
    </row>
    <row r="116" spans="1:13" x14ac:dyDescent="0.25">
      <c r="A116" t="s">
        <v>20</v>
      </c>
      <c r="B116">
        <v>4</v>
      </c>
      <c r="C116">
        <v>2</v>
      </c>
      <c r="D116">
        <v>0</v>
      </c>
      <c r="E116">
        <v>2</v>
      </c>
      <c r="F116">
        <v>561</v>
      </c>
      <c r="G116">
        <v>314.8818</v>
      </c>
      <c r="H116">
        <v>680</v>
      </c>
      <c r="I116">
        <v>0</v>
      </c>
      <c r="J116">
        <v>5</v>
      </c>
      <c r="K116">
        <v>3</v>
      </c>
      <c r="L116">
        <v>40</v>
      </c>
      <c r="M116">
        <v>30</v>
      </c>
    </row>
    <row r="117" spans="1:13" x14ac:dyDescent="0.25">
      <c r="A117" t="s">
        <v>20</v>
      </c>
      <c r="B117">
        <v>1</v>
      </c>
      <c r="C117">
        <v>1</v>
      </c>
      <c r="D117">
        <v>0</v>
      </c>
      <c r="E117">
        <v>0</v>
      </c>
      <c r="F117">
        <v>0</v>
      </c>
      <c r="G117">
        <v>45.767090000000003</v>
      </c>
      <c r="H117">
        <v>200</v>
      </c>
      <c r="I117">
        <v>2</v>
      </c>
      <c r="J117">
        <v>2</v>
      </c>
      <c r="K117">
        <v>4</v>
      </c>
      <c r="L117">
        <v>50</v>
      </c>
      <c r="M117">
        <v>0</v>
      </c>
    </row>
    <row r="118" spans="1:13" x14ac:dyDescent="0.25">
      <c r="A118" t="s">
        <v>20</v>
      </c>
      <c r="B118">
        <v>1</v>
      </c>
      <c r="C118">
        <v>4</v>
      </c>
      <c r="D118">
        <v>0</v>
      </c>
      <c r="E118">
        <v>0</v>
      </c>
      <c r="F118">
        <v>0</v>
      </c>
      <c r="G118">
        <v>32.363160000000001</v>
      </c>
      <c r="H118">
        <v>120</v>
      </c>
      <c r="I118">
        <v>2</v>
      </c>
      <c r="J118">
        <v>2</v>
      </c>
      <c r="K118">
        <v>1</v>
      </c>
      <c r="L118">
        <v>73</v>
      </c>
      <c r="M118">
        <v>0</v>
      </c>
    </row>
    <row r="119" spans="1:13" x14ac:dyDescent="0.25">
      <c r="A119" t="s">
        <v>20</v>
      </c>
      <c r="B119">
        <v>0</v>
      </c>
      <c r="C119">
        <v>1</v>
      </c>
      <c r="D119">
        <v>0</v>
      </c>
      <c r="E119">
        <v>0</v>
      </c>
      <c r="F119">
        <v>0</v>
      </c>
      <c r="G119">
        <v>3308325</v>
      </c>
      <c r="H119">
        <v>120</v>
      </c>
      <c r="I119">
        <v>0</v>
      </c>
      <c r="J119">
        <v>1</v>
      </c>
      <c r="K119">
        <v>3</v>
      </c>
      <c r="L119">
        <v>65</v>
      </c>
      <c r="M119">
        <v>0</v>
      </c>
    </row>
    <row r="120" spans="1:13" x14ac:dyDescent="0.25">
      <c r="A120" t="s">
        <v>20</v>
      </c>
      <c r="B120">
        <v>1</v>
      </c>
      <c r="C120">
        <v>1</v>
      </c>
      <c r="D120">
        <v>0</v>
      </c>
      <c r="E120">
        <v>0</v>
      </c>
      <c r="F120">
        <v>0</v>
      </c>
      <c r="G120">
        <v>68.506100000000004</v>
      </c>
      <c r="H120">
        <v>160</v>
      </c>
      <c r="I120">
        <v>0</v>
      </c>
      <c r="J120">
        <v>2</v>
      </c>
      <c r="K120">
        <v>2</v>
      </c>
      <c r="L120">
        <v>16</v>
      </c>
      <c r="M120">
        <v>0</v>
      </c>
    </row>
    <row r="121" spans="1:13" x14ac:dyDescent="0.25">
      <c r="A121" t="s">
        <v>20</v>
      </c>
      <c r="B121">
        <v>0</v>
      </c>
      <c r="C121">
        <v>3</v>
      </c>
      <c r="D121">
        <v>1</v>
      </c>
      <c r="E121">
        <v>0</v>
      </c>
      <c r="F121">
        <v>0</v>
      </c>
      <c r="G121">
        <v>0.114399</v>
      </c>
      <c r="H121">
        <v>0</v>
      </c>
      <c r="I121">
        <v>0</v>
      </c>
      <c r="J121">
        <v>0</v>
      </c>
      <c r="K121">
        <v>0</v>
      </c>
      <c r="L121">
        <v>0</v>
      </c>
      <c r="M121">
        <v>0</v>
      </c>
    </row>
    <row r="122" spans="1:13" x14ac:dyDescent="0.25">
      <c r="A122" t="s">
        <v>20</v>
      </c>
      <c r="B122">
        <v>2</v>
      </c>
      <c r="C122">
        <v>1</v>
      </c>
      <c r="D122">
        <v>0</v>
      </c>
      <c r="E122">
        <v>0</v>
      </c>
      <c r="F122">
        <v>0</v>
      </c>
      <c r="G122">
        <v>165.1301</v>
      </c>
      <c r="H122">
        <v>680</v>
      </c>
      <c r="I122">
        <v>0</v>
      </c>
      <c r="J122">
        <v>3</v>
      </c>
      <c r="K122">
        <v>10</v>
      </c>
      <c r="L122">
        <v>38</v>
      </c>
      <c r="M122">
        <v>0</v>
      </c>
    </row>
    <row r="123" spans="1:13" x14ac:dyDescent="0.25">
      <c r="A123" t="s">
        <v>20</v>
      </c>
      <c r="B123">
        <v>0</v>
      </c>
      <c r="C123">
        <v>1</v>
      </c>
      <c r="D123">
        <v>0</v>
      </c>
      <c r="E123">
        <v>1</v>
      </c>
      <c r="F123">
        <v>36</v>
      </c>
      <c r="G123">
        <v>25.463619999999999</v>
      </c>
      <c r="H123">
        <v>0</v>
      </c>
      <c r="I123">
        <v>0</v>
      </c>
      <c r="J123">
        <v>1</v>
      </c>
      <c r="K123">
        <v>0</v>
      </c>
      <c r="L123">
        <v>13</v>
      </c>
      <c r="M123">
        <v>4</v>
      </c>
    </row>
    <row r="124" spans="1:13" x14ac:dyDescent="0.25">
      <c r="A124" t="s">
        <v>20</v>
      </c>
      <c r="B124">
        <v>2</v>
      </c>
      <c r="C124">
        <v>2</v>
      </c>
      <c r="D124">
        <v>1</v>
      </c>
      <c r="E124">
        <v>0</v>
      </c>
      <c r="F124">
        <v>0</v>
      </c>
      <c r="G124">
        <v>31.688110000000002</v>
      </c>
      <c r="H124">
        <v>240</v>
      </c>
      <c r="I124">
        <v>0</v>
      </c>
      <c r="J124">
        <v>1</v>
      </c>
      <c r="K124">
        <v>0</v>
      </c>
      <c r="L124">
        <v>76</v>
      </c>
      <c r="M124">
        <v>3</v>
      </c>
    </row>
    <row r="125" spans="1:13" x14ac:dyDescent="0.25">
      <c r="A125" t="s">
        <v>20</v>
      </c>
      <c r="B125">
        <v>1</v>
      </c>
      <c r="C125">
        <v>4</v>
      </c>
      <c r="D125">
        <v>0</v>
      </c>
      <c r="E125">
        <v>3</v>
      </c>
      <c r="F125">
        <v>12</v>
      </c>
      <c r="G125">
        <v>2149966</v>
      </c>
      <c r="H125">
        <v>280</v>
      </c>
      <c r="I125">
        <v>0</v>
      </c>
      <c r="J125">
        <v>2</v>
      </c>
      <c r="K125">
        <v>4</v>
      </c>
      <c r="L125">
        <v>75</v>
      </c>
      <c r="M125">
        <v>12</v>
      </c>
    </row>
    <row r="126" spans="1:13" x14ac:dyDescent="0.25">
      <c r="A126" t="s">
        <v>20</v>
      </c>
      <c r="B126">
        <v>0</v>
      </c>
      <c r="C126">
        <v>1</v>
      </c>
      <c r="D126">
        <v>0</v>
      </c>
      <c r="E126">
        <v>0</v>
      </c>
      <c r="F126">
        <v>0</v>
      </c>
      <c r="G126">
        <v>28.861689999999999</v>
      </c>
      <c r="H126">
        <v>40</v>
      </c>
      <c r="I126">
        <v>0</v>
      </c>
      <c r="J126">
        <v>1</v>
      </c>
      <c r="K126">
        <v>1</v>
      </c>
      <c r="L126">
        <v>46</v>
      </c>
      <c r="M126">
        <v>0</v>
      </c>
    </row>
    <row r="127" spans="1:13" x14ac:dyDescent="0.25">
      <c r="A127" t="s">
        <v>20</v>
      </c>
      <c r="B127">
        <v>0</v>
      </c>
      <c r="C127">
        <v>1</v>
      </c>
      <c r="D127">
        <v>0</v>
      </c>
      <c r="E127">
        <v>0</v>
      </c>
      <c r="F127">
        <v>0</v>
      </c>
      <c r="G127">
        <v>12.185180000000001</v>
      </c>
      <c r="H127">
        <v>0</v>
      </c>
      <c r="I127">
        <v>1</v>
      </c>
      <c r="J127">
        <v>1</v>
      </c>
      <c r="K127">
        <v>0</v>
      </c>
      <c r="L127">
        <v>26</v>
      </c>
      <c r="M127">
        <v>0</v>
      </c>
    </row>
    <row r="128" spans="1:13" x14ac:dyDescent="0.25">
      <c r="A128" t="s">
        <v>20</v>
      </c>
      <c r="B128">
        <v>2</v>
      </c>
      <c r="C128">
        <v>3</v>
      </c>
      <c r="D128">
        <v>1</v>
      </c>
      <c r="E128">
        <v>0</v>
      </c>
      <c r="F128">
        <v>0</v>
      </c>
      <c r="G128">
        <v>30.896239999999999</v>
      </c>
      <c r="H128">
        <v>240</v>
      </c>
      <c r="I128">
        <v>0</v>
      </c>
      <c r="J128">
        <v>0</v>
      </c>
      <c r="K128">
        <v>0</v>
      </c>
      <c r="L128">
        <v>84</v>
      </c>
      <c r="M128">
        <v>0</v>
      </c>
    </row>
    <row r="129" spans="1:13" x14ac:dyDescent="0.25">
      <c r="A129" t="s">
        <v>20</v>
      </c>
      <c r="B129">
        <v>1</v>
      </c>
      <c r="C129">
        <v>2</v>
      </c>
      <c r="D129">
        <v>1</v>
      </c>
      <c r="E129">
        <v>0</v>
      </c>
      <c r="F129">
        <v>0</v>
      </c>
      <c r="G129">
        <v>14.022460000000001</v>
      </c>
      <c r="H129">
        <v>120</v>
      </c>
      <c r="I129">
        <v>0</v>
      </c>
      <c r="J129">
        <v>1</v>
      </c>
      <c r="K129">
        <v>0</v>
      </c>
      <c r="L129">
        <v>5</v>
      </c>
      <c r="M129">
        <v>17</v>
      </c>
    </row>
    <row r="130" spans="1:13" x14ac:dyDescent="0.25">
      <c r="A130" t="s">
        <v>20</v>
      </c>
      <c r="B130">
        <v>0</v>
      </c>
      <c r="C130">
        <v>2</v>
      </c>
      <c r="D130">
        <v>0</v>
      </c>
      <c r="E130">
        <v>7</v>
      </c>
      <c r="F130">
        <v>3</v>
      </c>
      <c r="G130">
        <v>19.335570000000001</v>
      </c>
      <c r="H130">
        <v>120</v>
      </c>
      <c r="I130">
        <v>1</v>
      </c>
      <c r="J130">
        <v>1</v>
      </c>
      <c r="K130">
        <v>3</v>
      </c>
      <c r="L130">
        <v>19</v>
      </c>
      <c r="M130">
        <v>0</v>
      </c>
    </row>
    <row r="131" spans="1:13" x14ac:dyDescent="0.25">
      <c r="A131" t="s">
        <v>20</v>
      </c>
      <c r="B131">
        <v>1</v>
      </c>
      <c r="C131">
        <v>1</v>
      </c>
      <c r="D131">
        <v>0</v>
      </c>
      <c r="E131">
        <v>3</v>
      </c>
      <c r="F131">
        <v>7</v>
      </c>
      <c r="G131">
        <v>28.954350000000002</v>
      </c>
      <c r="H131">
        <v>160</v>
      </c>
      <c r="I131">
        <v>2</v>
      </c>
      <c r="J131">
        <v>2</v>
      </c>
      <c r="K131">
        <v>0</v>
      </c>
      <c r="L131">
        <v>32</v>
      </c>
      <c r="M131">
        <v>0</v>
      </c>
    </row>
    <row r="132" spans="1:13" x14ac:dyDescent="0.25">
      <c r="A132" t="s">
        <v>20</v>
      </c>
      <c r="B132">
        <v>0</v>
      </c>
      <c r="C132">
        <v>1</v>
      </c>
      <c r="D132">
        <v>0</v>
      </c>
      <c r="E132">
        <v>0</v>
      </c>
      <c r="F132">
        <v>35</v>
      </c>
      <c r="G132">
        <v>18.59778</v>
      </c>
      <c r="H132">
        <v>80</v>
      </c>
      <c r="I132">
        <v>1</v>
      </c>
      <c r="J132">
        <v>1</v>
      </c>
      <c r="K132">
        <v>1</v>
      </c>
      <c r="L132">
        <v>79</v>
      </c>
      <c r="M132">
        <v>0</v>
      </c>
    </row>
    <row r="133" spans="1:13" x14ac:dyDescent="0.25">
      <c r="A133" t="s">
        <v>20</v>
      </c>
      <c r="B133">
        <v>0</v>
      </c>
      <c r="C133">
        <v>1</v>
      </c>
      <c r="D133">
        <v>0</v>
      </c>
      <c r="E133">
        <v>0</v>
      </c>
      <c r="F133">
        <v>0</v>
      </c>
      <c r="G133">
        <v>17.499510000000001</v>
      </c>
      <c r="H133">
        <v>80</v>
      </c>
      <c r="I133">
        <v>1</v>
      </c>
      <c r="J133">
        <v>1</v>
      </c>
      <c r="K133">
        <v>1</v>
      </c>
      <c r="L133">
        <v>24</v>
      </c>
      <c r="M133">
        <v>0</v>
      </c>
    </row>
    <row r="134" spans="1:13" x14ac:dyDescent="0.25">
      <c r="A134" t="s">
        <v>20</v>
      </c>
      <c r="B134">
        <v>2</v>
      </c>
      <c r="C134">
        <v>3</v>
      </c>
      <c r="D134">
        <v>1</v>
      </c>
      <c r="E134">
        <v>0</v>
      </c>
      <c r="F134">
        <v>0</v>
      </c>
      <c r="G134">
        <v>60.023249999999997</v>
      </c>
      <c r="H134">
        <v>320</v>
      </c>
      <c r="I134">
        <v>0</v>
      </c>
      <c r="J134">
        <v>3</v>
      </c>
      <c r="K134">
        <v>0</v>
      </c>
      <c r="L134">
        <v>43</v>
      </c>
      <c r="M134">
        <v>20</v>
      </c>
    </row>
    <row r="135" spans="1:13" x14ac:dyDescent="0.25">
      <c r="A135" t="s">
        <v>21</v>
      </c>
      <c r="B135">
        <v>1</v>
      </c>
      <c r="C135">
        <v>2</v>
      </c>
      <c r="D135">
        <v>0</v>
      </c>
      <c r="E135">
        <v>2</v>
      </c>
      <c r="F135">
        <v>575</v>
      </c>
      <c r="G135">
        <v>129.9871</v>
      </c>
      <c r="H135">
        <v>260</v>
      </c>
      <c r="I135">
        <v>1</v>
      </c>
      <c r="J135">
        <v>2</v>
      </c>
      <c r="K135">
        <v>3</v>
      </c>
      <c r="L135">
        <v>27</v>
      </c>
      <c r="M135">
        <v>12</v>
      </c>
    </row>
    <row r="136" spans="1:13" x14ac:dyDescent="0.25">
      <c r="A136" t="s">
        <v>21</v>
      </c>
      <c r="B136">
        <v>0</v>
      </c>
      <c r="C136">
        <v>1</v>
      </c>
      <c r="D136">
        <v>0</v>
      </c>
      <c r="E136">
        <v>0</v>
      </c>
      <c r="F136">
        <v>0</v>
      </c>
      <c r="G136">
        <v>43.411619999999999</v>
      </c>
      <c r="H136">
        <v>40</v>
      </c>
      <c r="I136">
        <v>1</v>
      </c>
      <c r="J136">
        <v>1</v>
      </c>
      <c r="K136">
        <v>2</v>
      </c>
      <c r="L136">
        <v>55</v>
      </c>
      <c r="M136">
        <v>0</v>
      </c>
    </row>
    <row r="137" spans="1:13" x14ac:dyDescent="0.25">
      <c r="A137" t="s">
        <v>21</v>
      </c>
      <c r="B137">
        <v>0</v>
      </c>
      <c r="C137">
        <v>1</v>
      </c>
      <c r="D137">
        <v>0</v>
      </c>
      <c r="E137">
        <v>0</v>
      </c>
      <c r="F137">
        <v>0</v>
      </c>
      <c r="G137">
        <v>39.348750000000003</v>
      </c>
      <c r="H137">
        <v>40</v>
      </c>
      <c r="I137">
        <v>1</v>
      </c>
      <c r="J137">
        <v>1</v>
      </c>
      <c r="K137">
        <v>0</v>
      </c>
      <c r="L137">
        <v>57</v>
      </c>
      <c r="M137">
        <v>0</v>
      </c>
    </row>
    <row r="138" spans="1:13" x14ac:dyDescent="0.25">
      <c r="A138" t="s">
        <v>21</v>
      </c>
      <c r="B138">
        <v>0</v>
      </c>
      <c r="C138">
        <v>1</v>
      </c>
      <c r="D138">
        <v>0</v>
      </c>
      <c r="E138">
        <v>1</v>
      </c>
      <c r="F138">
        <v>34</v>
      </c>
      <c r="G138">
        <v>4125122</v>
      </c>
      <c r="H138">
        <v>140</v>
      </c>
      <c r="I138">
        <v>1</v>
      </c>
      <c r="J138">
        <v>1</v>
      </c>
      <c r="K138">
        <v>4</v>
      </c>
      <c r="L138">
        <v>100</v>
      </c>
      <c r="M138">
        <v>0</v>
      </c>
    </row>
    <row r="139" spans="1:13" x14ac:dyDescent="0.25">
      <c r="A139" t="s">
        <v>21</v>
      </c>
      <c r="B139">
        <v>0</v>
      </c>
      <c r="C139">
        <v>2</v>
      </c>
      <c r="D139">
        <v>0</v>
      </c>
      <c r="E139">
        <v>0</v>
      </c>
      <c r="F139">
        <v>0</v>
      </c>
      <c r="G139">
        <v>97.129149999999996</v>
      </c>
      <c r="H139">
        <v>160</v>
      </c>
      <c r="I139">
        <v>0</v>
      </c>
      <c r="J139">
        <v>1</v>
      </c>
      <c r="K139">
        <v>4</v>
      </c>
      <c r="L139">
        <v>35</v>
      </c>
      <c r="M139">
        <v>0</v>
      </c>
    </row>
    <row r="140" spans="1:13" x14ac:dyDescent="0.25">
      <c r="A140" t="s">
        <v>21</v>
      </c>
      <c r="B140">
        <v>0</v>
      </c>
      <c r="C140">
        <v>3</v>
      </c>
      <c r="D140">
        <v>1</v>
      </c>
      <c r="E140">
        <v>0</v>
      </c>
      <c r="F140">
        <v>0</v>
      </c>
      <c r="G140">
        <v>0.24901010000000001</v>
      </c>
      <c r="H140">
        <v>0</v>
      </c>
      <c r="I140">
        <v>0</v>
      </c>
      <c r="J140">
        <v>0</v>
      </c>
      <c r="K140">
        <v>0</v>
      </c>
      <c r="L140">
        <v>0</v>
      </c>
      <c r="M140">
        <v>0</v>
      </c>
    </row>
    <row r="141" spans="1:13" x14ac:dyDescent="0.25">
      <c r="A141" t="s">
        <v>21</v>
      </c>
      <c r="B141">
        <v>2</v>
      </c>
      <c r="C141">
        <v>1</v>
      </c>
      <c r="D141">
        <v>0</v>
      </c>
      <c r="E141">
        <v>0</v>
      </c>
      <c r="F141">
        <v>0</v>
      </c>
      <c r="G141">
        <v>347.70749999999998</v>
      </c>
      <c r="H141">
        <v>700</v>
      </c>
      <c r="I141">
        <v>0</v>
      </c>
      <c r="J141">
        <v>3</v>
      </c>
      <c r="K141">
        <v>12</v>
      </c>
      <c r="L141">
        <v>57</v>
      </c>
      <c r="M141">
        <v>0</v>
      </c>
    </row>
    <row r="142" spans="1:13" x14ac:dyDescent="0.25">
      <c r="A142" t="s">
        <v>21</v>
      </c>
      <c r="B142">
        <v>0</v>
      </c>
      <c r="C142">
        <v>1</v>
      </c>
      <c r="D142">
        <v>0</v>
      </c>
      <c r="E142">
        <v>1</v>
      </c>
      <c r="F142">
        <v>33</v>
      </c>
      <c r="G142">
        <v>54.937620000000003</v>
      </c>
      <c r="H142">
        <v>60</v>
      </c>
      <c r="I142">
        <v>0</v>
      </c>
      <c r="J142">
        <v>1</v>
      </c>
      <c r="K142">
        <v>1</v>
      </c>
      <c r="L142">
        <v>27</v>
      </c>
      <c r="M142">
        <v>9</v>
      </c>
    </row>
    <row r="143" spans="1:13" x14ac:dyDescent="0.25">
      <c r="A143" t="s">
        <v>21</v>
      </c>
      <c r="B143">
        <v>2</v>
      </c>
      <c r="C143">
        <v>3</v>
      </c>
      <c r="D143">
        <v>1</v>
      </c>
      <c r="E143">
        <v>0</v>
      </c>
      <c r="F143">
        <v>0</v>
      </c>
      <c r="G143">
        <v>58.007080000000002</v>
      </c>
      <c r="H143">
        <v>200</v>
      </c>
      <c r="I143">
        <v>0</v>
      </c>
      <c r="J143">
        <v>2</v>
      </c>
      <c r="K143">
        <v>0</v>
      </c>
      <c r="L143">
        <v>258</v>
      </c>
      <c r="M143">
        <v>1</v>
      </c>
    </row>
    <row r="144" spans="1:13" x14ac:dyDescent="0.25">
      <c r="A144" t="s">
        <v>21</v>
      </c>
      <c r="B144">
        <v>0</v>
      </c>
      <c r="C144">
        <v>3</v>
      </c>
      <c r="D144">
        <v>0</v>
      </c>
      <c r="E144">
        <v>1</v>
      </c>
      <c r="F144">
        <v>5</v>
      </c>
      <c r="G144">
        <v>9685059</v>
      </c>
      <c r="H144">
        <v>220</v>
      </c>
      <c r="I144">
        <v>0</v>
      </c>
      <c r="J144">
        <v>1</v>
      </c>
      <c r="K144">
        <v>4</v>
      </c>
      <c r="L144">
        <v>94</v>
      </c>
      <c r="M144">
        <v>12</v>
      </c>
    </row>
    <row r="145" spans="1:13" x14ac:dyDescent="0.25">
      <c r="A145" t="s">
        <v>21</v>
      </c>
      <c r="B145">
        <v>0</v>
      </c>
      <c r="C145">
        <v>2</v>
      </c>
      <c r="D145">
        <v>1</v>
      </c>
      <c r="E145">
        <v>0</v>
      </c>
      <c r="F145">
        <v>0</v>
      </c>
      <c r="G145">
        <v>49.725589999999997</v>
      </c>
      <c r="H145">
        <v>100</v>
      </c>
      <c r="I145">
        <v>0</v>
      </c>
      <c r="J145">
        <v>1</v>
      </c>
      <c r="K145">
        <v>7</v>
      </c>
      <c r="L145">
        <v>97</v>
      </c>
      <c r="M145">
        <v>0</v>
      </c>
    </row>
    <row r="146" spans="1:13" x14ac:dyDescent="0.25">
      <c r="A146" t="s">
        <v>21</v>
      </c>
      <c r="B146">
        <v>0</v>
      </c>
      <c r="C146">
        <v>1</v>
      </c>
      <c r="D146">
        <v>0</v>
      </c>
      <c r="E146">
        <v>0</v>
      </c>
      <c r="F146">
        <v>0</v>
      </c>
      <c r="G146">
        <v>25.404910000000001</v>
      </c>
      <c r="H146">
        <v>0</v>
      </c>
      <c r="I146">
        <v>1</v>
      </c>
      <c r="J146">
        <v>1</v>
      </c>
      <c r="K146">
        <v>0</v>
      </c>
      <c r="L146">
        <v>48</v>
      </c>
      <c r="M146">
        <v>0</v>
      </c>
    </row>
    <row r="147" spans="1:13" x14ac:dyDescent="0.25">
      <c r="A147" t="s">
        <v>21</v>
      </c>
      <c r="B147">
        <v>1</v>
      </c>
      <c r="C147">
        <v>1</v>
      </c>
      <c r="D147">
        <v>1</v>
      </c>
      <c r="E147">
        <v>0</v>
      </c>
      <c r="F147">
        <v>0</v>
      </c>
      <c r="G147">
        <v>34.066040000000001</v>
      </c>
      <c r="H147">
        <v>100</v>
      </c>
      <c r="I147">
        <v>0</v>
      </c>
      <c r="J147">
        <v>0</v>
      </c>
      <c r="K147">
        <v>0</v>
      </c>
      <c r="L147">
        <v>121</v>
      </c>
      <c r="M147">
        <v>0</v>
      </c>
    </row>
    <row r="148" spans="1:13" x14ac:dyDescent="0.25">
      <c r="A148" t="s">
        <v>21</v>
      </c>
      <c r="B148">
        <v>0</v>
      </c>
      <c r="C148">
        <v>1</v>
      </c>
      <c r="D148">
        <v>0</v>
      </c>
      <c r="E148">
        <v>0</v>
      </c>
      <c r="F148">
        <v>0</v>
      </c>
      <c r="G148">
        <v>61.824710000000003</v>
      </c>
      <c r="H148">
        <v>40</v>
      </c>
      <c r="I148">
        <v>0</v>
      </c>
      <c r="J148">
        <v>1</v>
      </c>
      <c r="K148">
        <v>1</v>
      </c>
      <c r="L148">
        <v>64</v>
      </c>
      <c r="M148">
        <v>109</v>
      </c>
    </row>
    <row r="149" spans="1:13" x14ac:dyDescent="0.25">
      <c r="A149" t="s">
        <v>21</v>
      </c>
      <c r="B149">
        <v>0</v>
      </c>
      <c r="C149">
        <v>1</v>
      </c>
      <c r="D149">
        <v>0</v>
      </c>
      <c r="E149">
        <v>5</v>
      </c>
      <c r="F149">
        <v>11</v>
      </c>
      <c r="G149">
        <v>38.709960000000002</v>
      </c>
      <c r="H149">
        <v>80</v>
      </c>
      <c r="I149">
        <v>1</v>
      </c>
      <c r="J149">
        <v>1</v>
      </c>
      <c r="K149">
        <v>2</v>
      </c>
      <c r="L149">
        <v>17</v>
      </c>
      <c r="M149">
        <v>0</v>
      </c>
    </row>
    <row r="150" spans="1:13" x14ac:dyDescent="0.25">
      <c r="A150" t="s">
        <v>21</v>
      </c>
      <c r="B150">
        <v>0</v>
      </c>
      <c r="C150">
        <v>1</v>
      </c>
      <c r="D150">
        <v>0</v>
      </c>
      <c r="E150">
        <v>3</v>
      </c>
      <c r="F150">
        <v>11</v>
      </c>
      <c r="G150">
        <v>42.228879999999997</v>
      </c>
      <c r="H150">
        <v>80</v>
      </c>
      <c r="I150">
        <v>1</v>
      </c>
      <c r="J150">
        <v>1</v>
      </c>
      <c r="K150">
        <v>3</v>
      </c>
      <c r="L150">
        <v>28</v>
      </c>
      <c r="M150">
        <v>0</v>
      </c>
    </row>
    <row r="151" spans="1:13" x14ac:dyDescent="0.25">
      <c r="A151" t="s">
        <v>21</v>
      </c>
      <c r="B151">
        <v>0</v>
      </c>
      <c r="C151">
        <v>1</v>
      </c>
      <c r="D151">
        <v>0</v>
      </c>
      <c r="E151">
        <v>0</v>
      </c>
      <c r="F151">
        <v>59</v>
      </c>
      <c r="G151">
        <v>75.976929999999996</v>
      </c>
      <c r="H151">
        <v>120</v>
      </c>
      <c r="I151">
        <v>0</v>
      </c>
      <c r="J151">
        <v>1</v>
      </c>
      <c r="K151">
        <v>2</v>
      </c>
      <c r="L151">
        <v>345</v>
      </c>
      <c r="M151">
        <v>1</v>
      </c>
    </row>
    <row r="152" spans="1:13" x14ac:dyDescent="0.25">
      <c r="A152" t="s">
        <v>21</v>
      </c>
      <c r="B152">
        <v>0</v>
      </c>
      <c r="C152">
        <v>1</v>
      </c>
      <c r="D152">
        <v>0</v>
      </c>
      <c r="E152">
        <v>1</v>
      </c>
      <c r="F152">
        <v>4</v>
      </c>
      <c r="G152">
        <v>59.690429999999999</v>
      </c>
      <c r="H152">
        <v>100</v>
      </c>
      <c r="I152">
        <v>1</v>
      </c>
      <c r="J152">
        <v>1</v>
      </c>
      <c r="K152">
        <v>5</v>
      </c>
      <c r="L152">
        <v>52</v>
      </c>
      <c r="M152">
        <v>14</v>
      </c>
    </row>
    <row r="153" spans="1:13" x14ac:dyDescent="0.25">
      <c r="A153" t="s">
        <v>21</v>
      </c>
      <c r="B153">
        <v>1</v>
      </c>
      <c r="C153">
        <v>3</v>
      </c>
      <c r="D153">
        <v>1</v>
      </c>
      <c r="E153">
        <v>0</v>
      </c>
      <c r="F153">
        <v>0</v>
      </c>
      <c r="G153">
        <v>35.764040000000001</v>
      </c>
      <c r="H153">
        <v>100</v>
      </c>
      <c r="I153">
        <v>0</v>
      </c>
      <c r="J153">
        <v>1</v>
      </c>
      <c r="K153">
        <v>0</v>
      </c>
      <c r="L153">
        <v>11</v>
      </c>
      <c r="M153">
        <v>10</v>
      </c>
    </row>
    <row r="154" spans="1:13" x14ac:dyDescent="0.25">
      <c r="A154" t="s">
        <v>22</v>
      </c>
      <c r="B154">
        <v>4</v>
      </c>
      <c r="C154">
        <v>4</v>
      </c>
      <c r="D154">
        <v>0</v>
      </c>
      <c r="E154">
        <v>3</v>
      </c>
      <c r="F154">
        <v>2587</v>
      </c>
      <c r="G154">
        <v>229.45240000000001</v>
      </c>
      <c r="H154">
        <v>1040</v>
      </c>
      <c r="I154">
        <v>10</v>
      </c>
      <c r="J154">
        <v>5</v>
      </c>
      <c r="K154">
        <v>17</v>
      </c>
      <c r="L154">
        <v>44</v>
      </c>
      <c r="M154">
        <v>35</v>
      </c>
    </row>
    <row r="155" spans="1:13" x14ac:dyDescent="0.25">
      <c r="A155" t="s">
        <v>22</v>
      </c>
      <c r="B155">
        <v>1</v>
      </c>
      <c r="C155">
        <v>1</v>
      </c>
      <c r="D155">
        <v>0</v>
      </c>
      <c r="E155">
        <v>0</v>
      </c>
      <c r="F155">
        <v>0</v>
      </c>
      <c r="G155">
        <v>63.623779999999996</v>
      </c>
      <c r="H155">
        <v>400</v>
      </c>
      <c r="I155">
        <v>2</v>
      </c>
      <c r="J155">
        <v>2</v>
      </c>
      <c r="K155">
        <v>6</v>
      </c>
      <c r="L155">
        <v>53</v>
      </c>
      <c r="M155">
        <v>0</v>
      </c>
    </row>
    <row r="156" spans="1:13" x14ac:dyDescent="0.25">
      <c r="A156" t="s">
        <v>22</v>
      </c>
      <c r="B156">
        <v>2</v>
      </c>
      <c r="C156">
        <v>2</v>
      </c>
      <c r="D156">
        <v>0</v>
      </c>
      <c r="E156">
        <v>0</v>
      </c>
      <c r="F156">
        <v>0</v>
      </c>
      <c r="G156">
        <v>98.222049999999996</v>
      </c>
      <c r="H156">
        <v>480</v>
      </c>
      <c r="I156">
        <v>3</v>
      </c>
      <c r="J156">
        <v>3</v>
      </c>
      <c r="K156">
        <v>6</v>
      </c>
      <c r="L156">
        <v>183</v>
      </c>
      <c r="M156">
        <v>0</v>
      </c>
    </row>
    <row r="157" spans="1:13" x14ac:dyDescent="0.25">
      <c r="A157" t="s">
        <v>22</v>
      </c>
      <c r="B157">
        <v>2</v>
      </c>
      <c r="C157">
        <v>2</v>
      </c>
      <c r="D157">
        <v>0</v>
      </c>
      <c r="E157">
        <v>0</v>
      </c>
      <c r="F157">
        <v>18</v>
      </c>
      <c r="G157">
        <v>9883911</v>
      </c>
      <c r="H157">
        <v>480</v>
      </c>
      <c r="I157">
        <v>4</v>
      </c>
      <c r="J157">
        <v>3</v>
      </c>
      <c r="K157">
        <v>15</v>
      </c>
      <c r="L157">
        <v>166</v>
      </c>
      <c r="M157">
        <v>0</v>
      </c>
    </row>
    <row r="158" spans="1:13" x14ac:dyDescent="0.25">
      <c r="A158" t="s">
        <v>22</v>
      </c>
      <c r="B158">
        <v>2</v>
      </c>
      <c r="C158">
        <v>3</v>
      </c>
      <c r="D158">
        <v>1</v>
      </c>
      <c r="E158">
        <v>0</v>
      </c>
      <c r="F158">
        <v>0</v>
      </c>
      <c r="G158">
        <v>72.760009999999994</v>
      </c>
      <c r="H158">
        <v>480</v>
      </c>
      <c r="I158">
        <v>0</v>
      </c>
      <c r="J158">
        <v>2</v>
      </c>
      <c r="K158">
        <v>12</v>
      </c>
      <c r="L158">
        <v>26</v>
      </c>
      <c r="M158">
        <v>0</v>
      </c>
    </row>
    <row r="159" spans="1:13" x14ac:dyDescent="0.25">
      <c r="A159" t="s">
        <v>22</v>
      </c>
      <c r="B159">
        <v>0</v>
      </c>
      <c r="C159">
        <v>2</v>
      </c>
      <c r="D159">
        <v>1</v>
      </c>
      <c r="E159">
        <v>0</v>
      </c>
      <c r="F159">
        <v>0</v>
      </c>
      <c r="G159">
        <v>0.23706630000000001</v>
      </c>
      <c r="H159">
        <v>0</v>
      </c>
      <c r="I159">
        <v>0</v>
      </c>
      <c r="J159">
        <v>0</v>
      </c>
      <c r="K159">
        <v>0</v>
      </c>
      <c r="L159">
        <v>1</v>
      </c>
      <c r="M159">
        <v>0</v>
      </c>
    </row>
    <row r="160" spans="1:13" x14ac:dyDescent="0.25">
      <c r="A160" t="s">
        <v>22</v>
      </c>
      <c r="B160">
        <v>9</v>
      </c>
      <c r="C160">
        <v>4</v>
      </c>
      <c r="D160">
        <v>1</v>
      </c>
      <c r="E160">
        <v>0</v>
      </c>
      <c r="F160">
        <v>0</v>
      </c>
      <c r="G160">
        <v>229.10059999999999</v>
      </c>
      <c r="H160">
        <v>1680</v>
      </c>
      <c r="I160">
        <v>0</v>
      </c>
      <c r="J160">
        <v>10</v>
      </c>
      <c r="K160">
        <v>15</v>
      </c>
      <c r="L160">
        <v>51</v>
      </c>
      <c r="M160">
        <v>0</v>
      </c>
    </row>
    <row r="161" spans="1:13" x14ac:dyDescent="0.25">
      <c r="A161" t="s">
        <v>22</v>
      </c>
      <c r="B161">
        <v>0</v>
      </c>
      <c r="C161">
        <v>1</v>
      </c>
      <c r="D161">
        <v>0</v>
      </c>
      <c r="E161">
        <v>0</v>
      </c>
      <c r="F161">
        <v>0</v>
      </c>
      <c r="G161">
        <v>81.733519999999999</v>
      </c>
      <c r="H161">
        <v>160</v>
      </c>
      <c r="I161">
        <v>0</v>
      </c>
      <c r="J161">
        <v>1</v>
      </c>
      <c r="K161">
        <v>6</v>
      </c>
      <c r="L161">
        <v>23</v>
      </c>
      <c r="M161">
        <v>10</v>
      </c>
    </row>
    <row r="162" spans="1:13" x14ac:dyDescent="0.25">
      <c r="A162" t="s">
        <v>22</v>
      </c>
      <c r="B162">
        <v>3</v>
      </c>
      <c r="C162">
        <v>3</v>
      </c>
      <c r="D162">
        <v>1</v>
      </c>
      <c r="E162">
        <v>0</v>
      </c>
      <c r="F162">
        <v>0</v>
      </c>
      <c r="G162">
        <v>43.54468</v>
      </c>
      <c r="H162">
        <v>480</v>
      </c>
      <c r="I162">
        <v>0</v>
      </c>
      <c r="J162">
        <v>1</v>
      </c>
      <c r="K162">
        <v>0</v>
      </c>
      <c r="L162">
        <v>121</v>
      </c>
      <c r="M162">
        <v>2</v>
      </c>
    </row>
    <row r="163" spans="1:13" x14ac:dyDescent="0.25">
      <c r="A163" t="s">
        <v>22</v>
      </c>
      <c r="B163">
        <v>20</v>
      </c>
      <c r="C163">
        <v>4</v>
      </c>
      <c r="D163">
        <v>0</v>
      </c>
      <c r="E163">
        <v>39</v>
      </c>
      <c r="F163">
        <v>173</v>
      </c>
      <c r="G163">
        <v>8369131</v>
      </c>
      <c r="H163">
        <v>4720</v>
      </c>
      <c r="I163">
        <v>3</v>
      </c>
      <c r="J163">
        <v>23</v>
      </c>
      <c r="K163">
        <v>38</v>
      </c>
      <c r="L163">
        <v>493</v>
      </c>
      <c r="M163">
        <v>24</v>
      </c>
    </row>
    <row r="164" spans="1:13" x14ac:dyDescent="0.25">
      <c r="A164" t="s">
        <v>22</v>
      </c>
      <c r="B164">
        <v>2</v>
      </c>
      <c r="C164">
        <v>4</v>
      </c>
      <c r="D164">
        <v>1</v>
      </c>
      <c r="E164">
        <v>0</v>
      </c>
      <c r="F164">
        <v>0</v>
      </c>
      <c r="G164">
        <v>25.507930000000002</v>
      </c>
      <c r="H164">
        <v>400</v>
      </c>
      <c r="I164">
        <v>0</v>
      </c>
      <c r="J164">
        <v>3</v>
      </c>
      <c r="K164">
        <v>1</v>
      </c>
      <c r="L164">
        <v>1</v>
      </c>
      <c r="M164">
        <v>0</v>
      </c>
    </row>
    <row r="165" spans="1:13" x14ac:dyDescent="0.25">
      <c r="A165" t="s">
        <v>22</v>
      </c>
      <c r="B165">
        <v>0</v>
      </c>
      <c r="C165">
        <v>1</v>
      </c>
      <c r="D165">
        <v>0</v>
      </c>
      <c r="E165">
        <v>1</v>
      </c>
      <c r="F165">
        <v>6</v>
      </c>
      <c r="G165">
        <v>31.581050000000001</v>
      </c>
      <c r="H165">
        <v>80</v>
      </c>
      <c r="I165">
        <v>1</v>
      </c>
      <c r="J165">
        <v>1</v>
      </c>
      <c r="K165">
        <v>1</v>
      </c>
      <c r="L165">
        <v>56</v>
      </c>
      <c r="M165">
        <v>0</v>
      </c>
    </row>
    <row r="166" spans="1:13" x14ac:dyDescent="0.25">
      <c r="A166" t="s">
        <v>22</v>
      </c>
      <c r="B166">
        <v>1</v>
      </c>
      <c r="C166">
        <v>4</v>
      </c>
      <c r="D166">
        <v>1</v>
      </c>
      <c r="E166">
        <v>0</v>
      </c>
      <c r="F166">
        <v>0</v>
      </c>
      <c r="G166">
        <v>14.081300000000001</v>
      </c>
      <c r="H166">
        <v>160</v>
      </c>
      <c r="I166">
        <v>0</v>
      </c>
      <c r="J166">
        <v>0</v>
      </c>
      <c r="K166">
        <v>0</v>
      </c>
      <c r="L166">
        <v>49</v>
      </c>
      <c r="M166">
        <v>0</v>
      </c>
    </row>
    <row r="167" spans="1:13" x14ac:dyDescent="0.25">
      <c r="A167" t="s">
        <v>22</v>
      </c>
      <c r="B167">
        <v>2</v>
      </c>
      <c r="C167">
        <v>4</v>
      </c>
      <c r="D167">
        <v>1</v>
      </c>
      <c r="E167">
        <v>0</v>
      </c>
      <c r="F167">
        <v>0</v>
      </c>
      <c r="G167">
        <v>41.129390000000001</v>
      </c>
      <c r="H167">
        <v>320</v>
      </c>
      <c r="I167">
        <v>0</v>
      </c>
      <c r="J167">
        <v>2</v>
      </c>
      <c r="K167">
        <v>1</v>
      </c>
      <c r="L167">
        <v>39</v>
      </c>
      <c r="M167">
        <v>75</v>
      </c>
    </row>
    <row r="168" spans="1:13" x14ac:dyDescent="0.25">
      <c r="A168" t="s">
        <v>22</v>
      </c>
      <c r="B168">
        <v>0</v>
      </c>
      <c r="C168">
        <v>2</v>
      </c>
      <c r="D168">
        <v>0</v>
      </c>
      <c r="E168">
        <v>9</v>
      </c>
      <c r="F168">
        <v>18</v>
      </c>
      <c r="G168">
        <v>52.152709999999999</v>
      </c>
      <c r="H168">
        <v>240</v>
      </c>
      <c r="I168">
        <v>1</v>
      </c>
      <c r="J168">
        <v>1</v>
      </c>
      <c r="K168">
        <v>9</v>
      </c>
      <c r="L168">
        <v>29</v>
      </c>
      <c r="M168">
        <v>0</v>
      </c>
    </row>
    <row r="169" spans="1:13" x14ac:dyDescent="0.25">
      <c r="A169" t="s">
        <v>22</v>
      </c>
      <c r="B169">
        <v>1</v>
      </c>
      <c r="C169">
        <v>1</v>
      </c>
      <c r="D169">
        <v>0</v>
      </c>
      <c r="E169">
        <v>6</v>
      </c>
      <c r="F169">
        <v>20</v>
      </c>
      <c r="G169">
        <v>43.705199999999998</v>
      </c>
      <c r="H169">
        <v>320</v>
      </c>
      <c r="I169">
        <v>2</v>
      </c>
      <c r="J169">
        <v>2</v>
      </c>
      <c r="K169">
        <v>1</v>
      </c>
      <c r="L169">
        <v>11</v>
      </c>
      <c r="M169">
        <v>0</v>
      </c>
    </row>
    <row r="170" spans="1:13" x14ac:dyDescent="0.25">
      <c r="A170" t="s">
        <v>22</v>
      </c>
      <c r="B170">
        <v>2</v>
      </c>
      <c r="C170">
        <v>4</v>
      </c>
      <c r="D170">
        <v>1</v>
      </c>
      <c r="E170">
        <v>0</v>
      </c>
      <c r="F170">
        <v>110</v>
      </c>
      <c r="G170">
        <v>29.46509</v>
      </c>
      <c r="H170">
        <v>320</v>
      </c>
      <c r="I170">
        <v>1</v>
      </c>
      <c r="J170">
        <v>2</v>
      </c>
      <c r="K170">
        <v>2</v>
      </c>
      <c r="L170">
        <v>85</v>
      </c>
      <c r="M170">
        <v>1</v>
      </c>
    </row>
    <row r="171" spans="1:13" x14ac:dyDescent="0.25">
      <c r="A171" t="s">
        <v>22</v>
      </c>
      <c r="B171">
        <v>0</v>
      </c>
      <c r="C171">
        <v>1</v>
      </c>
      <c r="D171">
        <v>0</v>
      </c>
      <c r="E171">
        <v>0</v>
      </c>
      <c r="F171">
        <v>0</v>
      </c>
      <c r="G171">
        <v>38.978389999999997</v>
      </c>
      <c r="H171">
        <v>80</v>
      </c>
      <c r="I171">
        <v>1</v>
      </c>
      <c r="J171">
        <v>1</v>
      </c>
      <c r="K171">
        <v>2</v>
      </c>
      <c r="L171">
        <v>62</v>
      </c>
      <c r="M171">
        <v>0</v>
      </c>
    </row>
    <row r="172" spans="1:13" x14ac:dyDescent="0.25">
      <c r="A172" t="s">
        <v>22</v>
      </c>
      <c r="B172">
        <v>0</v>
      </c>
      <c r="C172">
        <v>4</v>
      </c>
      <c r="D172">
        <v>1</v>
      </c>
      <c r="E172">
        <v>0</v>
      </c>
      <c r="F172">
        <v>0</v>
      </c>
      <c r="G172">
        <v>18.891719999999999</v>
      </c>
      <c r="H172">
        <v>80</v>
      </c>
      <c r="I172">
        <v>0</v>
      </c>
      <c r="J172">
        <v>1</v>
      </c>
      <c r="K172">
        <v>0</v>
      </c>
      <c r="L172">
        <v>5</v>
      </c>
      <c r="M172">
        <v>5</v>
      </c>
    </row>
    <row r="173" spans="1:13" x14ac:dyDescent="0.25">
      <c r="A173" t="s">
        <v>23</v>
      </c>
      <c r="B173">
        <v>1</v>
      </c>
      <c r="C173">
        <v>2</v>
      </c>
      <c r="D173">
        <v>0</v>
      </c>
      <c r="E173">
        <v>3</v>
      </c>
      <c r="F173">
        <v>356</v>
      </c>
      <c r="G173">
        <v>144.07859999999999</v>
      </c>
      <c r="H173">
        <v>240</v>
      </c>
      <c r="I173">
        <v>1</v>
      </c>
      <c r="J173">
        <v>2</v>
      </c>
      <c r="K173">
        <v>2</v>
      </c>
      <c r="L173">
        <v>21</v>
      </c>
      <c r="M173">
        <v>18</v>
      </c>
    </row>
    <row r="174" spans="1:13" x14ac:dyDescent="0.25">
      <c r="A174" t="s">
        <v>23</v>
      </c>
      <c r="B174">
        <v>0</v>
      </c>
      <c r="C174">
        <v>1</v>
      </c>
      <c r="D174">
        <v>0</v>
      </c>
      <c r="E174">
        <v>0</v>
      </c>
      <c r="F174">
        <v>0</v>
      </c>
      <c r="G174">
        <v>45.416499999999999</v>
      </c>
      <c r="H174">
        <v>40</v>
      </c>
      <c r="I174">
        <v>1</v>
      </c>
      <c r="J174">
        <v>1</v>
      </c>
      <c r="K174">
        <v>1</v>
      </c>
      <c r="L174">
        <v>45</v>
      </c>
      <c r="M174">
        <v>0</v>
      </c>
    </row>
    <row r="175" spans="1:13" x14ac:dyDescent="0.25">
      <c r="A175" t="s">
        <v>23</v>
      </c>
      <c r="B175">
        <v>0</v>
      </c>
      <c r="C175">
        <v>3</v>
      </c>
      <c r="D175">
        <v>0</v>
      </c>
      <c r="E175">
        <v>0</v>
      </c>
      <c r="F175">
        <v>0</v>
      </c>
      <c r="G175">
        <v>69.224490000000003</v>
      </c>
      <c r="H175">
        <v>0</v>
      </c>
      <c r="I175">
        <v>1</v>
      </c>
      <c r="J175">
        <v>1</v>
      </c>
      <c r="K175">
        <v>0</v>
      </c>
      <c r="L175">
        <v>63</v>
      </c>
      <c r="M175">
        <v>0</v>
      </c>
    </row>
    <row r="176" spans="1:13" x14ac:dyDescent="0.25">
      <c r="A176" t="s">
        <v>23</v>
      </c>
      <c r="B176">
        <v>0</v>
      </c>
      <c r="C176">
        <v>1</v>
      </c>
      <c r="D176">
        <v>0</v>
      </c>
      <c r="E176">
        <v>0</v>
      </c>
      <c r="F176">
        <v>55</v>
      </c>
      <c r="G176">
        <v>4962695</v>
      </c>
      <c r="H176">
        <v>160</v>
      </c>
      <c r="I176">
        <v>3</v>
      </c>
      <c r="J176">
        <v>1</v>
      </c>
      <c r="K176">
        <v>4</v>
      </c>
      <c r="L176">
        <v>107</v>
      </c>
      <c r="M176">
        <v>0</v>
      </c>
    </row>
    <row r="177" spans="1:13" x14ac:dyDescent="0.25">
      <c r="A177" t="s">
        <v>23</v>
      </c>
      <c r="B177">
        <v>1</v>
      </c>
      <c r="C177">
        <v>2</v>
      </c>
      <c r="D177">
        <v>0</v>
      </c>
      <c r="E177">
        <v>0</v>
      </c>
      <c r="F177">
        <v>0</v>
      </c>
      <c r="G177">
        <v>176.8579</v>
      </c>
      <c r="H177">
        <v>600</v>
      </c>
      <c r="I177">
        <v>0</v>
      </c>
      <c r="J177">
        <v>2</v>
      </c>
      <c r="K177">
        <v>10</v>
      </c>
      <c r="L177">
        <v>47</v>
      </c>
      <c r="M177">
        <v>0</v>
      </c>
    </row>
    <row r="178" spans="1:13" x14ac:dyDescent="0.25">
      <c r="A178" t="s">
        <v>23</v>
      </c>
      <c r="B178">
        <v>0</v>
      </c>
      <c r="C178">
        <v>3</v>
      </c>
      <c r="D178">
        <v>1</v>
      </c>
      <c r="E178">
        <v>0</v>
      </c>
      <c r="F178">
        <v>0</v>
      </c>
      <c r="G178">
        <v>0.2260742</v>
      </c>
      <c r="H178">
        <v>0</v>
      </c>
      <c r="I178">
        <v>0</v>
      </c>
      <c r="J178">
        <v>0</v>
      </c>
      <c r="K178">
        <v>0</v>
      </c>
      <c r="L178">
        <v>0</v>
      </c>
      <c r="M178">
        <v>0</v>
      </c>
    </row>
    <row r="179" spans="1:13" x14ac:dyDescent="0.25">
      <c r="A179" t="s">
        <v>23</v>
      </c>
      <c r="B179">
        <v>0</v>
      </c>
      <c r="C179">
        <v>1</v>
      </c>
      <c r="D179">
        <v>0</v>
      </c>
      <c r="E179">
        <v>0</v>
      </c>
      <c r="F179">
        <v>0</v>
      </c>
      <c r="G179">
        <v>145.39449999999999</v>
      </c>
      <c r="H179">
        <v>200</v>
      </c>
      <c r="I179">
        <v>0</v>
      </c>
      <c r="J179">
        <v>1</v>
      </c>
      <c r="K179">
        <v>5</v>
      </c>
      <c r="L179">
        <v>35</v>
      </c>
      <c r="M179">
        <v>0</v>
      </c>
    </row>
    <row r="180" spans="1:13" x14ac:dyDescent="0.25">
      <c r="A180" t="s">
        <v>23</v>
      </c>
      <c r="B180">
        <v>0</v>
      </c>
      <c r="C180">
        <v>1</v>
      </c>
      <c r="D180">
        <v>0</v>
      </c>
      <c r="E180">
        <v>0</v>
      </c>
      <c r="F180">
        <v>0</v>
      </c>
      <c r="G180">
        <v>41.94641</v>
      </c>
      <c r="H180">
        <v>80</v>
      </c>
      <c r="I180">
        <v>1</v>
      </c>
      <c r="J180">
        <v>1</v>
      </c>
      <c r="K180">
        <v>1</v>
      </c>
      <c r="L180">
        <v>14</v>
      </c>
      <c r="M180">
        <v>0</v>
      </c>
    </row>
    <row r="181" spans="1:13" x14ac:dyDescent="0.25">
      <c r="A181" t="s">
        <v>23</v>
      </c>
      <c r="B181">
        <v>1</v>
      </c>
      <c r="C181">
        <v>3</v>
      </c>
      <c r="D181">
        <v>1</v>
      </c>
      <c r="E181">
        <v>0</v>
      </c>
      <c r="F181">
        <v>0</v>
      </c>
      <c r="G181">
        <v>25.078489999999999</v>
      </c>
      <c r="H181">
        <v>120</v>
      </c>
      <c r="I181">
        <v>0</v>
      </c>
      <c r="J181">
        <v>0</v>
      </c>
      <c r="K181">
        <v>0</v>
      </c>
      <c r="L181">
        <v>77</v>
      </c>
      <c r="M181">
        <v>0</v>
      </c>
    </row>
    <row r="182" spans="1:13" x14ac:dyDescent="0.25">
      <c r="A182" t="s">
        <v>23</v>
      </c>
      <c r="B182">
        <v>1</v>
      </c>
      <c r="C182">
        <v>1</v>
      </c>
      <c r="D182">
        <v>0</v>
      </c>
      <c r="E182">
        <v>1</v>
      </c>
      <c r="F182">
        <v>6</v>
      </c>
      <c r="G182">
        <v>1205186</v>
      </c>
      <c r="H182">
        <v>360</v>
      </c>
      <c r="I182">
        <v>0</v>
      </c>
      <c r="J182">
        <v>2</v>
      </c>
      <c r="K182">
        <v>4</v>
      </c>
      <c r="L182">
        <v>209</v>
      </c>
      <c r="M182">
        <v>2</v>
      </c>
    </row>
    <row r="183" spans="1:13" x14ac:dyDescent="0.25">
      <c r="A183" t="s">
        <v>23</v>
      </c>
      <c r="B183">
        <v>0</v>
      </c>
      <c r="C183">
        <v>2</v>
      </c>
      <c r="D183">
        <v>0</v>
      </c>
      <c r="E183">
        <v>0</v>
      </c>
      <c r="F183">
        <v>0</v>
      </c>
      <c r="G183">
        <v>57.421390000000002</v>
      </c>
      <c r="H183">
        <v>160</v>
      </c>
      <c r="I183">
        <v>0</v>
      </c>
      <c r="J183">
        <v>1</v>
      </c>
      <c r="K183">
        <v>3</v>
      </c>
      <c r="L183">
        <v>110</v>
      </c>
      <c r="M183">
        <v>0</v>
      </c>
    </row>
    <row r="184" spans="1:13" x14ac:dyDescent="0.25">
      <c r="A184" t="s">
        <v>23</v>
      </c>
      <c r="B184">
        <v>0</v>
      </c>
      <c r="C184">
        <v>1</v>
      </c>
      <c r="D184">
        <v>0</v>
      </c>
      <c r="E184">
        <v>0</v>
      </c>
      <c r="F184">
        <v>0</v>
      </c>
      <c r="G184">
        <v>32.633420000000001</v>
      </c>
      <c r="H184">
        <v>0</v>
      </c>
      <c r="I184">
        <v>1</v>
      </c>
      <c r="J184">
        <v>1</v>
      </c>
      <c r="K184">
        <v>0</v>
      </c>
      <c r="L184">
        <v>50</v>
      </c>
      <c r="M184">
        <v>0</v>
      </c>
    </row>
    <row r="185" spans="1:13" x14ac:dyDescent="0.25">
      <c r="A185" t="s">
        <v>23</v>
      </c>
      <c r="B185">
        <v>1</v>
      </c>
      <c r="C185">
        <v>2</v>
      </c>
      <c r="D185">
        <v>1</v>
      </c>
      <c r="E185">
        <v>0</v>
      </c>
      <c r="F185">
        <v>0</v>
      </c>
      <c r="G185">
        <v>33.224850000000004</v>
      </c>
      <c r="H185">
        <v>120</v>
      </c>
      <c r="I185">
        <v>0</v>
      </c>
      <c r="J185">
        <v>0</v>
      </c>
      <c r="K185">
        <v>0</v>
      </c>
      <c r="L185">
        <v>116</v>
      </c>
      <c r="M185">
        <v>0</v>
      </c>
    </row>
    <row r="186" spans="1:13" x14ac:dyDescent="0.25">
      <c r="A186" t="s">
        <v>23</v>
      </c>
      <c r="B186">
        <v>0</v>
      </c>
      <c r="C186">
        <v>1</v>
      </c>
      <c r="D186">
        <v>0</v>
      </c>
      <c r="E186">
        <v>0</v>
      </c>
      <c r="F186">
        <v>0</v>
      </c>
      <c r="G186">
        <v>86.384280000000004</v>
      </c>
      <c r="H186">
        <v>80</v>
      </c>
      <c r="I186">
        <v>0</v>
      </c>
      <c r="J186">
        <v>1</v>
      </c>
      <c r="K186">
        <v>1</v>
      </c>
      <c r="L186">
        <v>68</v>
      </c>
      <c r="M186">
        <v>166</v>
      </c>
    </row>
    <row r="187" spans="1:13" x14ac:dyDescent="0.25">
      <c r="A187" t="s">
        <v>23</v>
      </c>
      <c r="B187">
        <v>0</v>
      </c>
      <c r="C187">
        <v>1</v>
      </c>
      <c r="D187">
        <v>0</v>
      </c>
      <c r="E187">
        <v>10</v>
      </c>
      <c r="F187">
        <v>24</v>
      </c>
      <c r="G187">
        <v>64.56335</v>
      </c>
      <c r="H187">
        <v>80</v>
      </c>
      <c r="I187">
        <v>1</v>
      </c>
      <c r="J187">
        <v>1</v>
      </c>
      <c r="K187">
        <v>4</v>
      </c>
      <c r="L187">
        <v>15</v>
      </c>
      <c r="M187">
        <v>0</v>
      </c>
    </row>
    <row r="188" spans="1:13" x14ac:dyDescent="0.25">
      <c r="A188" t="s">
        <v>23</v>
      </c>
      <c r="B188">
        <v>0</v>
      </c>
      <c r="C188">
        <v>1</v>
      </c>
      <c r="D188">
        <v>0</v>
      </c>
      <c r="E188">
        <v>0</v>
      </c>
      <c r="F188">
        <v>0</v>
      </c>
      <c r="G188">
        <v>93.413210000000007</v>
      </c>
      <c r="H188">
        <v>80</v>
      </c>
      <c r="I188">
        <v>1</v>
      </c>
      <c r="J188">
        <v>2</v>
      </c>
      <c r="K188">
        <v>2</v>
      </c>
      <c r="L188">
        <v>11</v>
      </c>
      <c r="M188">
        <v>0</v>
      </c>
    </row>
    <row r="189" spans="1:13" x14ac:dyDescent="0.25">
      <c r="A189" t="s">
        <v>23</v>
      </c>
      <c r="B189">
        <v>2</v>
      </c>
      <c r="C189">
        <v>1</v>
      </c>
      <c r="D189">
        <v>0</v>
      </c>
      <c r="E189">
        <v>15</v>
      </c>
      <c r="F189">
        <v>177</v>
      </c>
      <c r="G189">
        <v>93.080200000000005</v>
      </c>
      <c r="H189">
        <v>320</v>
      </c>
      <c r="I189">
        <v>4</v>
      </c>
      <c r="J189">
        <v>4</v>
      </c>
      <c r="K189">
        <v>3</v>
      </c>
      <c r="L189">
        <v>281</v>
      </c>
      <c r="M189">
        <v>8</v>
      </c>
    </row>
    <row r="190" spans="1:13" x14ac:dyDescent="0.25">
      <c r="A190" t="s">
        <v>23</v>
      </c>
      <c r="B190">
        <v>0</v>
      </c>
      <c r="C190">
        <v>1</v>
      </c>
      <c r="D190">
        <v>0</v>
      </c>
      <c r="E190">
        <v>1</v>
      </c>
      <c r="F190">
        <v>5</v>
      </c>
      <c r="G190">
        <v>37.034300000000002</v>
      </c>
      <c r="H190">
        <v>0</v>
      </c>
      <c r="I190">
        <v>1</v>
      </c>
      <c r="J190">
        <v>1</v>
      </c>
      <c r="K190">
        <v>0</v>
      </c>
      <c r="L190">
        <v>32</v>
      </c>
      <c r="M190">
        <v>5</v>
      </c>
    </row>
    <row r="191" spans="1:13" x14ac:dyDescent="0.25">
      <c r="A191" t="s">
        <v>23</v>
      </c>
      <c r="B191">
        <v>1</v>
      </c>
      <c r="C191">
        <v>3</v>
      </c>
      <c r="D191">
        <v>1</v>
      </c>
      <c r="E191">
        <v>0</v>
      </c>
      <c r="F191">
        <v>0</v>
      </c>
      <c r="G191">
        <v>53.104370000000003</v>
      </c>
      <c r="H191">
        <v>120</v>
      </c>
      <c r="I191">
        <v>0</v>
      </c>
      <c r="J191">
        <v>1</v>
      </c>
      <c r="K191">
        <v>0</v>
      </c>
      <c r="L191">
        <v>50</v>
      </c>
      <c r="M191">
        <v>5</v>
      </c>
    </row>
    <row r="192" spans="1:13" x14ac:dyDescent="0.25">
      <c r="A192" t="s">
        <v>24</v>
      </c>
      <c r="B192">
        <v>3</v>
      </c>
      <c r="C192">
        <v>2</v>
      </c>
      <c r="D192">
        <v>1</v>
      </c>
      <c r="E192">
        <v>2</v>
      </c>
      <c r="F192">
        <v>1964</v>
      </c>
      <c r="G192">
        <v>190.98050000000001</v>
      </c>
      <c r="H192">
        <v>760</v>
      </c>
      <c r="I192">
        <v>2</v>
      </c>
      <c r="J192">
        <v>3</v>
      </c>
      <c r="K192">
        <v>9</v>
      </c>
      <c r="L192">
        <v>39</v>
      </c>
      <c r="M192">
        <v>47</v>
      </c>
    </row>
    <row r="193" spans="1:13" x14ac:dyDescent="0.25">
      <c r="A193" t="s">
        <v>24</v>
      </c>
      <c r="B193">
        <v>1</v>
      </c>
      <c r="C193">
        <v>1</v>
      </c>
      <c r="D193">
        <v>0</v>
      </c>
      <c r="E193">
        <v>0</v>
      </c>
      <c r="F193">
        <v>0</v>
      </c>
      <c r="G193">
        <v>76.104249999999993</v>
      </c>
      <c r="H193">
        <v>360</v>
      </c>
      <c r="I193">
        <v>2</v>
      </c>
      <c r="J193">
        <v>2</v>
      </c>
      <c r="K193">
        <v>8</v>
      </c>
      <c r="L193">
        <v>76</v>
      </c>
      <c r="M193">
        <v>0</v>
      </c>
    </row>
    <row r="194" spans="1:13" x14ac:dyDescent="0.25">
      <c r="A194" t="s">
        <v>24</v>
      </c>
      <c r="B194">
        <v>2</v>
      </c>
      <c r="C194">
        <v>1</v>
      </c>
      <c r="D194">
        <v>0</v>
      </c>
      <c r="E194">
        <v>0</v>
      </c>
      <c r="F194">
        <v>0</v>
      </c>
      <c r="G194">
        <v>72.783810000000003</v>
      </c>
      <c r="H194">
        <v>360</v>
      </c>
      <c r="I194">
        <v>3</v>
      </c>
      <c r="J194">
        <v>3</v>
      </c>
      <c r="K194">
        <v>3</v>
      </c>
      <c r="L194">
        <v>113</v>
      </c>
      <c r="M194">
        <v>0</v>
      </c>
    </row>
    <row r="195" spans="1:13" x14ac:dyDescent="0.25">
      <c r="A195" t="s">
        <v>24</v>
      </c>
      <c r="B195">
        <v>0</v>
      </c>
      <c r="C195">
        <v>2</v>
      </c>
      <c r="D195">
        <v>0</v>
      </c>
      <c r="E195">
        <v>2</v>
      </c>
      <c r="F195">
        <v>70</v>
      </c>
      <c r="G195">
        <v>4775562</v>
      </c>
      <c r="H195">
        <v>280</v>
      </c>
      <c r="I195">
        <v>1</v>
      </c>
      <c r="J195">
        <v>1</v>
      </c>
      <c r="K195">
        <v>7</v>
      </c>
      <c r="L195">
        <v>79</v>
      </c>
      <c r="M195">
        <v>0</v>
      </c>
    </row>
    <row r="196" spans="1:13" x14ac:dyDescent="0.25">
      <c r="A196" t="s">
        <v>24</v>
      </c>
      <c r="B196">
        <v>3</v>
      </c>
      <c r="C196">
        <v>4</v>
      </c>
      <c r="D196">
        <v>1</v>
      </c>
      <c r="E196">
        <v>0</v>
      </c>
      <c r="F196">
        <v>0</v>
      </c>
      <c r="G196">
        <v>39.94312</v>
      </c>
      <c r="H196">
        <v>360</v>
      </c>
      <c r="I196">
        <v>0</v>
      </c>
      <c r="J196">
        <v>4</v>
      </c>
      <c r="K196">
        <v>1</v>
      </c>
      <c r="L196">
        <v>11</v>
      </c>
      <c r="M196">
        <v>1</v>
      </c>
    </row>
    <row r="197" spans="1:13" x14ac:dyDescent="0.25">
      <c r="A197" t="s">
        <v>24</v>
      </c>
      <c r="B197">
        <v>0</v>
      </c>
      <c r="C197">
        <v>2</v>
      </c>
      <c r="D197">
        <v>1</v>
      </c>
      <c r="E197">
        <v>0</v>
      </c>
      <c r="F197">
        <v>0</v>
      </c>
      <c r="G197">
        <v>0.1198254</v>
      </c>
      <c r="H197">
        <v>0</v>
      </c>
      <c r="I197">
        <v>0</v>
      </c>
      <c r="J197">
        <v>0</v>
      </c>
      <c r="K197">
        <v>0</v>
      </c>
      <c r="L197">
        <v>0</v>
      </c>
      <c r="M197">
        <v>0</v>
      </c>
    </row>
    <row r="198" spans="1:13" x14ac:dyDescent="0.25">
      <c r="A198" t="s">
        <v>24</v>
      </c>
      <c r="B198">
        <v>7</v>
      </c>
      <c r="C198">
        <v>4</v>
      </c>
      <c r="D198">
        <v>1</v>
      </c>
      <c r="E198">
        <v>0</v>
      </c>
      <c r="F198">
        <v>0</v>
      </c>
      <c r="G198">
        <v>148.1123</v>
      </c>
      <c r="H198">
        <v>1080</v>
      </c>
      <c r="I198">
        <v>0</v>
      </c>
      <c r="J198">
        <v>7</v>
      </c>
      <c r="K198">
        <v>8</v>
      </c>
      <c r="L198">
        <v>37</v>
      </c>
      <c r="M198">
        <v>0</v>
      </c>
    </row>
    <row r="199" spans="1:13" x14ac:dyDescent="0.25">
      <c r="A199" t="s">
        <v>24</v>
      </c>
      <c r="B199">
        <v>0</v>
      </c>
      <c r="C199">
        <v>1</v>
      </c>
      <c r="D199">
        <v>0</v>
      </c>
      <c r="E199">
        <v>0</v>
      </c>
      <c r="F199">
        <v>0</v>
      </c>
      <c r="G199">
        <v>80.524780000000007</v>
      </c>
      <c r="H199">
        <v>200</v>
      </c>
      <c r="I199">
        <v>0</v>
      </c>
      <c r="J199">
        <v>1</v>
      </c>
      <c r="K199">
        <v>3</v>
      </c>
      <c r="L199">
        <v>23</v>
      </c>
      <c r="M199">
        <v>24</v>
      </c>
    </row>
    <row r="200" spans="1:13" x14ac:dyDescent="0.25">
      <c r="A200" t="s">
        <v>24</v>
      </c>
      <c r="B200">
        <v>1</v>
      </c>
      <c r="C200">
        <v>2</v>
      </c>
      <c r="D200">
        <v>1</v>
      </c>
      <c r="E200">
        <v>0</v>
      </c>
      <c r="F200">
        <v>0</v>
      </c>
      <c r="G200">
        <v>25.437010000000001</v>
      </c>
      <c r="H200">
        <v>120</v>
      </c>
      <c r="I200">
        <v>0</v>
      </c>
      <c r="J200">
        <v>1</v>
      </c>
      <c r="K200">
        <v>0</v>
      </c>
      <c r="L200">
        <v>14</v>
      </c>
      <c r="M200">
        <v>0</v>
      </c>
    </row>
    <row r="201" spans="1:13" x14ac:dyDescent="0.25">
      <c r="A201" t="s">
        <v>24</v>
      </c>
      <c r="B201">
        <v>3</v>
      </c>
      <c r="C201">
        <v>2</v>
      </c>
      <c r="D201">
        <v>0</v>
      </c>
      <c r="E201">
        <v>11</v>
      </c>
      <c r="F201">
        <v>32</v>
      </c>
      <c r="G201">
        <v>1245156</v>
      </c>
      <c r="H201">
        <v>680</v>
      </c>
      <c r="I201">
        <v>4</v>
      </c>
      <c r="J201">
        <v>4</v>
      </c>
      <c r="K201">
        <v>4</v>
      </c>
      <c r="L201">
        <v>101</v>
      </c>
      <c r="M201">
        <v>11</v>
      </c>
    </row>
    <row r="202" spans="1:13" x14ac:dyDescent="0.25">
      <c r="A202" t="s">
        <v>24</v>
      </c>
      <c r="B202">
        <v>2</v>
      </c>
      <c r="C202">
        <v>2</v>
      </c>
      <c r="D202">
        <v>1</v>
      </c>
      <c r="E202">
        <v>3</v>
      </c>
      <c r="F202">
        <v>57</v>
      </c>
      <c r="G202">
        <v>53.384520000000002</v>
      </c>
      <c r="H202">
        <v>360</v>
      </c>
      <c r="I202">
        <v>0</v>
      </c>
      <c r="J202">
        <v>2</v>
      </c>
      <c r="K202">
        <v>4</v>
      </c>
      <c r="L202">
        <v>96</v>
      </c>
      <c r="M202">
        <v>0</v>
      </c>
    </row>
    <row r="203" spans="1:13" x14ac:dyDescent="0.25">
      <c r="A203" t="s">
        <v>24</v>
      </c>
      <c r="B203">
        <v>2</v>
      </c>
      <c r="C203">
        <v>2</v>
      </c>
      <c r="D203">
        <v>0</v>
      </c>
      <c r="E203">
        <v>10</v>
      </c>
      <c r="F203">
        <v>115</v>
      </c>
      <c r="G203">
        <v>85.208740000000006</v>
      </c>
      <c r="H203">
        <v>560</v>
      </c>
      <c r="I203">
        <v>3</v>
      </c>
      <c r="J203">
        <v>3</v>
      </c>
      <c r="K203">
        <v>7</v>
      </c>
      <c r="L203">
        <v>144</v>
      </c>
      <c r="M203">
        <v>0</v>
      </c>
    </row>
    <row r="204" spans="1:13" x14ac:dyDescent="0.25">
      <c r="A204" t="s">
        <v>24</v>
      </c>
      <c r="B204">
        <v>1</v>
      </c>
      <c r="C204">
        <v>2</v>
      </c>
      <c r="D204">
        <v>1</v>
      </c>
      <c r="E204">
        <v>0</v>
      </c>
      <c r="F204">
        <v>0</v>
      </c>
      <c r="G204">
        <v>15.097659999999999</v>
      </c>
      <c r="H204">
        <v>120</v>
      </c>
      <c r="I204">
        <v>0</v>
      </c>
      <c r="J204">
        <v>0</v>
      </c>
      <c r="K204">
        <v>0</v>
      </c>
      <c r="L204">
        <v>52</v>
      </c>
      <c r="M204">
        <v>0</v>
      </c>
    </row>
    <row r="205" spans="1:13" x14ac:dyDescent="0.25">
      <c r="A205" t="s">
        <v>24</v>
      </c>
      <c r="B205">
        <v>1</v>
      </c>
      <c r="C205">
        <v>3</v>
      </c>
      <c r="D205">
        <v>1</v>
      </c>
      <c r="E205">
        <v>1</v>
      </c>
      <c r="F205">
        <v>32</v>
      </c>
      <c r="G205">
        <v>50.173340000000003</v>
      </c>
      <c r="H205">
        <v>200</v>
      </c>
      <c r="I205">
        <v>0</v>
      </c>
      <c r="J205">
        <v>2</v>
      </c>
      <c r="K205">
        <v>1</v>
      </c>
      <c r="L205">
        <v>78</v>
      </c>
      <c r="M205">
        <v>73</v>
      </c>
    </row>
    <row r="206" spans="1:13" x14ac:dyDescent="0.25">
      <c r="A206" t="s">
        <v>24</v>
      </c>
      <c r="B206">
        <v>0</v>
      </c>
      <c r="C206">
        <v>2</v>
      </c>
      <c r="D206">
        <v>0</v>
      </c>
      <c r="E206">
        <v>11</v>
      </c>
      <c r="F206">
        <v>19</v>
      </c>
      <c r="G206">
        <v>56.6449</v>
      </c>
      <c r="H206">
        <v>240</v>
      </c>
      <c r="I206">
        <v>3</v>
      </c>
      <c r="J206">
        <v>1</v>
      </c>
      <c r="K206">
        <v>4</v>
      </c>
      <c r="L206">
        <v>17</v>
      </c>
      <c r="M206">
        <v>0</v>
      </c>
    </row>
    <row r="207" spans="1:13" x14ac:dyDescent="0.25">
      <c r="A207" t="s">
        <v>24</v>
      </c>
      <c r="B207">
        <v>2</v>
      </c>
      <c r="C207">
        <v>2</v>
      </c>
      <c r="D207">
        <v>0</v>
      </c>
      <c r="E207">
        <v>7</v>
      </c>
      <c r="F207">
        <v>27</v>
      </c>
      <c r="G207">
        <v>82.938720000000004</v>
      </c>
      <c r="H207">
        <v>520</v>
      </c>
      <c r="I207">
        <v>3</v>
      </c>
      <c r="J207">
        <v>3</v>
      </c>
      <c r="K207">
        <v>6</v>
      </c>
      <c r="L207">
        <v>23</v>
      </c>
      <c r="M207">
        <v>0</v>
      </c>
    </row>
    <row r="208" spans="1:13" x14ac:dyDescent="0.25">
      <c r="A208" t="s">
        <v>24</v>
      </c>
      <c r="B208">
        <v>0</v>
      </c>
      <c r="C208">
        <v>1</v>
      </c>
      <c r="D208">
        <v>0</v>
      </c>
      <c r="E208">
        <v>0</v>
      </c>
      <c r="F208">
        <v>0</v>
      </c>
      <c r="G208">
        <v>35.019170000000003</v>
      </c>
      <c r="H208">
        <v>160</v>
      </c>
      <c r="I208">
        <v>1</v>
      </c>
      <c r="J208">
        <v>1</v>
      </c>
      <c r="K208">
        <v>3</v>
      </c>
      <c r="L208">
        <v>137</v>
      </c>
      <c r="M208">
        <v>0</v>
      </c>
    </row>
    <row r="209" spans="1:13" x14ac:dyDescent="0.25">
      <c r="A209" t="s">
        <v>24</v>
      </c>
      <c r="B209">
        <v>2</v>
      </c>
      <c r="C209">
        <v>3</v>
      </c>
      <c r="D209">
        <v>0</v>
      </c>
      <c r="E209">
        <v>0</v>
      </c>
      <c r="F209">
        <v>0</v>
      </c>
      <c r="G209">
        <v>98.73657</v>
      </c>
      <c r="H209">
        <v>720</v>
      </c>
      <c r="I209">
        <v>3</v>
      </c>
      <c r="J209">
        <v>3</v>
      </c>
      <c r="K209">
        <v>15</v>
      </c>
      <c r="L209">
        <v>145</v>
      </c>
      <c r="M209">
        <v>2</v>
      </c>
    </row>
    <row r="210" spans="1:13" x14ac:dyDescent="0.25">
      <c r="A210" t="s">
        <v>24</v>
      </c>
      <c r="B210">
        <v>1</v>
      </c>
      <c r="C210">
        <v>3</v>
      </c>
      <c r="D210">
        <v>1</v>
      </c>
      <c r="E210">
        <v>0</v>
      </c>
      <c r="F210">
        <v>0</v>
      </c>
      <c r="G210">
        <v>24.749389999999998</v>
      </c>
      <c r="H210">
        <v>120</v>
      </c>
      <c r="I210">
        <v>0</v>
      </c>
      <c r="J210">
        <v>1</v>
      </c>
      <c r="K210">
        <v>0</v>
      </c>
      <c r="L210">
        <v>41</v>
      </c>
      <c r="M210">
        <v>2</v>
      </c>
    </row>
    <row r="211" spans="1:13" x14ac:dyDescent="0.25">
      <c r="A211" t="s">
        <v>25</v>
      </c>
      <c r="B211">
        <v>6</v>
      </c>
      <c r="C211">
        <v>3</v>
      </c>
      <c r="D211">
        <v>0</v>
      </c>
      <c r="E211">
        <v>29</v>
      </c>
      <c r="F211">
        <v>1258</v>
      </c>
      <c r="G211">
        <v>343.72250000000003</v>
      </c>
      <c r="H211">
        <v>960</v>
      </c>
      <c r="I211">
        <v>16</v>
      </c>
      <c r="J211">
        <v>7</v>
      </c>
      <c r="K211">
        <v>9</v>
      </c>
      <c r="L211">
        <v>151</v>
      </c>
      <c r="M211">
        <v>28</v>
      </c>
    </row>
    <row r="212" spans="1:13" x14ac:dyDescent="0.25">
      <c r="A212" t="s">
        <v>25</v>
      </c>
      <c r="B212">
        <v>6</v>
      </c>
      <c r="C212">
        <v>1</v>
      </c>
      <c r="D212">
        <v>0</v>
      </c>
      <c r="E212">
        <v>13</v>
      </c>
      <c r="F212">
        <v>179</v>
      </c>
      <c r="G212">
        <v>140.756</v>
      </c>
      <c r="H212">
        <v>640</v>
      </c>
      <c r="I212">
        <v>0</v>
      </c>
      <c r="J212">
        <v>7</v>
      </c>
      <c r="K212">
        <v>2</v>
      </c>
      <c r="L212">
        <v>164</v>
      </c>
      <c r="M212">
        <v>84</v>
      </c>
    </row>
    <row r="213" spans="1:13" x14ac:dyDescent="0.25">
      <c r="A213" t="s">
        <v>25</v>
      </c>
      <c r="B213">
        <v>1</v>
      </c>
      <c r="C213">
        <v>1</v>
      </c>
      <c r="D213">
        <v>1</v>
      </c>
      <c r="E213">
        <v>0</v>
      </c>
      <c r="F213">
        <v>0</v>
      </c>
      <c r="G213">
        <v>33.208620000000003</v>
      </c>
      <c r="H213">
        <v>120</v>
      </c>
      <c r="I213">
        <v>1</v>
      </c>
      <c r="J213">
        <v>1</v>
      </c>
      <c r="K213">
        <v>3</v>
      </c>
      <c r="L213">
        <v>40</v>
      </c>
      <c r="M213">
        <v>0</v>
      </c>
    </row>
    <row r="214" spans="1:13" x14ac:dyDescent="0.25">
      <c r="A214" t="s">
        <v>25</v>
      </c>
      <c r="B214">
        <v>1</v>
      </c>
      <c r="C214">
        <v>1</v>
      </c>
      <c r="D214">
        <v>0</v>
      </c>
      <c r="E214">
        <v>8</v>
      </c>
      <c r="F214">
        <v>62</v>
      </c>
      <c r="G214">
        <v>1146423</v>
      </c>
      <c r="H214">
        <v>240</v>
      </c>
      <c r="I214">
        <v>0</v>
      </c>
      <c r="J214">
        <v>2</v>
      </c>
      <c r="K214">
        <v>7</v>
      </c>
      <c r="L214">
        <v>142</v>
      </c>
      <c r="M214">
        <v>1</v>
      </c>
    </row>
    <row r="215" spans="1:13" x14ac:dyDescent="0.25">
      <c r="A215" t="s">
        <v>25</v>
      </c>
      <c r="B215">
        <v>2</v>
      </c>
      <c r="C215">
        <v>4</v>
      </c>
      <c r="D215">
        <v>1</v>
      </c>
      <c r="E215">
        <v>0</v>
      </c>
      <c r="F215">
        <v>0</v>
      </c>
      <c r="G215">
        <v>81.0976</v>
      </c>
      <c r="H215">
        <v>240</v>
      </c>
      <c r="I215">
        <v>0</v>
      </c>
      <c r="J215">
        <v>2</v>
      </c>
      <c r="K215">
        <v>2</v>
      </c>
      <c r="L215">
        <v>17</v>
      </c>
      <c r="M215">
        <v>1</v>
      </c>
    </row>
    <row r="216" spans="1:13" x14ac:dyDescent="0.25">
      <c r="A216" t="s">
        <v>25</v>
      </c>
      <c r="B216">
        <v>0</v>
      </c>
      <c r="C216">
        <v>2</v>
      </c>
      <c r="D216">
        <v>1</v>
      </c>
      <c r="E216">
        <v>0</v>
      </c>
      <c r="F216">
        <v>0</v>
      </c>
      <c r="G216">
        <v>0.3234668</v>
      </c>
      <c r="H216">
        <v>0</v>
      </c>
      <c r="I216">
        <v>0</v>
      </c>
      <c r="J216">
        <v>0</v>
      </c>
      <c r="K216">
        <v>0</v>
      </c>
      <c r="L216">
        <v>0</v>
      </c>
      <c r="M216">
        <v>0</v>
      </c>
    </row>
    <row r="217" spans="1:13" x14ac:dyDescent="0.25">
      <c r="A217" t="s">
        <v>25</v>
      </c>
      <c r="B217">
        <v>8</v>
      </c>
      <c r="C217">
        <v>3</v>
      </c>
      <c r="D217">
        <v>1</v>
      </c>
      <c r="E217">
        <v>0</v>
      </c>
      <c r="F217">
        <v>0</v>
      </c>
      <c r="G217">
        <v>259.06099999999998</v>
      </c>
      <c r="H217">
        <v>760</v>
      </c>
      <c r="I217">
        <v>0</v>
      </c>
      <c r="J217">
        <v>8</v>
      </c>
      <c r="K217">
        <v>4</v>
      </c>
      <c r="L217">
        <v>80</v>
      </c>
      <c r="M217">
        <v>0</v>
      </c>
    </row>
    <row r="218" spans="1:13" x14ac:dyDescent="0.25">
      <c r="A218" t="s">
        <v>25</v>
      </c>
      <c r="B218">
        <v>0</v>
      </c>
      <c r="C218">
        <v>2</v>
      </c>
      <c r="D218">
        <v>0</v>
      </c>
      <c r="E218">
        <v>1</v>
      </c>
      <c r="F218">
        <v>31</v>
      </c>
      <c r="G218">
        <v>41.856760000000001</v>
      </c>
      <c r="H218">
        <v>120</v>
      </c>
      <c r="I218">
        <v>1</v>
      </c>
      <c r="J218">
        <v>1</v>
      </c>
      <c r="K218">
        <v>3</v>
      </c>
      <c r="L218">
        <v>12</v>
      </c>
      <c r="M218">
        <v>0</v>
      </c>
    </row>
    <row r="219" spans="1:13" x14ac:dyDescent="0.25">
      <c r="A219" t="s">
        <v>25</v>
      </c>
      <c r="B219">
        <v>9</v>
      </c>
      <c r="C219">
        <v>3</v>
      </c>
      <c r="D219">
        <v>1</v>
      </c>
      <c r="E219">
        <v>0</v>
      </c>
      <c r="F219">
        <v>0</v>
      </c>
      <c r="G219">
        <v>223.96360000000001</v>
      </c>
      <c r="H219">
        <v>720</v>
      </c>
      <c r="I219">
        <v>0</v>
      </c>
      <c r="J219">
        <v>9</v>
      </c>
      <c r="K219">
        <v>0</v>
      </c>
      <c r="L219">
        <v>519</v>
      </c>
      <c r="M219">
        <v>31</v>
      </c>
    </row>
    <row r="220" spans="1:13" x14ac:dyDescent="0.25">
      <c r="A220" t="s">
        <v>25</v>
      </c>
      <c r="B220">
        <v>29</v>
      </c>
      <c r="C220">
        <v>4</v>
      </c>
      <c r="D220">
        <v>0</v>
      </c>
      <c r="E220">
        <v>101</v>
      </c>
      <c r="F220">
        <v>521</v>
      </c>
      <c r="G220">
        <v>9481892</v>
      </c>
      <c r="H220">
        <v>3280</v>
      </c>
      <c r="I220">
        <v>0</v>
      </c>
      <c r="J220">
        <v>29</v>
      </c>
      <c r="K220">
        <v>27</v>
      </c>
      <c r="L220">
        <v>711</v>
      </c>
      <c r="M220">
        <v>3</v>
      </c>
    </row>
    <row r="221" spans="1:13" x14ac:dyDescent="0.25">
      <c r="A221" t="s">
        <v>25</v>
      </c>
      <c r="B221">
        <v>5</v>
      </c>
      <c r="C221">
        <v>3</v>
      </c>
      <c r="D221">
        <v>0</v>
      </c>
      <c r="E221">
        <v>1</v>
      </c>
      <c r="F221">
        <v>24</v>
      </c>
      <c r="G221">
        <v>242.0932</v>
      </c>
      <c r="H221">
        <v>520</v>
      </c>
      <c r="I221">
        <v>0</v>
      </c>
      <c r="J221">
        <v>6</v>
      </c>
      <c r="K221">
        <v>3</v>
      </c>
      <c r="L221">
        <v>275</v>
      </c>
      <c r="M221">
        <v>6</v>
      </c>
    </row>
    <row r="222" spans="1:13" x14ac:dyDescent="0.25">
      <c r="A222" t="s">
        <v>25</v>
      </c>
      <c r="B222">
        <v>1</v>
      </c>
      <c r="C222">
        <v>1</v>
      </c>
      <c r="D222">
        <v>0</v>
      </c>
      <c r="E222">
        <v>6</v>
      </c>
      <c r="F222">
        <v>32</v>
      </c>
      <c r="G222">
        <v>50.003050000000002</v>
      </c>
      <c r="H222">
        <v>120</v>
      </c>
      <c r="I222">
        <v>2</v>
      </c>
      <c r="J222">
        <v>2</v>
      </c>
      <c r="K222">
        <v>0</v>
      </c>
      <c r="L222">
        <v>78</v>
      </c>
      <c r="M222">
        <v>0</v>
      </c>
    </row>
    <row r="223" spans="1:13" x14ac:dyDescent="0.25">
      <c r="A223" t="s">
        <v>25</v>
      </c>
      <c r="B223">
        <v>6</v>
      </c>
      <c r="C223">
        <v>3</v>
      </c>
      <c r="D223">
        <v>1</v>
      </c>
      <c r="E223">
        <v>0</v>
      </c>
      <c r="F223">
        <v>0</v>
      </c>
      <c r="G223">
        <v>130.86099999999999</v>
      </c>
      <c r="H223">
        <v>480</v>
      </c>
      <c r="I223">
        <v>0</v>
      </c>
      <c r="J223">
        <v>0</v>
      </c>
      <c r="K223">
        <v>0</v>
      </c>
      <c r="L223">
        <v>113</v>
      </c>
      <c r="M223">
        <v>4</v>
      </c>
    </row>
    <row r="224" spans="1:13" x14ac:dyDescent="0.25">
      <c r="A224" t="s">
        <v>25</v>
      </c>
      <c r="B224">
        <v>10</v>
      </c>
      <c r="C224">
        <v>4</v>
      </c>
      <c r="D224">
        <v>1</v>
      </c>
      <c r="E224">
        <v>10</v>
      </c>
      <c r="F224">
        <v>344</v>
      </c>
      <c r="G224">
        <v>171.18430000000001</v>
      </c>
      <c r="H224">
        <v>800</v>
      </c>
      <c r="I224">
        <v>0</v>
      </c>
      <c r="J224">
        <v>12</v>
      </c>
      <c r="K224">
        <v>1</v>
      </c>
      <c r="L224">
        <v>117</v>
      </c>
      <c r="M224">
        <v>241</v>
      </c>
    </row>
    <row r="225" spans="1:13" x14ac:dyDescent="0.25">
      <c r="A225" t="s">
        <v>25</v>
      </c>
      <c r="B225">
        <v>6</v>
      </c>
      <c r="C225">
        <v>4</v>
      </c>
      <c r="D225">
        <v>0</v>
      </c>
      <c r="E225">
        <v>63</v>
      </c>
      <c r="F225">
        <v>109</v>
      </c>
      <c r="G225">
        <v>292.43869999999998</v>
      </c>
      <c r="H225">
        <v>520</v>
      </c>
      <c r="I225">
        <v>7</v>
      </c>
      <c r="J225">
        <v>7</v>
      </c>
      <c r="K225">
        <v>1</v>
      </c>
      <c r="L225">
        <v>75</v>
      </c>
      <c r="M225">
        <v>1</v>
      </c>
    </row>
    <row r="226" spans="1:13" x14ac:dyDescent="0.25">
      <c r="A226" t="s">
        <v>25</v>
      </c>
      <c r="B226">
        <v>3</v>
      </c>
      <c r="C226">
        <v>3</v>
      </c>
      <c r="D226">
        <v>0</v>
      </c>
      <c r="E226">
        <v>54</v>
      </c>
      <c r="F226">
        <v>173</v>
      </c>
      <c r="G226">
        <v>188.93819999999999</v>
      </c>
      <c r="H226">
        <v>680</v>
      </c>
      <c r="I226">
        <v>6</v>
      </c>
      <c r="J226">
        <v>7</v>
      </c>
      <c r="K226">
        <v>9</v>
      </c>
      <c r="L226">
        <v>44</v>
      </c>
      <c r="M226">
        <v>0</v>
      </c>
    </row>
    <row r="227" spans="1:13" x14ac:dyDescent="0.25">
      <c r="A227" t="s">
        <v>25</v>
      </c>
      <c r="B227">
        <v>4</v>
      </c>
      <c r="C227">
        <v>2</v>
      </c>
      <c r="D227">
        <v>0</v>
      </c>
      <c r="E227">
        <v>1</v>
      </c>
      <c r="F227">
        <v>154</v>
      </c>
      <c r="G227">
        <v>84.624110000000002</v>
      </c>
      <c r="H227">
        <v>440</v>
      </c>
      <c r="I227">
        <v>1</v>
      </c>
      <c r="J227">
        <v>4</v>
      </c>
      <c r="K227">
        <v>2</v>
      </c>
      <c r="L227">
        <v>189</v>
      </c>
      <c r="M227">
        <v>7</v>
      </c>
    </row>
    <row r="228" spans="1:13" x14ac:dyDescent="0.25">
      <c r="A228" t="s">
        <v>25</v>
      </c>
      <c r="B228">
        <v>12</v>
      </c>
      <c r="C228">
        <v>4</v>
      </c>
      <c r="D228">
        <v>0</v>
      </c>
      <c r="E228">
        <v>12</v>
      </c>
      <c r="F228">
        <v>48</v>
      </c>
      <c r="G228">
        <v>329.6456</v>
      </c>
      <c r="H228">
        <v>1440</v>
      </c>
      <c r="I228">
        <v>1</v>
      </c>
      <c r="J228">
        <v>13</v>
      </c>
      <c r="K228">
        <v>38</v>
      </c>
      <c r="L228">
        <v>282</v>
      </c>
      <c r="M228">
        <v>256</v>
      </c>
    </row>
    <row r="229" spans="1:13" x14ac:dyDescent="0.25">
      <c r="A229" t="s">
        <v>25</v>
      </c>
      <c r="B229">
        <v>11</v>
      </c>
      <c r="C229">
        <v>4</v>
      </c>
      <c r="D229">
        <v>1</v>
      </c>
      <c r="E229">
        <v>0</v>
      </c>
      <c r="F229">
        <v>0</v>
      </c>
      <c r="G229">
        <v>189.07769999999999</v>
      </c>
      <c r="H229">
        <v>880</v>
      </c>
      <c r="I229">
        <v>0</v>
      </c>
      <c r="J229">
        <v>11</v>
      </c>
      <c r="K229">
        <v>0</v>
      </c>
      <c r="L229">
        <v>65</v>
      </c>
      <c r="M229">
        <v>40</v>
      </c>
    </row>
    <row r="230" spans="1:13" x14ac:dyDescent="0.25">
      <c r="A230" t="s">
        <v>26</v>
      </c>
      <c r="B230">
        <v>2</v>
      </c>
      <c r="C230">
        <v>4</v>
      </c>
      <c r="D230">
        <v>0</v>
      </c>
      <c r="E230">
        <v>0</v>
      </c>
      <c r="F230">
        <v>484</v>
      </c>
      <c r="G230">
        <v>172.1421</v>
      </c>
      <c r="H230">
        <v>480</v>
      </c>
      <c r="I230">
        <v>0</v>
      </c>
      <c r="J230">
        <v>3</v>
      </c>
      <c r="K230">
        <v>5</v>
      </c>
      <c r="L230">
        <v>44</v>
      </c>
      <c r="M230">
        <v>21</v>
      </c>
    </row>
    <row r="231" spans="1:13" x14ac:dyDescent="0.25">
      <c r="A231" t="s">
        <v>26</v>
      </c>
      <c r="B231">
        <v>0</v>
      </c>
      <c r="C231">
        <v>1</v>
      </c>
      <c r="D231">
        <v>0</v>
      </c>
      <c r="E231">
        <v>0</v>
      </c>
      <c r="F231">
        <v>0</v>
      </c>
      <c r="G231">
        <v>55.7395</v>
      </c>
      <c r="H231">
        <v>120</v>
      </c>
      <c r="I231">
        <v>1</v>
      </c>
      <c r="J231">
        <v>1</v>
      </c>
      <c r="K231">
        <v>2</v>
      </c>
      <c r="L231">
        <v>41</v>
      </c>
      <c r="M231">
        <v>0</v>
      </c>
    </row>
    <row r="232" spans="1:13" x14ac:dyDescent="0.25">
      <c r="A232" t="s">
        <v>26</v>
      </c>
      <c r="B232">
        <v>0</v>
      </c>
      <c r="C232">
        <v>1</v>
      </c>
      <c r="D232">
        <v>0</v>
      </c>
      <c r="E232">
        <v>0</v>
      </c>
      <c r="F232">
        <v>0</v>
      </c>
      <c r="G232">
        <v>43.363160000000001</v>
      </c>
      <c r="H232">
        <v>80</v>
      </c>
      <c r="I232">
        <v>1</v>
      </c>
      <c r="J232">
        <v>1</v>
      </c>
      <c r="K232">
        <v>3</v>
      </c>
      <c r="L232">
        <v>55</v>
      </c>
      <c r="M232">
        <v>0</v>
      </c>
    </row>
    <row r="233" spans="1:13" x14ac:dyDescent="0.25">
      <c r="A233" t="s">
        <v>26</v>
      </c>
      <c r="B233">
        <v>0</v>
      </c>
      <c r="C233">
        <v>2</v>
      </c>
      <c r="D233">
        <v>0</v>
      </c>
      <c r="E233">
        <v>0</v>
      </c>
      <c r="F233">
        <v>15</v>
      </c>
      <c r="G233">
        <v>3138062</v>
      </c>
      <c r="H233">
        <v>80</v>
      </c>
      <c r="I233">
        <v>1</v>
      </c>
      <c r="J233">
        <v>1</v>
      </c>
      <c r="K233">
        <v>2</v>
      </c>
      <c r="L233">
        <v>70</v>
      </c>
      <c r="M233">
        <v>0</v>
      </c>
    </row>
    <row r="234" spans="1:13" x14ac:dyDescent="0.25">
      <c r="A234" t="s">
        <v>26</v>
      </c>
      <c r="B234">
        <v>2</v>
      </c>
      <c r="C234">
        <v>3</v>
      </c>
      <c r="D234">
        <v>1</v>
      </c>
      <c r="E234">
        <v>0</v>
      </c>
      <c r="F234">
        <v>0</v>
      </c>
      <c r="G234">
        <v>65.186279999999996</v>
      </c>
      <c r="H234">
        <v>320</v>
      </c>
      <c r="I234">
        <v>0</v>
      </c>
      <c r="J234">
        <v>2</v>
      </c>
      <c r="K234">
        <v>3</v>
      </c>
      <c r="L234">
        <v>10</v>
      </c>
      <c r="M234">
        <v>0</v>
      </c>
    </row>
    <row r="235" spans="1:13" x14ac:dyDescent="0.25">
      <c r="A235" t="s">
        <v>26</v>
      </c>
      <c r="B235">
        <v>0</v>
      </c>
      <c r="C235">
        <v>3</v>
      </c>
      <c r="D235">
        <v>1</v>
      </c>
      <c r="E235">
        <v>0</v>
      </c>
      <c r="F235">
        <v>0</v>
      </c>
      <c r="G235">
        <v>9.7042080000000003E-2</v>
      </c>
      <c r="H235">
        <v>0</v>
      </c>
      <c r="I235">
        <v>0</v>
      </c>
      <c r="J235">
        <v>0</v>
      </c>
      <c r="K235">
        <v>0</v>
      </c>
      <c r="L235">
        <v>1</v>
      </c>
      <c r="M235">
        <v>0</v>
      </c>
    </row>
    <row r="236" spans="1:13" x14ac:dyDescent="0.25">
      <c r="A236" t="s">
        <v>26</v>
      </c>
      <c r="B236">
        <v>6</v>
      </c>
      <c r="C236">
        <v>1</v>
      </c>
      <c r="D236">
        <v>0</v>
      </c>
      <c r="E236">
        <v>0</v>
      </c>
      <c r="F236">
        <v>0</v>
      </c>
      <c r="G236">
        <v>539.14110000000005</v>
      </c>
      <c r="H236">
        <v>1120</v>
      </c>
      <c r="I236">
        <v>0</v>
      </c>
      <c r="J236">
        <v>8</v>
      </c>
      <c r="K236">
        <v>14</v>
      </c>
      <c r="L236">
        <v>84</v>
      </c>
      <c r="M236">
        <v>0</v>
      </c>
    </row>
    <row r="237" spans="1:13" x14ac:dyDescent="0.25">
      <c r="A237" t="s">
        <v>26</v>
      </c>
      <c r="B237">
        <v>3</v>
      </c>
      <c r="C237">
        <v>4</v>
      </c>
      <c r="D237">
        <v>0</v>
      </c>
      <c r="E237">
        <v>1</v>
      </c>
      <c r="F237">
        <v>37</v>
      </c>
      <c r="G237">
        <v>116.1621</v>
      </c>
      <c r="H237">
        <v>560</v>
      </c>
      <c r="I237">
        <v>4</v>
      </c>
      <c r="J237">
        <v>4</v>
      </c>
      <c r="K237">
        <v>7</v>
      </c>
      <c r="L237">
        <v>34</v>
      </c>
      <c r="M237">
        <v>5</v>
      </c>
    </row>
    <row r="238" spans="1:13" x14ac:dyDescent="0.25">
      <c r="A238" t="s">
        <v>26</v>
      </c>
      <c r="B238">
        <v>1</v>
      </c>
      <c r="C238">
        <v>3</v>
      </c>
      <c r="D238">
        <v>1</v>
      </c>
      <c r="E238">
        <v>0</v>
      </c>
      <c r="F238">
        <v>0</v>
      </c>
      <c r="G238">
        <v>32.498289999999997</v>
      </c>
      <c r="H238">
        <v>120</v>
      </c>
      <c r="I238">
        <v>0</v>
      </c>
      <c r="J238">
        <v>1</v>
      </c>
      <c r="K238">
        <v>0</v>
      </c>
      <c r="L238">
        <v>90</v>
      </c>
      <c r="M238">
        <v>8</v>
      </c>
    </row>
    <row r="239" spans="1:13" x14ac:dyDescent="0.25">
      <c r="A239" t="s">
        <v>26</v>
      </c>
      <c r="B239">
        <v>1</v>
      </c>
      <c r="C239">
        <v>2</v>
      </c>
      <c r="D239">
        <v>0</v>
      </c>
      <c r="E239">
        <v>1</v>
      </c>
      <c r="F239">
        <v>6</v>
      </c>
      <c r="G239">
        <v>100251</v>
      </c>
      <c r="H239">
        <v>280</v>
      </c>
      <c r="I239">
        <v>2</v>
      </c>
      <c r="J239">
        <v>2</v>
      </c>
      <c r="K239">
        <v>4</v>
      </c>
      <c r="L239">
        <v>81</v>
      </c>
      <c r="M239">
        <v>4</v>
      </c>
    </row>
    <row r="240" spans="1:13" x14ac:dyDescent="0.25">
      <c r="A240" t="s">
        <v>26</v>
      </c>
      <c r="B240">
        <v>1</v>
      </c>
      <c r="C240">
        <v>2</v>
      </c>
      <c r="D240">
        <v>1</v>
      </c>
      <c r="E240">
        <v>3</v>
      </c>
      <c r="F240">
        <v>48</v>
      </c>
      <c r="G240">
        <v>44.05847</v>
      </c>
      <c r="H240">
        <v>120</v>
      </c>
      <c r="I240">
        <v>0</v>
      </c>
      <c r="J240">
        <v>1</v>
      </c>
      <c r="K240">
        <v>5</v>
      </c>
      <c r="L240">
        <v>58</v>
      </c>
      <c r="M240">
        <v>0</v>
      </c>
    </row>
    <row r="241" spans="1:13" x14ac:dyDescent="0.25">
      <c r="A241" t="s">
        <v>26</v>
      </c>
      <c r="B241">
        <v>0</v>
      </c>
      <c r="C241">
        <v>1</v>
      </c>
      <c r="D241">
        <v>0</v>
      </c>
      <c r="E241">
        <v>4</v>
      </c>
      <c r="F241">
        <v>5</v>
      </c>
      <c r="G241">
        <v>26.735720000000001</v>
      </c>
      <c r="H241">
        <v>40</v>
      </c>
      <c r="I241">
        <v>1</v>
      </c>
      <c r="J241">
        <v>1</v>
      </c>
      <c r="K241">
        <v>1</v>
      </c>
      <c r="L241">
        <v>45</v>
      </c>
      <c r="M241">
        <v>0</v>
      </c>
    </row>
    <row r="242" spans="1:13" x14ac:dyDescent="0.25">
      <c r="A242" t="s">
        <v>26</v>
      </c>
      <c r="B242">
        <v>2</v>
      </c>
      <c r="C242">
        <v>3</v>
      </c>
      <c r="D242">
        <v>1</v>
      </c>
      <c r="E242">
        <v>0</v>
      </c>
      <c r="F242">
        <v>0</v>
      </c>
      <c r="G242">
        <v>36.808959999999999</v>
      </c>
      <c r="H242">
        <v>240</v>
      </c>
      <c r="I242">
        <v>0</v>
      </c>
      <c r="J242">
        <v>0</v>
      </c>
      <c r="K242">
        <v>0</v>
      </c>
      <c r="L242">
        <v>113</v>
      </c>
      <c r="M242">
        <v>0</v>
      </c>
    </row>
    <row r="243" spans="1:13" x14ac:dyDescent="0.25">
      <c r="A243" t="s">
        <v>26</v>
      </c>
      <c r="B243">
        <v>2</v>
      </c>
      <c r="C243">
        <v>3</v>
      </c>
      <c r="D243">
        <v>1</v>
      </c>
      <c r="E243">
        <v>0</v>
      </c>
      <c r="F243">
        <v>0</v>
      </c>
      <c r="G243">
        <v>92.186520000000002</v>
      </c>
      <c r="H243">
        <v>240</v>
      </c>
      <c r="I243">
        <v>0</v>
      </c>
      <c r="J243">
        <v>2</v>
      </c>
      <c r="K243">
        <v>0</v>
      </c>
      <c r="L243">
        <v>58</v>
      </c>
      <c r="M243">
        <v>135</v>
      </c>
    </row>
    <row r="244" spans="1:13" x14ac:dyDescent="0.25">
      <c r="A244" t="s">
        <v>26</v>
      </c>
      <c r="B244">
        <v>0</v>
      </c>
      <c r="C244">
        <v>2</v>
      </c>
      <c r="D244">
        <v>0</v>
      </c>
      <c r="E244">
        <v>6</v>
      </c>
      <c r="F244">
        <v>10</v>
      </c>
      <c r="G244">
        <v>40.65784</v>
      </c>
      <c r="H244">
        <v>120</v>
      </c>
      <c r="I244">
        <v>1</v>
      </c>
      <c r="J244">
        <v>1</v>
      </c>
      <c r="K244">
        <v>3</v>
      </c>
      <c r="L244">
        <v>16</v>
      </c>
      <c r="M244">
        <v>0</v>
      </c>
    </row>
    <row r="245" spans="1:13" x14ac:dyDescent="0.25">
      <c r="A245" t="s">
        <v>26</v>
      </c>
      <c r="B245">
        <v>1</v>
      </c>
      <c r="C245">
        <v>1</v>
      </c>
      <c r="D245">
        <v>0</v>
      </c>
      <c r="E245">
        <v>2</v>
      </c>
      <c r="F245">
        <v>4</v>
      </c>
      <c r="G245">
        <v>45.083010000000002</v>
      </c>
      <c r="H245">
        <v>120</v>
      </c>
      <c r="I245">
        <v>2</v>
      </c>
      <c r="J245">
        <v>2</v>
      </c>
      <c r="K245">
        <v>0</v>
      </c>
      <c r="L245">
        <v>23</v>
      </c>
      <c r="M245">
        <v>0</v>
      </c>
    </row>
    <row r="246" spans="1:13" x14ac:dyDescent="0.25">
      <c r="A246" t="s">
        <v>26</v>
      </c>
      <c r="B246">
        <v>2</v>
      </c>
      <c r="C246">
        <v>4</v>
      </c>
      <c r="D246">
        <v>1</v>
      </c>
      <c r="E246">
        <v>13</v>
      </c>
      <c r="F246">
        <v>34</v>
      </c>
      <c r="G246">
        <v>60.39087</v>
      </c>
      <c r="H246">
        <v>400</v>
      </c>
      <c r="I246">
        <v>1</v>
      </c>
      <c r="J246">
        <v>1</v>
      </c>
      <c r="K246">
        <v>5</v>
      </c>
      <c r="L246">
        <v>209</v>
      </c>
      <c r="M246">
        <v>0</v>
      </c>
    </row>
    <row r="247" spans="1:13" x14ac:dyDescent="0.25">
      <c r="A247" t="s">
        <v>26</v>
      </c>
      <c r="B247">
        <v>0</v>
      </c>
      <c r="C247">
        <v>1</v>
      </c>
      <c r="D247">
        <v>0</v>
      </c>
      <c r="E247">
        <v>0</v>
      </c>
      <c r="F247">
        <v>0</v>
      </c>
      <c r="G247">
        <v>32.40137</v>
      </c>
      <c r="H247">
        <v>40</v>
      </c>
      <c r="I247">
        <v>1</v>
      </c>
      <c r="J247">
        <v>1</v>
      </c>
      <c r="K247">
        <v>0</v>
      </c>
      <c r="L247">
        <v>42</v>
      </c>
      <c r="M247">
        <v>0</v>
      </c>
    </row>
    <row r="248" spans="1:13" x14ac:dyDescent="0.25">
      <c r="A248" t="s">
        <v>26</v>
      </c>
      <c r="B248">
        <v>1</v>
      </c>
      <c r="C248">
        <v>3</v>
      </c>
      <c r="D248">
        <v>1</v>
      </c>
      <c r="E248">
        <v>0</v>
      </c>
      <c r="F248">
        <v>0</v>
      </c>
      <c r="G248">
        <v>48.326540000000001</v>
      </c>
      <c r="H248">
        <v>120</v>
      </c>
      <c r="I248">
        <v>0</v>
      </c>
      <c r="J248">
        <v>1</v>
      </c>
      <c r="K248">
        <v>0</v>
      </c>
      <c r="L248">
        <v>46</v>
      </c>
      <c r="M248">
        <v>12</v>
      </c>
    </row>
    <row r="249" spans="1:13" x14ac:dyDescent="0.25">
      <c r="A249" t="s">
        <v>27</v>
      </c>
      <c r="B249">
        <v>1</v>
      </c>
      <c r="C249">
        <v>2</v>
      </c>
      <c r="D249">
        <v>0</v>
      </c>
      <c r="E249">
        <v>1</v>
      </c>
      <c r="F249">
        <v>2533</v>
      </c>
      <c r="G249">
        <v>184.29589999999999</v>
      </c>
      <c r="H249">
        <v>600</v>
      </c>
      <c r="I249">
        <v>0</v>
      </c>
      <c r="J249">
        <v>2</v>
      </c>
      <c r="K249">
        <v>9</v>
      </c>
      <c r="L249">
        <v>40</v>
      </c>
      <c r="M249">
        <v>64</v>
      </c>
    </row>
    <row r="250" spans="1:13" x14ac:dyDescent="0.25">
      <c r="A250" t="s">
        <v>27</v>
      </c>
      <c r="B250">
        <v>0</v>
      </c>
      <c r="C250">
        <v>1</v>
      </c>
      <c r="D250">
        <v>0</v>
      </c>
      <c r="E250">
        <v>0</v>
      </c>
      <c r="F250">
        <v>0</v>
      </c>
      <c r="G250">
        <v>40.280029999999996</v>
      </c>
      <c r="H250">
        <v>160</v>
      </c>
      <c r="I250">
        <v>1</v>
      </c>
      <c r="J250">
        <v>1</v>
      </c>
      <c r="K250">
        <v>2</v>
      </c>
      <c r="L250">
        <v>42</v>
      </c>
      <c r="M250">
        <v>0</v>
      </c>
    </row>
    <row r="251" spans="1:13" x14ac:dyDescent="0.25">
      <c r="A251" t="s">
        <v>27</v>
      </c>
      <c r="B251">
        <v>0</v>
      </c>
      <c r="C251">
        <v>1</v>
      </c>
      <c r="D251">
        <v>0</v>
      </c>
      <c r="E251">
        <v>0</v>
      </c>
      <c r="F251">
        <v>0</v>
      </c>
      <c r="G251">
        <v>29.779910000000001</v>
      </c>
      <c r="H251">
        <v>80</v>
      </c>
      <c r="I251">
        <v>1</v>
      </c>
      <c r="J251">
        <v>1</v>
      </c>
      <c r="K251">
        <v>2</v>
      </c>
      <c r="L251">
        <v>53</v>
      </c>
      <c r="M251">
        <v>0</v>
      </c>
    </row>
    <row r="252" spans="1:13" x14ac:dyDescent="0.25">
      <c r="A252" t="s">
        <v>27</v>
      </c>
      <c r="B252">
        <v>0</v>
      </c>
      <c r="C252">
        <v>1</v>
      </c>
      <c r="D252">
        <v>0</v>
      </c>
      <c r="E252">
        <v>0</v>
      </c>
      <c r="F252">
        <v>19</v>
      </c>
      <c r="G252">
        <v>2902661</v>
      </c>
      <c r="H252">
        <v>80</v>
      </c>
      <c r="I252">
        <v>1</v>
      </c>
      <c r="J252">
        <v>1</v>
      </c>
      <c r="K252">
        <v>2</v>
      </c>
      <c r="L252">
        <v>60</v>
      </c>
      <c r="M252">
        <v>0</v>
      </c>
    </row>
    <row r="253" spans="1:13" x14ac:dyDescent="0.25">
      <c r="A253" t="s">
        <v>27</v>
      </c>
      <c r="B253">
        <v>4</v>
      </c>
      <c r="C253">
        <v>4</v>
      </c>
      <c r="D253">
        <v>1</v>
      </c>
      <c r="E253">
        <v>4</v>
      </c>
      <c r="F253">
        <v>173</v>
      </c>
      <c r="G253">
        <v>243.4211</v>
      </c>
      <c r="H253">
        <v>920</v>
      </c>
      <c r="I253">
        <v>0</v>
      </c>
      <c r="J253">
        <v>4</v>
      </c>
      <c r="K253">
        <v>13</v>
      </c>
      <c r="L253">
        <v>50</v>
      </c>
      <c r="M253">
        <v>1</v>
      </c>
    </row>
    <row r="254" spans="1:13" x14ac:dyDescent="0.25">
      <c r="A254" t="s">
        <v>27</v>
      </c>
      <c r="B254">
        <v>0</v>
      </c>
      <c r="C254">
        <v>3</v>
      </c>
      <c r="D254">
        <v>1</v>
      </c>
      <c r="E254">
        <v>0</v>
      </c>
      <c r="F254">
        <v>0</v>
      </c>
      <c r="G254">
        <v>0.115345</v>
      </c>
      <c r="H254">
        <v>0</v>
      </c>
      <c r="I254">
        <v>0</v>
      </c>
      <c r="J254">
        <v>0</v>
      </c>
      <c r="K254">
        <v>0</v>
      </c>
      <c r="L254">
        <v>0</v>
      </c>
      <c r="M254">
        <v>0</v>
      </c>
    </row>
    <row r="255" spans="1:13" x14ac:dyDescent="0.25">
      <c r="A255" t="s">
        <v>27</v>
      </c>
      <c r="B255">
        <v>0</v>
      </c>
      <c r="C255">
        <v>1</v>
      </c>
      <c r="D255">
        <v>0</v>
      </c>
      <c r="E255">
        <v>0</v>
      </c>
      <c r="F255">
        <v>0</v>
      </c>
      <c r="G255">
        <v>132.8184</v>
      </c>
      <c r="H255">
        <v>320</v>
      </c>
      <c r="I255">
        <v>0</v>
      </c>
      <c r="J255">
        <v>1</v>
      </c>
      <c r="K255">
        <v>6</v>
      </c>
      <c r="L255">
        <v>27</v>
      </c>
      <c r="M255">
        <v>0</v>
      </c>
    </row>
    <row r="256" spans="1:13" x14ac:dyDescent="0.25">
      <c r="A256" t="s">
        <v>27</v>
      </c>
      <c r="B256">
        <v>0</v>
      </c>
      <c r="C256">
        <v>1</v>
      </c>
      <c r="D256">
        <v>0</v>
      </c>
      <c r="E256">
        <v>0</v>
      </c>
      <c r="F256">
        <v>0</v>
      </c>
      <c r="G256">
        <v>43.00085</v>
      </c>
      <c r="H256">
        <v>0</v>
      </c>
      <c r="I256">
        <v>5</v>
      </c>
      <c r="J256">
        <v>1</v>
      </c>
      <c r="K256">
        <v>0</v>
      </c>
      <c r="L256">
        <v>19</v>
      </c>
      <c r="M256">
        <v>4</v>
      </c>
    </row>
    <row r="257" spans="1:13" x14ac:dyDescent="0.25">
      <c r="A257" t="s">
        <v>27</v>
      </c>
      <c r="B257">
        <v>3</v>
      </c>
      <c r="C257">
        <v>3</v>
      </c>
      <c r="D257">
        <v>1</v>
      </c>
      <c r="E257">
        <v>0</v>
      </c>
      <c r="F257">
        <v>0</v>
      </c>
      <c r="G257">
        <v>59.665529999999997</v>
      </c>
      <c r="H257">
        <v>360</v>
      </c>
      <c r="I257">
        <v>0</v>
      </c>
      <c r="J257">
        <v>3</v>
      </c>
      <c r="K257">
        <v>0</v>
      </c>
      <c r="L257">
        <v>222</v>
      </c>
      <c r="M257">
        <v>2</v>
      </c>
    </row>
    <row r="258" spans="1:13" x14ac:dyDescent="0.25">
      <c r="A258" t="s">
        <v>27</v>
      </c>
      <c r="B258">
        <v>0</v>
      </c>
      <c r="C258">
        <v>1</v>
      </c>
      <c r="D258">
        <v>0</v>
      </c>
      <c r="E258">
        <v>3</v>
      </c>
      <c r="F258">
        <v>14</v>
      </c>
      <c r="G258">
        <v>3485254</v>
      </c>
      <c r="H258">
        <v>160</v>
      </c>
      <c r="I258">
        <v>1</v>
      </c>
      <c r="J258">
        <v>1</v>
      </c>
      <c r="K258">
        <v>1</v>
      </c>
      <c r="L258">
        <v>55</v>
      </c>
      <c r="M258">
        <v>0</v>
      </c>
    </row>
    <row r="259" spans="1:13" x14ac:dyDescent="0.25">
      <c r="A259" t="s">
        <v>27</v>
      </c>
      <c r="B259">
        <v>1</v>
      </c>
      <c r="C259">
        <v>2</v>
      </c>
      <c r="D259">
        <v>1</v>
      </c>
      <c r="E259">
        <v>1</v>
      </c>
      <c r="F259">
        <v>23</v>
      </c>
      <c r="G259">
        <v>53.765140000000002</v>
      </c>
      <c r="H259">
        <v>200</v>
      </c>
      <c r="I259">
        <v>0</v>
      </c>
      <c r="J259">
        <v>1</v>
      </c>
      <c r="K259">
        <v>2</v>
      </c>
      <c r="L259">
        <v>70</v>
      </c>
      <c r="M259">
        <v>0</v>
      </c>
    </row>
    <row r="260" spans="1:13" x14ac:dyDescent="0.25">
      <c r="A260" t="s">
        <v>27</v>
      </c>
      <c r="B260">
        <v>0</v>
      </c>
      <c r="C260">
        <v>1</v>
      </c>
      <c r="D260">
        <v>0</v>
      </c>
      <c r="E260">
        <v>0</v>
      </c>
      <c r="F260">
        <v>0</v>
      </c>
      <c r="G260">
        <v>29.59497</v>
      </c>
      <c r="H260">
        <v>40</v>
      </c>
      <c r="I260">
        <v>1</v>
      </c>
      <c r="J260">
        <v>1</v>
      </c>
      <c r="K260">
        <v>1</v>
      </c>
      <c r="L260">
        <v>51</v>
      </c>
      <c r="M260">
        <v>0</v>
      </c>
    </row>
    <row r="261" spans="1:13" x14ac:dyDescent="0.25">
      <c r="A261" t="s">
        <v>27</v>
      </c>
      <c r="B261">
        <v>2</v>
      </c>
      <c r="C261">
        <v>2</v>
      </c>
      <c r="D261">
        <v>1</v>
      </c>
      <c r="E261">
        <v>0</v>
      </c>
      <c r="F261">
        <v>0</v>
      </c>
      <c r="G261">
        <v>50.869509999999998</v>
      </c>
      <c r="H261">
        <v>240</v>
      </c>
      <c r="I261">
        <v>0</v>
      </c>
      <c r="J261">
        <v>0</v>
      </c>
      <c r="K261">
        <v>0</v>
      </c>
      <c r="L261">
        <v>157</v>
      </c>
      <c r="M261">
        <v>0</v>
      </c>
    </row>
    <row r="262" spans="1:13" x14ac:dyDescent="0.25">
      <c r="A262" t="s">
        <v>27</v>
      </c>
      <c r="B262">
        <v>0</v>
      </c>
      <c r="C262">
        <v>1</v>
      </c>
      <c r="D262">
        <v>0</v>
      </c>
      <c r="E262">
        <v>0</v>
      </c>
      <c r="F262">
        <v>0</v>
      </c>
      <c r="G262">
        <v>80.691159999999996</v>
      </c>
      <c r="H262">
        <v>120</v>
      </c>
      <c r="I262">
        <v>0</v>
      </c>
      <c r="J262">
        <v>1</v>
      </c>
      <c r="K262">
        <v>2</v>
      </c>
      <c r="L262">
        <v>42</v>
      </c>
      <c r="M262">
        <v>94</v>
      </c>
    </row>
    <row r="263" spans="1:13" x14ac:dyDescent="0.25">
      <c r="A263" t="s">
        <v>27</v>
      </c>
      <c r="B263">
        <v>0</v>
      </c>
      <c r="C263">
        <v>2</v>
      </c>
      <c r="D263">
        <v>0</v>
      </c>
      <c r="E263">
        <v>12</v>
      </c>
      <c r="F263">
        <v>21</v>
      </c>
      <c r="G263">
        <v>57.358519999999999</v>
      </c>
      <c r="H263">
        <v>200</v>
      </c>
      <c r="I263">
        <v>1</v>
      </c>
      <c r="J263">
        <v>1</v>
      </c>
      <c r="K263">
        <v>9</v>
      </c>
      <c r="L263">
        <v>16</v>
      </c>
      <c r="M263">
        <v>1</v>
      </c>
    </row>
    <row r="264" spans="1:13" x14ac:dyDescent="0.25">
      <c r="A264" t="s">
        <v>27</v>
      </c>
      <c r="B264">
        <v>0</v>
      </c>
      <c r="C264">
        <v>1</v>
      </c>
      <c r="D264">
        <v>0</v>
      </c>
      <c r="E264">
        <v>3</v>
      </c>
      <c r="F264">
        <v>10</v>
      </c>
      <c r="G264">
        <v>35.409910000000004</v>
      </c>
      <c r="H264">
        <v>120</v>
      </c>
      <c r="I264">
        <v>1</v>
      </c>
      <c r="J264">
        <v>1</v>
      </c>
      <c r="K264">
        <v>1</v>
      </c>
      <c r="L264">
        <v>14</v>
      </c>
      <c r="M264">
        <v>0</v>
      </c>
    </row>
    <row r="265" spans="1:13" x14ac:dyDescent="0.25">
      <c r="A265" t="s">
        <v>27</v>
      </c>
      <c r="B265">
        <v>1</v>
      </c>
      <c r="C265">
        <v>3</v>
      </c>
      <c r="D265">
        <v>0</v>
      </c>
      <c r="E265">
        <v>3</v>
      </c>
      <c r="F265">
        <v>98</v>
      </c>
      <c r="G265">
        <v>83.034909999999996</v>
      </c>
      <c r="H265">
        <v>400</v>
      </c>
      <c r="I265">
        <v>2</v>
      </c>
      <c r="J265">
        <v>2</v>
      </c>
      <c r="K265">
        <v>6</v>
      </c>
      <c r="L265">
        <v>342</v>
      </c>
      <c r="M265">
        <v>0</v>
      </c>
    </row>
    <row r="266" spans="1:13" x14ac:dyDescent="0.25">
      <c r="A266" t="s">
        <v>27</v>
      </c>
      <c r="B266">
        <v>0</v>
      </c>
      <c r="C266">
        <v>1</v>
      </c>
      <c r="D266">
        <v>0</v>
      </c>
      <c r="E266">
        <v>0</v>
      </c>
      <c r="F266">
        <v>0</v>
      </c>
      <c r="G266">
        <v>31.713619999999999</v>
      </c>
      <c r="H266">
        <v>120</v>
      </c>
      <c r="I266">
        <v>1</v>
      </c>
      <c r="J266">
        <v>1</v>
      </c>
      <c r="K266">
        <v>2</v>
      </c>
      <c r="L266">
        <v>39</v>
      </c>
      <c r="M266">
        <v>0</v>
      </c>
    </row>
    <row r="267" spans="1:13" x14ac:dyDescent="0.25">
      <c r="A267" t="s">
        <v>27</v>
      </c>
      <c r="B267">
        <v>0</v>
      </c>
      <c r="C267">
        <v>3</v>
      </c>
      <c r="D267">
        <v>1</v>
      </c>
      <c r="E267">
        <v>0</v>
      </c>
      <c r="F267">
        <v>0</v>
      </c>
      <c r="G267">
        <v>24.002929999999999</v>
      </c>
      <c r="H267">
        <v>80</v>
      </c>
      <c r="I267">
        <v>0</v>
      </c>
      <c r="J267">
        <v>1</v>
      </c>
      <c r="K267">
        <v>0</v>
      </c>
      <c r="L267">
        <v>15</v>
      </c>
      <c r="M267">
        <v>6</v>
      </c>
    </row>
    <row r="268" spans="1:13" x14ac:dyDescent="0.25">
      <c r="A268" t="s">
        <v>28</v>
      </c>
      <c r="B268">
        <v>0</v>
      </c>
      <c r="C268">
        <v>4</v>
      </c>
      <c r="D268">
        <v>0</v>
      </c>
      <c r="E268">
        <v>1</v>
      </c>
      <c r="F268">
        <v>0</v>
      </c>
      <c r="G268">
        <v>40.78369</v>
      </c>
      <c r="H268">
        <v>80</v>
      </c>
      <c r="I268">
        <v>1</v>
      </c>
      <c r="J268">
        <v>1</v>
      </c>
      <c r="K268">
        <v>1</v>
      </c>
      <c r="L268">
        <v>6</v>
      </c>
      <c r="M268">
        <v>11</v>
      </c>
    </row>
    <row r="269" spans="1:13" x14ac:dyDescent="0.25">
      <c r="A269" t="s">
        <v>28</v>
      </c>
      <c r="B269">
        <v>0</v>
      </c>
      <c r="C269">
        <v>1</v>
      </c>
      <c r="D269">
        <v>0</v>
      </c>
      <c r="E269">
        <v>0</v>
      </c>
      <c r="F269">
        <v>0</v>
      </c>
      <c r="G269">
        <v>34.877929999999999</v>
      </c>
      <c r="H269">
        <v>80</v>
      </c>
      <c r="I269">
        <v>1</v>
      </c>
      <c r="J269">
        <v>1</v>
      </c>
      <c r="K269">
        <v>2</v>
      </c>
      <c r="L269">
        <v>46</v>
      </c>
      <c r="M269">
        <v>0</v>
      </c>
    </row>
    <row r="270" spans="1:13" x14ac:dyDescent="0.25">
      <c r="A270" t="s">
        <v>28</v>
      </c>
      <c r="B270">
        <v>0</v>
      </c>
      <c r="C270">
        <v>4</v>
      </c>
      <c r="D270">
        <v>0</v>
      </c>
      <c r="E270">
        <v>0</v>
      </c>
      <c r="F270">
        <v>0</v>
      </c>
      <c r="G270">
        <v>33.601680000000002</v>
      </c>
      <c r="H270">
        <v>0</v>
      </c>
      <c r="I270">
        <v>1</v>
      </c>
      <c r="J270">
        <v>1</v>
      </c>
      <c r="K270">
        <v>0</v>
      </c>
      <c r="L270">
        <v>115</v>
      </c>
      <c r="M270">
        <v>0</v>
      </c>
    </row>
    <row r="271" spans="1:13" x14ac:dyDescent="0.25">
      <c r="A271" t="s">
        <v>28</v>
      </c>
      <c r="B271">
        <v>0</v>
      </c>
      <c r="C271">
        <v>1</v>
      </c>
      <c r="D271">
        <v>0</v>
      </c>
      <c r="E271">
        <v>0</v>
      </c>
      <c r="F271">
        <v>0</v>
      </c>
      <c r="G271">
        <v>2778784</v>
      </c>
      <c r="H271">
        <v>0</v>
      </c>
      <c r="I271">
        <v>1</v>
      </c>
      <c r="J271">
        <v>1</v>
      </c>
      <c r="K271">
        <v>0</v>
      </c>
      <c r="L271">
        <v>89</v>
      </c>
      <c r="M271">
        <v>0</v>
      </c>
    </row>
    <row r="272" spans="1:13" x14ac:dyDescent="0.25">
      <c r="A272" t="s">
        <v>28</v>
      </c>
      <c r="B272">
        <v>0</v>
      </c>
      <c r="C272">
        <v>2</v>
      </c>
      <c r="D272">
        <v>0</v>
      </c>
      <c r="E272">
        <v>2</v>
      </c>
      <c r="F272">
        <v>76</v>
      </c>
      <c r="G272">
        <v>84.302000000000007</v>
      </c>
      <c r="H272">
        <v>160</v>
      </c>
      <c r="I272">
        <v>0</v>
      </c>
      <c r="J272">
        <v>1</v>
      </c>
      <c r="K272">
        <v>4</v>
      </c>
      <c r="L272">
        <v>32</v>
      </c>
      <c r="M272">
        <v>0</v>
      </c>
    </row>
    <row r="273" spans="1:13" x14ac:dyDescent="0.25">
      <c r="A273" t="s">
        <v>28</v>
      </c>
      <c r="B273">
        <v>0</v>
      </c>
      <c r="C273">
        <v>3</v>
      </c>
      <c r="D273">
        <v>1</v>
      </c>
      <c r="E273">
        <v>0</v>
      </c>
      <c r="F273">
        <v>0</v>
      </c>
      <c r="G273">
        <v>8.306885E-2</v>
      </c>
      <c r="H273">
        <v>0</v>
      </c>
      <c r="I273">
        <v>0</v>
      </c>
      <c r="J273">
        <v>0</v>
      </c>
      <c r="K273">
        <v>0</v>
      </c>
      <c r="L273">
        <v>0</v>
      </c>
      <c r="M273">
        <v>0</v>
      </c>
    </row>
    <row r="274" spans="1:13" x14ac:dyDescent="0.25">
      <c r="A274" t="s">
        <v>28</v>
      </c>
      <c r="B274">
        <v>3</v>
      </c>
      <c r="C274">
        <v>4</v>
      </c>
      <c r="D274">
        <v>1</v>
      </c>
      <c r="E274">
        <v>0</v>
      </c>
      <c r="F274">
        <v>0</v>
      </c>
      <c r="G274">
        <v>143.6489</v>
      </c>
      <c r="H274">
        <v>440</v>
      </c>
      <c r="I274">
        <v>0</v>
      </c>
      <c r="J274">
        <v>3</v>
      </c>
      <c r="K274">
        <v>6</v>
      </c>
      <c r="L274">
        <v>42</v>
      </c>
      <c r="M274">
        <v>0</v>
      </c>
    </row>
    <row r="275" spans="1:13" x14ac:dyDescent="0.25">
      <c r="A275" t="s">
        <v>28</v>
      </c>
      <c r="B275">
        <v>0</v>
      </c>
      <c r="C275">
        <v>4</v>
      </c>
      <c r="D275">
        <v>0</v>
      </c>
      <c r="E275">
        <v>0</v>
      </c>
      <c r="F275">
        <v>0</v>
      </c>
      <c r="G275">
        <v>24.774660000000001</v>
      </c>
      <c r="H275">
        <v>0</v>
      </c>
      <c r="I275">
        <v>1</v>
      </c>
      <c r="J275">
        <v>1</v>
      </c>
      <c r="K275">
        <v>0</v>
      </c>
      <c r="L275">
        <v>82</v>
      </c>
      <c r="M275">
        <v>1</v>
      </c>
    </row>
    <row r="276" spans="1:13" x14ac:dyDescent="0.25">
      <c r="A276" t="s">
        <v>28</v>
      </c>
      <c r="B276">
        <v>2</v>
      </c>
      <c r="C276">
        <v>2</v>
      </c>
      <c r="D276">
        <v>1</v>
      </c>
      <c r="E276">
        <v>0</v>
      </c>
      <c r="F276">
        <v>0</v>
      </c>
      <c r="G276">
        <v>64.211550000000003</v>
      </c>
      <c r="H276">
        <v>240</v>
      </c>
      <c r="I276">
        <v>0</v>
      </c>
      <c r="J276">
        <v>1</v>
      </c>
      <c r="K276">
        <v>0</v>
      </c>
      <c r="L276">
        <v>92</v>
      </c>
      <c r="M276">
        <v>2</v>
      </c>
    </row>
    <row r="277" spans="1:13" x14ac:dyDescent="0.25">
      <c r="A277" t="s">
        <v>28</v>
      </c>
      <c r="B277">
        <v>0</v>
      </c>
      <c r="C277">
        <v>1</v>
      </c>
      <c r="D277">
        <v>0</v>
      </c>
      <c r="E277">
        <v>1</v>
      </c>
      <c r="F277">
        <v>4</v>
      </c>
      <c r="G277">
        <v>3077246</v>
      </c>
      <c r="H277">
        <v>40</v>
      </c>
      <c r="I277">
        <v>1</v>
      </c>
      <c r="J277">
        <v>1</v>
      </c>
      <c r="K277">
        <v>0</v>
      </c>
      <c r="L277">
        <v>55</v>
      </c>
      <c r="M277">
        <v>0</v>
      </c>
    </row>
    <row r="278" spans="1:13" x14ac:dyDescent="0.25">
      <c r="A278" t="s">
        <v>28</v>
      </c>
      <c r="B278">
        <v>1</v>
      </c>
      <c r="C278">
        <v>2</v>
      </c>
      <c r="D278">
        <v>1</v>
      </c>
      <c r="E278">
        <v>0</v>
      </c>
      <c r="F278">
        <v>0</v>
      </c>
      <c r="G278">
        <v>67.213620000000006</v>
      </c>
      <c r="H278">
        <v>200</v>
      </c>
      <c r="I278">
        <v>0</v>
      </c>
      <c r="J278">
        <v>1</v>
      </c>
      <c r="K278">
        <v>2</v>
      </c>
      <c r="L278">
        <v>111</v>
      </c>
      <c r="M278">
        <v>0</v>
      </c>
    </row>
    <row r="279" spans="1:13" x14ac:dyDescent="0.25">
      <c r="A279" t="s">
        <v>28</v>
      </c>
      <c r="B279">
        <v>0</v>
      </c>
      <c r="C279">
        <v>2</v>
      </c>
      <c r="D279">
        <v>0</v>
      </c>
      <c r="E279">
        <v>1</v>
      </c>
      <c r="F279">
        <v>6</v>
      </c>
      <c r="G279">
        <v>25.149290000000001</v>
      </c>
      <c r="H279">
        <v>40</v>
      </c>
      <c r="I279">
        <v>1</v>
      </c>
      <c r="J279">
        <v>1</v>
      </c>
      <c r="K279">
        <v>3</v>
      </c>
      <c r="L279">
        <v>48</v>
      </c>
      <c r="M279">
        <v>0</v>
      </c>
    </row>
    <row r="280" spans="1:13" x14ac:dyDescent="0.25">
      <c r="A280" t="s">
        <v>28</v>
      </c>
      <c r="B280">
        <v>0</v>
      </c>
      <c r="C280">
        <v>1</v>
      </c>
      <c r="D280">
        <v>1</v>
      </c>
      <c r="E280">
        <v>0</v>
      </c>
      <c r="F280">
        <v>0</v>
      </c>
      <c r="G280">
        <v>8.8986820000000009</v>
      </c>
      <c r="H280">
        <v>0</v>
      </c>
      <c r="I280">
        <v>0</v>
      </c>
      <c r="J280">
        <v>0</v>
      </c>
      <c r="K280">
        <v>0</v>
      </c>
      <c r="L280">
        <v>22</v>
      </c>
      <c r="M280">
        <v>0</v>
      </c>
    </row>
    <row r="281" spans="1:13" x14ac:dyDescent="0.25">
      <c r="A281" t="s">
        <v>28</v>
      </c>
      <c r="B281">
        <v>0</v>
      </c>
      <c r="C281">
        <v>1</v>
      </c>
      <c r="D281">
        <v>0</v>
      </c>
      <c r="E281">
        <v>0</v>
      </c>
      <c r="F281">
        <v>0</v>
      </c>
      <c r="G281">
        <v>79.347409999999996</v>
      </c>
      <c r="H281">
        <v>40</v>
      </c>
      <c r="I281">
        <v>0</v>
      </c>
      <c r="J281">
        <v>1</v>
      </c>
      <c r="K281">
        <v>1</v>
      </c>
      <c r="L281">
        <v>103</v>
      </c>
      <c r="M281">
        <v>124</v>
      </c>
    </row>
    <row r="282" spans="1:13" x14ac:dyDescent="0.25">
      <c r="A282" t="s">
        <v>28</v>
      </c>
      <c r="B282">
        <v>0</v>
      </c>
      <c r="C282">
        <v>1</v>
      </c>
      <c r="D282">
        <v>0</v>
      </c>
      <c r="E282">
        <v>5</v>
      </c>
      <c r="F282">
        <v>11</v>
      </c>
      <c r="G282">
        <v>24.58154</v>
      </c>
      <c r="H282">
        <v>0</v>
      </c>
      <c r="I282">
        <v>1</v>
      </c>
      <c r="J282">
        <v>1</v>
      </c>
      <c r="K282">
        <v>0</v>
      </c>
      <c r="L282">
        <v>12</v>
      </c>
      <c r="M282">
        <v>0</v>
      </c>
    </row>
    <row r="283" spans="1:13" x14ac:dyDescent="0.25">
      <c r="A283" t="s">
        <v>28</v>
      </c>
      <c r="B283">
        <v>2</v>
      </c>
      <c r="C283">
        <v>1</v>
      </c>
      <c r="D283">
        <v>0</v>
      </c>
      <c r="E283">
        <v>8</v>
      </c>
      <c r="F283">
        <v>29</v>
      </c>
      <c r="G283">
        <v>78.735839999999996</v>
      </c>
      <c r="H283">
        <v>320</v>
      </c>
      <c r="I283">
        <v>3</v>
      </c>
      <c r="J283">
        <v>3</v>
      </c>
      <c r="K283">
        <v>1</v>
      </c>
      <c r="L283">
        <v>20</v>
      </c>
      <c r="M283">
        <v>0</v>
      </c>
    </row>
    <row r="284" spans="1:13" x14ac:dyDescent="0.25">
      <c r="A284" t="s">
        <v>28</v>
      </c>
      <c r="B284">
        <v>0</v>
      </c>
      <c r="C284">
        <v>1</v>
      </c>
      <c r="D284">
        <v>0</v>
      </c>
      <c r="E284">
        <v>0</v>
      </c>
      <c r="F284">
        <v>16</v>
      </c>
      <c r="G284">
        <v>30.972899999999999</v>
      </c>
      <c r="H284">
        <v>0</v>
      </c>
      <c r="I284">
        <v>1</v>
      </c>
      <c r="J284">
        <v>1</v>
      </c>
      <c r="K284">
        <v>0</v>
      </c>
      <c r="L284">
        <v>135</v>
      </c>
      <c r="M284">
        <v>0</v>
      </c>
    </row>
    <row r="285" spans="1:13" x14ac:dyDescent="0.25">
      <c r="A285" t="s">
        <v>28</v>
      </c>
      <c r="B285">
        <v>0</v>
      </c>
      <c r="C285">
        <v>1</v>
      </c>
      <c r="D285">
        <v>0</v>
      </c>
      <c r="E285">
        <v>0</v>
      </c>
      <c r="F285">
        <v>0</v>
      </c>
      <c r="G285">
        <v>30.171880000000002</v>
      </c>
      <c r="H285">
        <v>80</v>
      </c>
      <c r="I285">
        <v>1</v>
      </c>
      <c r="J285">
        <v>1</v>
      </c>
      <c r="K285">
        <v>1</v>
      </c>
      <c r="L285">
        <v>30</v>
      </c>
      <c r="M285">
        <v>4</v>
      </c>
    </row>
    <row r="286" spans="1:13" x14ac:dyDescent="0.25">
      <c r="A286" t="s">
        <v>28</v>
      </c>
      <c r="B286">
        <v>0</v>
      </c>
      <c r="C286">
        <v>1</v>
      </c>
      <c r="D286">
        <v>0</v>
      </c>
      <c r="E286">
        <v>0</v>
      </c>
      <c r="F286">
        <v>0</v>
      </c>
      <c r="G286">
        <v>57.33032</v>
      </c>
      <c r="H286">
        <v>0</v>
      </c>
      <c r="I286">
        <v>0</v>
      </c>
      <c r="J286">
        <v>1</v>
      </c>
      <c r="K286">
        <v>0</v>
      </c>
      <c r="L286">
        <v>98</v>
      </c>
      <c r="M286">
        <v>4</v>
      </c>
    </row>
    <row r="287" spans="1:13" x14ac:dyDescent="0.25">
      <c r="A287" t="s">
        <v>29</v>
      </c>
      <c r="B287">
        <v>13</v>
      </c>
      <c r="C287">
        <v>4</v>
      </c>
      <c r="D287">
        <v>0</v>
      </c>
      <c r="E287">
        <v>5</v>
      </c>
      <c r="F287">
        <v>1471</v>
      </c>
      <c r="G287">
        <v>340.36869999999999</v>
      </c>
      <c r="H287">
        <v>2324</v>
      </c>
      <c r="I287">
        <v>20</v>
      </c>
      <c r="J287">
        <v>15</v>
      </c>
      <c r="K287">
        <v>14</v>
      </c>
      <c r="L287">
        <v>83</v>
      </c>
      <c r="M287">
        <v>23</v>
      </c>
    </row>
    <row r="288" spans="1:13" x14ac:dyDescent="0.25">
      <c r="A288" t="s">
        <v>29</v>
      </c>
      <c r="B288">
        <v>0</v>
      </c>
      <c r="C288">
        <v>1</v>
      </c>
      <c r="D288">
        <v>0</v>
      </c>
      <c r="E288">
        <v>0</v>
      </c>
      <c r="F288">
        <v>0</v>
      </c>
      <c r="G288">
        <v>64.110349999999997</v>
      </c>
      <c r="H288">
        <v>178</v>
      </c>
      <c r="I288">
        <v>1</v>
      </c>
      <c r="J288">
        <v>1</v>
      </c>
      <c r="K288">
        <v>4</v>
      </c>
      <c r="L288">
        <v>36</v>
      </c>
      <c r="M288">
        <v>0</v>
      </c>
    </row>
    <row r="289" spans="1:13" x14ac:dyDescent="0.25">
      <c r="A289" t="s">
        <v>29</v>
      </c>
      <c r="B289">
        <v>0</v>
      </c>
      <c r="C289">
        <v>2</v>
      </c>
      <c r="D289">
        <v>0</v>
      </c>
      <c r="E289">
        <v>0</v>
      </c>
      <c r="F289">
        <v>0</v>
      </c>
      <c r="G289">
        <v>34.184690000000003</v>
      </c>
      <c r="H289">
        <v>123</v>
      </c>
      <c r="I289">
        <v>1</v>
      </c>
      <c r="J289">
        <v>1</v>
      </c>
      <c r="K289">
        <v>3</v>
      </c>
      <c r="L289">
        <v>77</v>
      </c>
      <c r="M289">
        <v>0</v>
      </c>
    </row>
    <row r="290" spans="1:13" x14ac:dyDescent="0.25">
      <c r="A290" t="s">
        <v>29</v>
      </c>
      <c r="B290">
        <v>4</v>
      </c>
      <c r="C290">
        <v>4</v>
      </c>
      <c r="D290">
        <v>1</v>
      </c>
      <c r="E290">
        <v>0</v>
      </c>
      <c r="F290">
        <v>0</v>
      </c>
      <c r="G290">
        <v>105231</v>
      </c>
      <c r="H290">
        <v>634</v>
      </c>
      <c r="I290">
        <v>3</v>
      </c>
      <c r="J290">
        <v>4</v>
      </c>
      <c r="K290">
        <v>11</v>
      </c>
      <c r="L290">
        <v>138</v>
      </c>
      <c r="M290">
        <v>0</v>
      </c>
    </row>
    <row r="291" spans="1:13" x14ac:dyDescent="0.25">
      <c r="A291" t="s">
        <v>29</v>
      </c>
      <c r="B291">
        <v>2</v>
      </c>
      <c r="C291">
        <v>1</v>
      </c>
      <c r="D291">
        <v>0</v>
      </c>
      <c r="E291">
        <v>0</v>
      </c>
      <c r="F291">
        <v>0</v>
      </c>
      <c r="G291">
        <v>175.68020000000001</v>
      </c>
      <c r="H291">
        <v>492</v>
      </c>
      <c r="I291">
        <v>0</v>
      </c>
      <c r="J291">
        <v>3</v>
      </c>
      <c r="K291">
        <v>5</v>
      </c>
      <c r="L291">
        <v>44</v>
      </c>
      <c r="M291">
        <v>0</v>
      </c>
    </row>
    <row r="292" spans="1:13" x14ac:dyDescent="0.25">
      <c r="A292" t="s">
        <v>29</v>
      </c>
      <c r="B292">
        <v>0</v>
      </c>
      <c r="C292">
        <v>3</v>
      </c>
      <c r="D292">
        <v>1</v>
      </c>
      <c r="E292">
        <v>0</v>
      </c>
      <c r="F292">
        <v>0</v>
      </c>
      <c r="G292">
        <v>5.2780149999999998E-2</v>
      </c>
      <c r="H292">
        <v>0</v>
      </c>
      <c r="I292">
        <v>0</v>
      </c>
      <c r="J292">
        <v>0</v>
      </c>
      <c r="K292">
        <v>0</v>
      </c>
      <c r="L292">
        <v>0</v>
      </c>
      <c r="M292">
        <v>0</v>
      </c>
    </row>
    <row r="293" spans="1:13" x14ac:dyDescent="0.25">
      <c r="A293" t="s">
        <v>29</v>
      </c>
      <c r="B293">
        <v>4</v>
      </c>
      <c r="C293">
        <v>4</v>
      </c>
      <c r="D293">
        <v>1</v>
      </c>
      <c r="E293">
        <v>0</v>
      </c>
      <c r="F293">
        <v>0</v>
      </c>
      <c r="G293">
        <v>92.614260000000002</v>
      </c>
      <c r="H293">
        <v>639</v>
      </c>
      <c r="I293">
        <v>0</v>
      </c>
      <c r="J293">
        <v>4</v>
      </c>
      <c r="K293">
        <v>3</v>
      </c>
      <c r="L293">
        <v>20</v>
      </c>
      <c r="M293">
        <v>0</v>
      </c>
    </row>
    <row r="294" spans="1:13" x14ac:dyDescent="0.25">
      <c r="A294" t="s">
        <v>29</v>
      </c>
      <c r="B294">
        <v>1</v>
      </c>
      <c r="C294">
        <v>4</v>
      </c>
      <c r="D294">
        <v>0</v>
      </c>
      <c r="E294">
        <v>0</v>
      </c>
      <c r="F294">
        <v>0</v>
      </c>
      <c r="G294">
        <v>89.255489999999995</v>
      </c>
      <c r="H294">
        <v>167</v>
      </c>
      <c r="I294">
        <v>0</v>
      </c>
      <c r="J294">
        <v>2</v>
      </c>
      <c r="K294">
        <v>1</v>
      </c>
      <c r="L294">
        <v>33</v>
      </c>
      <c r="M294">
        <v>13</v>
      </c>
    </row>
    <row r="295" spans="1:13" x14ac:dyDescent="0.25">
      <c r="A295" t="s">
        <v>29</v>
      </c>
      <c r="B295">
        <v>3</v>
      </c>
      <c r="C295">
        <v>3</v>
      </c>
      <c r="D295">
        <v>1</v>
      </c>
      <c r="E295">
        <v>0</v>
      </c>
      <c r="F295">
        <v>0</v>
      </c>
      <c r="G295">
        <v>54.663939999999997</v>
      </c>
      <c r="H295">
        <v>392</v>
      </c>
      <c r="I295">
        <v>0</v>
      </c>
      <c r="J295">
        <v>3</v>
      </c>
      <c r="K295">
        <v>0</v>
      </c>
      <c r="L295">
        <v>197</v>
      </c>
      <c r="M295">
        <v>1</v>
      </c>
    </row>
    <row r="296" spans="1:13" x14ac:dyDescent="0.25">
      <c r="A296" t="s">
        <v>29</v>
      </c>
      <c r="B296">
        <v>0</v>
      </c>
      <c r="C296">
        <v>2</v>
      </c>
      <c r="D296">
        <v>0</v>
      </c>
      <c r="E296">
        <v>0</v>
      </c>
      <c r="F296">
        <v>0</v>
      </c>
      <c r="G296">
        <v>3359863</v>
      </c>
      <c r="H296">
        <v>28</v>
      </c>
      <c r="I296">
        <v>1</v>
      </c>
      <c r="J296">
        <v>1</v>
      </c>
      <c r="K296">
        <v>1</v>
      </c>
      <c r="L296">
        <v>57</v>
      </c>
      <c r="M296">
        <v>0</v>
      </c>
    </row>
    <row r="297" spans="1:13" x14ac:dyDescent="0.25">
      <c r="A297" t="s">
        <v>29</v>
      </c>
      <c r="B297">
        <v>1</v>
      </c>
      <c r="C297">
        <v>1</v>
      </c>
      <c r="D297">
        <v>1</v>
      </c>
      <c r="E297">
        <v>0</v>
      </c>
      <c r="F297">
        <v>0</v>
      </c>
      <c r="G297">
        <v>52.474119999999999</v>
      </c>
      <c r="H297">
        <v>173</v>
      </c>
      <c r="I297">
        <v>0</v>
      </c>
      <c r="J297">
        <v>2</v>
      </c>
      <c r="K297">
        <v>5</v>
      </c>
      <c r="L297">
        <v>91</v>
      </c>
      <c r="M297">
        <v>0</v>
      </c>
    </row>
    <row r="298" spans="1:13" x14ac:dyDescent="0.25">
      <c r="A298" t="s">
        <v>29</v>
      </c>
      <c r="B298">
        <v>2</v>
      </c>
      <c r="C298">
        <v>1</v>
      </c>
      <c r="D298">
        <v>0</v>
      </c>
      <c r="E298">
        <v>1</v>
      </c>
      <c r="F298">
        <v>5</v>
      </c>
      <c r="G298">
        <v>66.324219999999997</v>
      </c>
      <c r="H298">
        <v>352</v>
      </c>
      <c r="I298">
        <v>3</v>
      </c>
      <c r="J298">
        <v>3</v>
      </c>
      <c r="K298">
        <v>1</v>
      </c>
      <c r="L298">
        <v>112</v>
      </c>
      <c r="M298">
        <v>0</v>
      </c>
    </row>
    <row r="299" spans="1:13" x14ac:dyDescent="0.25">
      <c r="A299" t="s">
        <v>29</v>
      </c>
      <c r="B299">
        <v>1</v>
      </c>
      <c r="C299">
        <v>1</v>
      </c>
      <c r="D299">
        <v>1</v>
      </c>
      <c r="E299">
        <v>0</v>
      </c>
      <c r="F299">
        <v>0</v>
      </c>
      <c r="G299">
        <v>56.02478</v>
      </c>
      <c r="H299">
        <v>103</v>
      </c>
      <c r="I299">
        <v>0</v>
      </c>
      <c r="J299">
        <v>0</v>
      </c>
      <c r="K299">
        <v>0</v>
      </c>
      <c r="L299">
        <v>135</v>
      </c>
      <c r="M299">
        <v>0</v>
      </c>
    </row>
    <row r="300" spans="1:13" x14ac:dyDescent="0.25">
      <c r="A300" t="s">
        <v>29</v>
      </c>
      <c r="B300">
        <v>0</v>
      </c>
      <c r="C300">
        <v>1</v>
      </c>
      <c r="D300">
        <v>0</v>
      </c>
      <c r="E300">
        <v>0</v>
      </c>
      <c r="F300">
        <v>0</v>
      </c>
      <c r="G300">
        <v>54.069580000000002</v>
      </c>
      <c r="H300">
        <v>44</v>
      </c>
      <c r="I300">
        <v>0</v>
      </c>
      <c r="J300">
        <v>1</v>
      </c>
      <c r="K300">
        <v>0</v>
      </c>
      <c r="L300">
        <v>70</v>
      </c>
      <c r="M300">
        <v>7</v>
      </c>
    </row>
    <row r="301" spans="1:13" x14ac:dyDescent="0.25">
      <c r="A301" t="s">
        <v>29</v>
      </c>
      <c r="B301">
        <v>1</v>
      </c>
      <c r="C301">
        <v>3</v>
      </c>
      <c r="D301">
        <v>0</v>
      </c>
      <c r="E301">
        <v>17</v>
      </c>
      <c r="F301">
        <v>18</v>
      </c>
      <c r="G301">
        <v>67.342770000000002</v>
      </c>
      <c r="H301">
        <v>330</v>
      </c>
      <c r="I301">
        <v>2</v>
      </c>
      <c r="J301">
        <v>2</v>
      </c>
      <c r="K301">
        <v>8</v>
      </c>
      <c r="L301">
        <v>42</v>
      </c>
      <c r="M301">
        <v>0</v>
      </c>
    </row>
    <row r="302" spans="1:13" x14ac:dyDescent="0.25">
      <c r="A302" t="s">
        <v>29</v>
      </c>
      <c r="B302">
        <v>1</v>
      </c>
      <c r="C302">
        <v>1</v>
      </c>
      <c r="D302">
        <v>0</v>
      </c>
      <c r="E302">
        <v>3</v>
      </c>
      <c r="F302">
        <v>7</v>
      </c>
      <c r="G302">
        <v>48.294429999999998</v>
      </c>
      <c r="H302">
        <v>148</v>
      </c>
      <c r="I302">
        <v>2</v>
      </c>
      <c r="J302">
        <v>2</v>
      </c>
      <c r="K302">
        <v>1</v>
      </c>
      <c r="L302">
        <v>15</v>
      </c>
      <c r="M302">
        <v>0</v>
      </c>
    </row>
    <row r="303" spans="1:13" x14ac:dyDescent="0.25">
      <c r="A303" t="s">
        <v>29</v>
      </c>
      <c r="B303">
        <v>2</v>
      </c>
      <c r="C303">
        <v>4</v>
      </c>
      <c r="D303">
        <v>1</v>
      </c>
      <c r="E303">
        <v>0</v>
      </c>
      <c r="F303">
        <v>37</v>
      </c>
      <c r="G303">
        <v>20.138670000000001</v>
      </c>
      <c r="H303">
        <v>266</v>
      </c>
      <c r="I303">
        <v>1</v>
      </c>
      <c r="J303">
        <v>1</v>
      </c>
      <c r="K303">
        <v>1</v>
      </c>
      <c r="L303">
        <v>56</v>
      </c>
      <c r="M303">
        <v>0</v>
      </c>
    </row>
    <row r="304" spans="1:13" x14ac:dyDescent="0.25">
      <c r="A304" t="s">
        <v>29</v>
      </c>
      <c r="B304">
        <v>0</v>
      </c>
      <c r="C304">
        <v>1</v>
      </c>
      <c r="D304">
        <v>0</v>
      </c>
      <c r="E304">
        <v>0</v>
      </c>
      <c r="F304">
        <v>0</v>
      </c>
      <c r="G304">
        <v>36.022089999999999</v>
      </c>
      <c r="H304">
        <v>107</v>
      </c>
      <c r="I304">
        <v>1</v>
      </c>
      <c r="J304">
        <v>1</v>
      </c>
      <c r="K304">
        <v>9</v>
      </c>
      <c r="L304">
        <v>50</v>
      </c>
      <c r="M304">
        <v>3</v>
      </c>
    </row>
    <row r="305" spans="1:13" x14ac:dyDescent="0.25">
      <c r="A305" t="s">
        <v>29</v>
      </c>
      <c r="B305">
        <v>1</v>
      </c>
      <c r="C305">
        <v>3</v>
      </c>
      <c r="D305">
        <v>1</v>
      </c>
      <c r="E305">
        <v>0</v>
      </c>
      <c r="F305">
        <v>0</v>
      </c>
      <c r="G305">
        <v>35.540529999999997</v>
      </c>
      <c r="H305">
        <v>105</v>
      </c>
      <c r="I305">
        <v>0</v>
      </c>
      <c r="J305">
        <v>2</v>
      </c>
      <c r="K305">
        <v>0</v>
      </c>
      <c r="L305">
        <v>73</v>
      </c>
      <c r="M305">
        <v>0</v>
      </c>
    </row>
    <row r="306" spans="1:13" x14ac:dyDescent="0.25">
      <c r="A306" t="s">
        <v>30</v>
      </c>
      <c r="B306">
        <v>4</v>
      </c>
      <c r="C306">
        <v>4</v>
      </c>
      <c r="D306">
        <v>0</v>
      </c>
      <c r="E306">
        <v>6</v>
      </c>
      <c r="F306">
        <v>2786</v>
      </c>
      <c r="G306">
        <v>407.62700000000001</v>
      </c>
      <c r="H306">
        <v>1160</v>
      </c>
      <c r="I306">
        <v>0</v>
      </c>
      <c r="J306">
        <v>5</v>
      </c>
      <c r="K306">
        <v>14</v>
      </c>
      <c r="L306">
        <v>217</v>
      </c>
      <c r="M306">
        <v>124</v>
      </c>
    </row>
    <row r="307" spans="1:13" x14ac:dyDescent="0.25">
      <c r="A307" t="s">
        <v>30</v>
      </c>
      <c r="B307">
        <v>3</v>
      </c>
      <c r="C307">
        <v>2</v>
      </c>
      <c r="D307">
        <v>0</v>
      </c>
      <c r="E307">
        <v>0</v>
      </c>
      <c r="F307">
        <v>0</v>
      </c>
      <c r="G307">
        <v>206.18950000000001</v>
      </c>
      <c r="H307">
        <v>800</v>
      </c>
      <c r="I307">
        <v>4</v>
      </c>
      <c r="J307">
        <v>5</v>
      </c>
      <c r="K307">
        <v>10</v>
      </c>
      <c r="L307">
        <v>147</v>
      </c>
      <c r="M307">
        <v>0</v>
      </c>
    </row>
    <row r="308" spans="1:13" x14ac:dyDescent="0.25">
      <c r="A308" t="s">
        <v>30</v>
      </c>
      <c r="B308">
        <v>1</v>
      </c>
      <c r="C308">
        <v>3</v>
      </c>
      <c r="D308">
        <v>0</v>
      </c>
      <c r="E308">
        <v>0</v>
      </c>
      <c r="F308">
        <v>0</v>
      </c>
      <c r="G308">
        <v>119.11020000000001</v>
      </c>
      <c r="H308">
        <v>400</v>
      </c>
      <c r="I308">
        <v>2</v>
      </c>
      <c r="J308">
        <v>2</v>
      </c>
      <c r="K308">
        <v>9</v>
      </c>
      <c r="L308">
        <v>271</v>
      </c>
      <c r="M308">
        <v>0</v>
      </c>
    </row>
    <row r="309" spans="1:13" x14ac:dyDescent="0.25">
      <c r="A309" t="s">
        <v>30</v>
      </c>
      <c r="B309">
        <v>3</v>
      </c>
      <c r="C309">
        <v>4</v>
      </c>
      <c r="D309">
        <v>0</v>
      </c>
      <c r="E309">
        <v>3</v>
      </c>
      <c r="F309">
        <v>62</v>
      </c>
      <c r="G309">
        <v>1922961</v>
      </c>
      <c r="H309">
        <v>800</v>
      </c>
      <c r="I309">
        <v>2</v>
      </c>
      <c r="J309">
        <v>4</v>
      </c>
      <c r="K309">
        <v>13</v>
      </c>
      <c r="L309">
        <v>283</v>
      </c>
      <c r="M309">
        <v>45</v>
      </c>
    </row>
    <row r="310" spans="1:13" x14ac:dyDescent="0.25">
      <c r="A310" t="s">
        <v>30</v>
      </c>
      <c r="B310">
        <v>1</v>
      </c>
      <c r="C310">
        <v>4</v>
      </c>
      <c r="D310">
        <v>1</v>
      </c>
      <c r="E310">
        <v>0</v>
      </c>
      <c r="F310">
        <v>0</v>
      </c>
      <c r="G310">
        <v>218.43549999999999</v>
      </c>
      <c r="H310">
        <v>480</v>
      </c>
      <c r="I310">
        <v>0</v>
      </c>
      <c r="J310">
        <v>2</v>
      </c>
      <c r="K310">
        <v>7</v>
      </c>
      <c r="L310">
        <v>55</v>
      </c>
      <c r="M310">
        <v>28</v>
      </c>
    </row>
    <row r="311" spans="1:13" x14ac:dyDescent="0.25">
      <c r="A311" t="s">
        <v>30</v>
      </c>
      <c r="B311">
        <v>0</v>
      </c>
      <c r="C311">
        <v>4</v>
      </c>
      <c r="D311">
        <v>1</v>
      </c>
      <c r="E311">
        <v>0</v>
      </c>
      <c r="F311">
        <v>0</v>
      </c>
      <c r="G311">
        <v>1.9708630000000001E-2</v>
      </c>
      <c r="H311">
        <v>0</v>
      </c>
      <c r="I311">
        <v>0</v>
      </c>
      <c r="J311">
        <v>0</v>
      </c>
      <c r="K311">
        <v>0</v>
      </c>
      <c r="L311">
        <v>1</v>
      </c>
      <c r="M311">
        <v>0</v>
      </c>
    </row>
    <row r="312" spans="1:13" x14ac:dyDescent="0.25">
      <c r="A312" t="s">
        <v>30</v>
      </c>
      <c r="B312">
        <v>5</v>
      </c>
      <c r="C312">
        <v>4</v>
      </c>
      <c r="D312">
        <v>1</v>
      </c>
      <c r="E312">
        <v>0</v>
      </c>
      <c r="F312">
        <v>0</v>
      </c>
      <c r="G312">
        <v>158.62260000000001</v>
      </c>
      <c r="H312">
        <v>680</v>
      </c>
      <c r="I312">
        <v>0</v>
      </c>
      <c r="J312">
        <v>6</v>
      </c>
      <c r="K312">
        <v>3</v>
      </c>
      <c r="L312">
        <v>28</v>
      </c>
      <c r="M312">
        <v>0</v>
      </c>
    </row>
    <row r="313" spans="1:13" x14ac:dyDescent="0.25">
      <c r="A313" t="s">
        <v>30</v>
      </c>
      <c r="B313">
        <v>1</v>
      </c>
      <c r="C313">
        <v>4</v>
      </c>
      <c r="D313">
        <v>0</v>
      </c>
      <c r="E313">
        <v>0</v>
      </c>
      <c r="F313">
        <v>0</v>
      </c>
      <c r="G313">
        <v>150.0746</v>
      </c>
      <c r="H313">
        <v>360</v>
      </c>
      <c r="I313">
        <v>28</v>
      </c>
      <c r="J313">
        <v>2</v>
      </c>
      <c r="K313">
        <v>6</v>
      </c>
      <c r="L313">
        <v>56</v>
      </c>
      <c r="M313">
        <v>18</v>
      </c>
    </row>
    <row r="314" spans="1:13" x14ac:dyDescent="0.25">
      <c r="A314" t="s">
        <v>30</v>
      </c>
      <c r="B314">
        <v>3</v>
      </c>
      <c r="C314">
        <v>3</v>
      </c>
      <c r="D314">
        <v>1</v>
      </c>
      <c r="E314">
        <v>0</v>
      </c>
      <c r="F314">
        <v>0</v>
      </c>
      <c r="G314">
        <v>56.093020000000003</v>
      </c>
      <c r="H314">
        <v>360</v>
      </c>
      <c r="I314">
        <v>0</v>
      </c>
      <c r="J314">
        <v>3</v>
      </c>
      <c r="K314">
        <v>0</v>
      </c>
      <c r="L314">
        <v>162</v>
      </c>
      <c r="M314">
        <v>3</v>
      </c>
    </row>
    <row r="315" spans="1:13" x14ac:dyDescent="0.25">
      <c r="A315" t="s">
        <v>30</v>
      </c>
      <c r="B315">
        <v>0</v>
      </c>
      <c r="C315">
        <v>2</v>
      </c>
      <c r="D315">
        <v>0</v>
      </c>
      <c r="E315">
        <v>1</v>
      </c>
      <c r="F315">
        <v>0</v>
      </c>
      <c r="G315">
        <v>5145801</v>
      </c>
      <c r="H315">
        <v>120</v>
      </c>
      <c r="I315">
        <v>1</v>
      </c>
      <c r="J315">
        <v>1</v>
      </c>
      <c r="K315">
        <v>3</v>
      </c>
      <c r="L315">
        <v>71</v>
      </c>
      <c r="M315">
        <v>0</v>
      </c>
    </row>
    <row r="316" spans="1:13" x14ac:dyDescent="0.25">
      <c r="A316" t="s">
        <v>30</v>
      </c>
      <c r="B316">
        <v>2</v>
      </c>
      <c r="C316">
        <v>3</v>
      </c>
      <c r="D316">
        <v>1</v>
      </c>
      <c r="E316">
        <v>0</v>
      </c>
      <c r="F316">
        <v>0</v>
      </c>
      <c r="G316">
        <v>44.688479999999998</v>
      </c>
      <c r="H316">
        <v>280</v>
      </c>
      <c r="I316">
        <v>0</v>
      </c>
      <c r="J316">
        <v>3</v>
      </c>
      <c r="K316">
        <v>4</v>
      </c>
      <c r="L316">
        <v>69</v>
      </c>
      <c r="M316">
        <v>0</v>
      </c>
    </row>
    <row r="317" spans="1:13" x14ac:dyDescent="0.25">
      <c r="A317" t="s">
        <v>30</v>
      </c>
      <c r="B317">
        <v>2</v>
      </c>
      <c r="C317">
        <v>2</v>
      </c>
      <c r="D317">
        <v>0</v>
      </c>
      <c r="E317">
        <v>7</v>
      </c>
      <c r="F317">
        <v>43</v>
      </c>
      <c r="G317">
        <v>130.59020000000001</v>
      </c>
      <c r="H317">
        <v>560</v>
      </c>
      <c r="I317">
        <v>3</v>
      </c>
      <c r="J317">
        <v>3</v>
      </c>
      <c r="K317">
        <v>7</v>
      </c>
      <c r="L317">
        <v>207</v>
      </c>
      <c r="M317">
        <v>0</v>
      </c>
    </row>
    <row r="318" spans="1:13" x14ac:dyDescent="0.25">
      <c r="A318" t="s">
        <v>30</v>
      </c>
      <c r="B318">
        <v>2</v>
      </c>
      <c r="C318">
        <v>4</v>
      </c>
      <c r="D318">
        <v>1</v>
      </c>
      <c r="E318">
        <v>0</v>
      </c>
      <c r="F318">
        <v>0</v>
      </c>
      <c r="G318">
        <v>40.293700000000001</v>
      </c>
      <c r="H318">
        <v>240</v>
      </c>
      <c r="I318">
        <v>0</v>
      </c>
      <c r="J318">
        <v>0</v>
      </c>
      <c r="K318">
        <v>0</v>
      </c>
      <c r="L318">
        <v>91</v>
      </c>
      <c r="M318">
        <v>0</v>
      </c>
    </row>
    <row r="319" spans="1:13" x14ac:dyDescent="0.25">
      <c r="A319" t="s">
        <v>30</v>
      </c>
      <c r="B319">
        <v>1</v>
      </c>
      <c r="C319">
        <v>2</v>
      </c>
      <c r="D319">
        <v>1</v>
      </c>
      <c r="E319">
        <v>0</v>
      </c>
      <c r="F319">
        <v>0</v>
      </c>
      <c r="G319">
        <v>24.535160000000001</v>
      </c>
      <c r="H319">
        <v>160</v>
      </c>
      <c r="I319">
        <v>0</v>
      </c>
      <c r="J319">
        <v>2</v>
      </c>
      <c r="K319">
        <v>1</v>
      </c>
      <c r="L319">
        <v>9</v>
      </c>
      <c r="M319">
        <v>9</v>
      </c>
    </row>
    <row r="320" spans="1:13" x14ac:dyDescent="0.25">
      <c r="A320" t="s">
        <v>30</v>
      </c>
      <c r="B320">
        <v>0</v>
      </c>
      <c r="C320">
        <v>2</v>
      </c>
      <c r="D320">
        <v>0</v>
      </c>
      <c r="E320">
        <v>9</v>
      </c>
      <c r="F320">
        <v>17</v>
      </c>
      <c r="G320">
        <v>66.193359999999998</v>
      </c>
      <c r="H320">
        <v>160</v>
      </c>
      <c r="I320">
        <v>1</v>
      </c>
      <c r="J320">
        <v>1</v>
      </c>
      <c r="K320">
        <v>4</v>
      </c>
      <c r="L320">
        <v>45</v>
      </c>
      <c r="M320">
        <v>0</v>
      </c>
    </row>
    <row r="321" spans="1:13" x14ac:dyDescent="0.25">
      <c r="A321" t="s">
        <v>30</v>
      </c>
      <c r="B321">
        <v>0</v>
      </c>
      <c r="C321">
        <v>3</v>
      </c>
      <c r="D321">
        <v>0</v>
      </c>
      <c r="E321">
        <v>2</v>
      </c>
      <c r="F321">
        <v>9</v>
      </c>
      <c r="G321">
        <v>65.351070000000007</v>
      </c>
      <c r="H321">
        <v>160</v>
      </c>
      <c r="I321">
        <v>1</v>
      </c>
      <c r="J321">
        <v>1</v>
      </c>
      <c r="K321">
        <v>2</v>
      </c>
      <c r="L321">
        <v>23</v>
      </c>
      <c r="M321">
        <v>0</v>
      </c>
    </row>
    <row r="322" spans="1:13" x14ac:dyDescent="0.25">
      <c r="A322" t="s">
        <v>30</v>
      </c>
      <c r="B322">
        <v>7</v>
      </c>
      <c r="C322">
        <v>4</v>
      </c>
      <c r="D322">
        <v>1</v>
      </c>
      <c r="E322">
        <v>24</v>
      </c>
      <c r="F322">
        <v>300</v>
      </c>
      <c r="G322">
        <v>232.2758</v>
      </c>
      <c r="H322">
        <v>1436</v>
      </c>
      <c r="I322">
        <v>6</v>
      </c>
      <c r="J322">
        <v>5</v>
      </c>
      <c r="K322">
        <v>21</v>
      </c>
      <c r="L322">
        <v>791</v>
      </c>
      <c r="M322">
        <v>4</v>
      </c>
    </row>
    <row r="323" spans="1:13" x14ac:dyDescent="0.25">
      <c r="A323" t="s">
        <v>30</v>
      </c>
      <c r="B323">
        <v>4</v>
      </c>
      <c r="C323">
        <v>4</v>
      </c>
      <c r="D323">
        <v>0</v>
      </c>
      <c r="E323">
        <v>4</v>
      </c>
      <c r="F323">
        <v>19</v>
      </c>
      <c r="G323">
        <v>265.49</v>
      </c>
      <c r="H323">
        <v>1000</v>
      </c>
      <c r="I323">
        <v>5</v>
      </c>
      <c r="J323">
        <v>5</v>
      </c>
      <c r="K323">
        <v>31</v>
      </c>
      <c r="L323">
        <v>270</v>
      </c>
      <c r="M323">
        <v>4</v>
      </c>
    </row>
    <row r="324" spans="1:13" x14ac:dyDescent="0.25">
      <c r="A324" t="s">
        <v>30</v>
      </c>
      <c r="B324">
        <v>1</v>
      </c>
      <c r="C324">
        <v>4</v>
      </c>
      <c r="D324">
        <v>1</v>
      </c>
      <c r="E324">
        <v>0</v>
      </c>
      <c r="F324">
        <v>0</v>
      </c>
      <c r="G324">
        <v>15.161379999999999</v>
      </c>
      <c r="H324">
        <v>120</v>
      </c>
      <c r="I324">
        <v>0</v>
      </c>
      <c r="J324">
        <v>1</v>
      </c>
      <c r="K324">
        <v>0</v>
      </c>
      <c r="L324">
        <v>27</v>
      </c>
      <c r="M324">
        <v>3</v>
      </c>
    </row>
    <row r="325" spans="1:13" x14ac:dyDescent="0.25">
      <c r="A325" t="s">
        <v>31</v>
      </c>
      <c r="B325">
        <v>7</v>
      </c>
      <c r="C325">
        <v>1</v>
      </c>
      <c r="D325">
        <v>1</v>
      </c>
      <c r="E325">
        <v>26</v>
      </c>
      <c r="F325">
        <v>1353</v>
      </c>
      <c r="G325">
        <v>420.09460000000001</v>
      </c>
      <c r="H325">
        <v>1160</v>
      </c>
      <c r="I325">
        <v>2</v>
      </c>
      <c r="J325">
        <v>7</v>
      </c>
      <c r="K325">
        <v>8</v>
      </c>
      <c r="L325">
        <v>78</v>
      </c>
      <c r="M325">
        <v>44</v>
      </c>
    </row>
    <row r="326" spans="1:13" x14ac:dyDescent="0.25">
      <c r="A326" t="s">
        <v>31</v>
      </c>
      <c r="B326">
        <v>0</v>
      </c>
      <c r="C326">
        <v>1</v>
      </c>
      <c r="D326">
        <v>0</v>
      </c>
      <c r="E326">
        <v>1</v>
      </c>
      <c r="F326">
        <v>13</v>
      </c>
      <c r="G326">
        <v>81.802369999999996</v>
      </c>
      <c r="H326">
        <v>200</v>
      </c>
      <c r="I326">
        <v>0</v>
      </c>
      <c r="J326">
        <v>1</v>
      </c>
      <c r="K326">
        <v>7</v>
      </c>
      <c r="L326">
        <v>106</v>
      </c>
      <c r="M326">
        <v>45</v>
      </c>
    </row>
    <row r="327" spans="1:13" x14ac:dyDescent="0.25">
      <c r="A327" t="s">
        <v>31</v>
      </c>
      <c r="B327">
        <v>0</v>
      </c>
      <c r="C327">
        <v>1</v>
      </c>
      <c r="D327">
        <v>0</v>
      </c>
      <c r="E327">
        <v>0</v>
      </c>
      <c r="F327">
        <v>0</v>
      </c>
      <c r="G327">
        <v>39.480289999999997</v>
      </c>
      <c r="H327">
        <v>40</v>
      </c>
      <c r="I327">
        <v>1</v>
      </c>
      <c r="J327">
        <v>1</v>
      </c>
      <c r="K327">
        <v>1</v>
      </c>
      <c r="L327">
        <v>62</v>
      </c>
      <c r="M327">
        <v>0</v>
      </c>
    </row>
    <row r="328" spans="1:13" x14ac:dyDescent="0.25">
      <c r="A328" t="s">
        <v>31</v>
      </c>
      <c r="B328">
        <v>0</v>
      </c>
      <c r="C328">
        <v>1</v>
      </c>
      <c r="D328">
        <v>0</v>
      </c>
      <c r="E328">
        <v>0</v>
      </c>
      <c r="F328">
        <v>0</v>
      </c>
      <c r="G328">
        <v>6642993</v>
      </c>
      <c r="H328">
        <v>160</v>
      </c>
      <c r="I328">
        <v>0</v>
      </c>
      <c r="J328">
        <v>1</v>
      </c>
      <c r="K328">
        <v>2</v>
      </c>
      <c r="L328">
        <v>146</v>
      </c>
      <c r="M328">
        <v>0</v>
      </c>
    </row>
    <row r="329" spans="1:13" x14ac:dyDescent="0.25">
      <c r="A329" t="s">
        <v>31</v>
      </c>
      <c r="B329">
        <v>6</v>
      </c>
      <c r="C329">
        <v>4</v>
      </c>
      <c r="D329">
        <v>1</v>
      </c>
      <c r="E329">
        <v>0</v>
      </c>
      <c r="F329">
        <v>0</v>
      </c>
      <c r="G329">
        <v>239.97550000000001</v>
      </c>
      <c r="H329">
        <v>720</v>
      </c>
      <c r="I329">
        <v>0</v>
      </c>
      <c r="J329">
        <v>6</v>
      </c>
      <c r="K329">
        <v>0</v>
      </c>
      <c r="L329">
        <v>39</v>
      </c>
      <c r="M329">
        <v>2</v>
      </c>
    </row>
    <row r="330" spans="1:13" x14ac:dyDescent="0.25">
      <c r="A330" t="s">
        <v>31</v>
      </c>
      <c r="B330">
        <v>0</v>
      </c>
      <c r="C330">
        <v>3</v>
      </c>
      <c r="D330">
        <v>1</v>
      </c>
      <c r="E330">
        <v>0</v>
      </c>
      <c r="F330">
        <v>0</v>
      </c>
      <c r="G330">
        <v>0.22148509999999999</v>
      </c>
      <c r="H330">
        <v>0</v>
      </c>
      <c r="I330">
        <v>0</v>
      </c>
      <c r="J330">
        <v>0</v>
      </c>
      <c r="K330">
        <v>0</v>
      </c>
      <c r="L330">
        <v>0</v>
      </c>
      <c r="M330">
        <v>0</v>
      </c>
    </row>
    <row r="331" spans="1:13" x14ac:dyDescent="0.25">
      <c r="A331" t="s">
        <v>31</v>
      </c>
      <c r="B331">
        <v>9</v>
      </c>
      <c r="C331">
        <v>4</v>
      </c>
      <c r="D331">
        <v>1</v>
      </c>
      <c r="E331">
        <v>0</v>
      </c>
      <c r="F331">
        <v>0</v>
      </c>
      <c r="G331">
        <v>319.22719999999998</v>
      </c>
      <c r="H331">
        <v>1400</v>
      </c>
      <c r="I331">
        <v>0</v>
      </c>
      <c r="J331">
        <v>10</v>
      </c>
      <c r="K331">
        <v>13</v>
      </c>
      <c r="L331">
        <v>120</v>
      </c>
      <c r="M331">
        <v>0</v>
      </c>
    </row>
    <row r="332" spans="1:13" x14ac:dyDescent="0.25">
      <c r="A332" t="s">
        <v>31</v>
      </c>
      <c r="B332">
        <v>0</v>
      </c>
      <c r="C332">
        <v>1</v>
      </c>
      <c r="D332">
        <v>0</v>
      </c>
      <c r="E332">
        <v>0</v>
      </c>
      <c r="F332">
        <v>0</v>
      </c>
      <c r="G332">
        <v>43.831359999999997</v>
      </c>
      <c r="H332">
        <v>160</v>
      </c>
      <c r="I332">
        <v>1</v>
      </c>
      <c r="J332">
        <v>1</v>
      </c>
      <c r="K332">
        <v>3</v>
      </c>
      <c r="L332">
        <v>15</v>
      </c>
      <c r="M332">
        <v>0</v>
      </c>
    </row>
    <row r="333" spans="1:13" x14ac:dyDescent="0.25">
      <c r="A333" t="s">
        <v>31</v>
      </c>
      <c r="B333">
        <v>8</v>
      </c>
      <c r="C333">
        <v>3</v>
      </c>
      <c r="D333">
        <v>1</v>
      </c>
      <c r="E333">
        <v>0</v>
      </c>
      <c r="F333">
        <v>0</v>
      </c>
      <c r="G333">
        <v>216.6498</v>
      </c>
      <c r="H333">
        <v>960</v>
      </c>
      <c r="I333">
        <v>0</v>
      </c>
      <c r="J333">
        <v>4</v>
      </c>
      <c r="K333">
        <v>0</v>
      </c>
      <c r="L333">
        <v>535</v>
      </c>
      <c r="M333">
        <v>14</v>
      </c>
    </row>
    <row r="334" spans="1:13" x14ac:dyDescent="0.25">
      <c r="A334" t="s">
        <v>31</v>
      </c>
      <c r="B334">
        <v>1</v>
      </c>
      <c r="C334">
        <v>2</v>
      </c>
      <c r="D334">
        <v>0</v>
      </c>
      <c r="E334">
        <v>10</v>
      </c>
      <c r="F334">
        <v>80</v>
      </c>
      <c r="G334">
        <v>1364114</v>
      </c>
      <c r="H334">
        <v>280</v>
      </c>
      <c r="I334">
        <v>0</v>
      </c>
      <c r="J334">
        <v>2</v>
      </c>
      <c r="K334">
        <v>3</v>
      </c>
      <c r="L334">
        <v>127</v>
      </c>
      <c r="M334">
        <v>0</v>
      </c>
    </row>
    <row r="335" spans="1:13" x14ac:dyDescent="0.25">
      <c r="A335" t="s">
        <v>31</v>
      </c>
      <c r="B335">
        <v>1</v>
      </c>
      <c r="C335">
        <v>2</v>
      </c>
      <c r="D335">
        <v>0</v>
      </c>
      <c r="E335">
        <v>0</v>
      </c>
      <c r="F335">
        <v>0</v>
      </c>
      <c r="G335">
        <v>100.9781</v>
      </c>
      <c r="H335">
        <v>160</v>
      </c>
      <c r="I335">
        <v>0</v>
      </c>
      <c r="J335">
        <v>2</v>
      </c>
      <c r="K335">
        <v>1</v>
      </c>
      <c r="L335">
        <v>124</v>
      </c>
      <c r="M335">
        <v>0</v>
      </c>
    </row>
    <row r="336" spans="1:13" x14ac:dyDescent="0.25">
      <c r="A336" t="s">
        <v>31</v>
      </c>
      <c r="B336">
        <v>0</v>
      </c>
      <c r="C336">
        <v>1</v>
      </c>
      <c r="D336">
        <v>0</v>
      </c>
      <c r="E336">
        <v>3</v>
      </c>
      <c r="F336">
        <v>6</v>
      </c>
      <c r="G336">
        <v>35.37256</v>
      </c>
      <c r="H336">
        <v>40</v>
      </c>
      <c r="I336">
        <v>1</v>
      </c>
      <c r="J336">
        <v>1</v>
      </c>
      <c r="K336">
        <v>0</v>
      </c>
      <c r="L336">
        <v>43</v>
      </c>
      <c r="M336">
        <v>0</v>
      </c>
    </row>
    <row r="337" spans="1:13" x14ac:dyDescent="0.25">
      <c r="A337" t="s">
        <v>31</v>
      </c>
      <c r="B337">
        <v>5</v>
      </c>
      <c r="C337">
        <v>4</v>
      </c>
      <c r="D337">
        <v>1</v>
      </c>
      <c r="E337">
        <v>0</v>
      </c>
      <c r="F337">
        <v>0</v>
      </c>
      <c r="G337">
        <v>114.5457</v>
      </c>
      <c r="H337">
        <v>600</v>
      </c>
      <c r="I337">
        <v>0</v>
      </c>
      <c r="J337">
        <v>0</v>
      </c>
      <c r="K337">
        <v>0</v>
      </c>
      <c r="L337">
        <v>256</v>
      </c>
      <c r="M337">
        <v>17</v>
      </c>
    </row>
    <row r="338" spans="1:13" x14ac:dyDescent="0.25">
      <c r="A338" t="s">
        <v>31</v>
      </c>
      <c r="B338">
        <v>3</v>
      </c>
      <c r="C338">
        <v>4</v>
      </c>
      <c r="D338">
        <v>1</v>
      </c>
      <c r="E338">
        <v>0</v>
      </c>
      <c r="F338">
        <v>0</v>
      </c>
      <c r="G338">
        <v>181.76480000000001</v>
      </c>
      <c r="H338">
        <v>440</v>
      </c>
      <c r="I338">
        <v>0</v>
      </c>
      <c r="J338">
        <v>3</v>
      </c>
      <c r="K338">
        <v>2</v>
      </c>
      <c r="L338">
        <v>84</v>
      </c>
      <c r="M338">
        <v>276</v>
      </c>
    </row>
    <row r="339" spans="1:13" x14ac:dyDescent="0.25">
      <c r="A339" t="s">
        <v>31</v>
      </c>
      <c r="B339">
        <v>0</v>
      </c>
      <c r="C339">
        <v>1</v>
      </c>
      <c r="D339">
        <v>0</v>
      </c>
      <c r="E339">
        <v>10</v>
      </c>
      <c r="F339">
        <v>19</v>
      </c>
      <c r="G339">
        <v>62.211300000000001</v>
      </c>
      <c r="H339">
        <v>40</v>
      </c>
      <c r="I339">
        <v>1</v>
      </c>
      <c r="J339">
        <v>1</v>
      </c>
      <c r="K339">
        <v>0</v>
      </c>
      <c r="L339">
        <v>16</v>
      </c>
      <c r="M339">
        <v>0</v>
      </c>
    </row>
    <row r="340" spans="1:13" x14ac:dyDescent="0.25">
      <c r="A340" t="s">
        <v>31</v>
      </c>
      <c r="B340">
        <v>0</v>
      </c>
      <c r="C340">
        <v>1</v>
      </c>
      <c r="D340">
        <v>0</v>
      </c>
      <c r="E340">
        <v>18</v>
      </c>
      <c r="F340">
        <v>51</v>
      </c>
      <c r="G340">
        <v>76.376649999999998</v>
      </c>
      <c r="H340">
        <v>200</v>
      </c>
      <c r="I340">
        <v>1</v>
      </c>
      <c r="J340">
        <v>3</v>
      </c>
      <c r="K340">
        <v>4</v>
      </c>
      <c r="L340">
        <v>15</v>
      </c>
      <c r="M340">
        <v>0</v>
      </c>
    </row>
    <row r="341" spans="1:13" x14ac:dyDescent="0.25">
      <c r="A341" t="s">
        <v>31</v>
      </c>
      <c r="B341">
        <v>5</v>
      </c>
      <c r="C341">
        <v>4</v>
      </c>
      <c r="D341">
        <v>0</v>
      </c>
      <c r="E341">
        <v>5</v>
      </c>
      <c r="F341">
        <v>305</v>
      </c>
      <c r="G341">
        <v>188.2946</v>
      </c>
      <c r="H341">
        <v>1120</v>
      </c>
      <c r="I341">
        <v>6</v>
      </c>
      <c r="J341">
        <v>6</v>
      </c>
      <c r="K341">
        <v>13</v>
      </c>
      <c r="L341">
        <v>568</v>
      </c>
      <c r="M341">
        <v>6</v>
      </c>
    </row>
    <row r="342" spans="1:13" x14ac:dyDescent="0.25">
      <c r="A342" t="s">
        <v>31</v>
      </c>
      <c r="B342">
        <v>0</v>
      </c>
      <c r="C342">
        <v>1</v>
      </c>
      <c r="D342">
        <v>0</v>
      </c>
      <c r="E342">
        <v>0</v>
      </c>
      <c r="F342">
        <v>0</v>
      </c>
      <c r="G342">
        <v>33.666870000000003</v>
      </c>
      <c r="H342">
        <v>200</v>
      </c>
      <c r="I342">
        <v>1</v>
      </c>
      <c r="J342">
        <v>1</v>
      </c>
      <c r="K342">
        <v>9</v>
      </c>
      <c r="L342">
        <v>52</v>
      </c>
      <c r="M342">
        <v>0</v>
      </c>
    </row>
    <row r="343" spans="1:13" x14ac:dyDescent="0.25">
      <c r="A343" t="s">
        <v>31</v>
      </c>
      <c r="B343">
        <v>5</v>
      </c>
      <c r="C343">
        <v>4</v>
      </c>
      <c r="D343">
        <v>1</v>
      </c>
      <c r="E343">
        <v>1</v>
      </c>
      <c r="F343">
        <v>151</v>
      </c>
      <c r="G343">
        <v>129.83760000000001</v>
      </c>
      <c r="H343">
        <v>600</v>
      </c>
      <c r="I343">
        <v>4</v>
      </c>
      <c r="J343">
        <v>5</v>
      </c>
      <c r="K343">
        <v>0</v>
      </c>
      <c r="L343">
        <v>92</v>
      </c>
      <c r="M343">
        <v>14</v>
      </c>
    </row>
    <row r="344" spans="1:13" x14ac:dyDescent="0.25">
      <c r="A344" t="s">
        <v>32</v>
      </c>
      <c r="B344">
        <v>4</v>
      </c>
      <c r="C344">
        <v>1</v>
      </c>
      <c r="D344">
        <v>1</v>
      </c>
      <c r="E344">
        <v>1</v>
      </c>
      <c r="F344">
        <v>1063</v>
      </c>
      <c r="G344">
        <v>175.82730000000001</v>
      </c>
      <c r="H344">
        <v>520</v>
      </c>
      <c r="I344">
        <v>0</v>
      </c>
      <c r="J344">
        <v>4</v>
      </c>
      <c r="K344">
        <v>1</v>
      </c>
      <c r="L344">
        <v>51</v>
      </c>
      <c r="M344">
        <v>52</v>
      </c>
    </row>
    <row r="345" spans="1:13" x14ac:dyDescent="0.25">
      <c r="A345" t="s">
        <v>32</v>
      </c>
      <c r="B345">
        <v>1</v>
      </c>
      <c r="C345">
        <v>2</v>
      </c>
      <c r="D345">
        <v>0</v>
      </c>
      <c r="E345">
        <v>0</v>
      </c>
      <c r="F345">
        <v>26</v>
      </c>
      <c r="G345">
        <v>97.000609999999995</v>
      </c>
      <c r="H345">
        <v>320</v>
      </c>
      <c r="I345">
        <v>0</v>
      </c>
      <c r="J345">
        <v>2</v>
      </c>
      <c r="K345">
        <v>6</v>
      </c>
      <c r="L345">
        <v>156</v>
      </c>
      <c r="M345">
        <v>58</v>
      </c>
    </row>
    <row r="346" spans="1:13" x14ac:dyDescent="0.25">
      <c r="A346" t="s">
        <v>32</v>
      </c>
      <c r="B346">
        <v>0</v>
      </c>
      <c r="C346">
        <v>1</v>
      </c>
      <c r="D346">
        <v>0</v>
      </c>
      <c r="E346">
        <v>0</v>
      </c>
      <c r="F346">
        <v>0</v>
      </c>
      <c r="G346">
        <v>38.981140000000003</v>
      </c>
      <c r="H346">
        <v>160</v>
      </c>
      <c r="I346">
        <v>1</v>
      </c>
      <c r="J346">
        <v>1</v>
      </c>
      <c r="K346">
        <v>2</v>
      </c>
      <c r="L346">
        <v>55</v>
      </c>
      <c r="M346">
        <v>0</v>
      </c>
    </row>
    <row r="347" spans="1:13" x14ac:dyDescent="0.25">
      <c r="A347" t="s">
        <v>32</v>
      </c>
      <c r="B347">
        <v>1</v>
      </c>
      <c r="C347">
        <v>2</v>
      </c>
      <c r="D347">
        <v>0</v>
      </c>
      <c r="E347">
        <v>0</v>
      </c>
      <c r="F347">
        <v>0</v>
      </c>
      <c r="G347">
        <v>7344623</v>
      </c>
      <c r="H347">
        <v>280</v>
      </c>
      <c r="I347">
        <v>0</v>
      </c>
      <c r="J347">
        <v>2</v>
      </c>
      <c r="K347">
        <v>3</v>
      </c>
      <c r="L347">
        <v>173</v>
      </c>
      <c r="M347">
        <v>0</v>
      </c>
    </row>
    <row r="348" spans="1:13" x14ac:dyDescent="0.25">
      <c r="A348" t="s">
        <v>32</v>
      </c>
      <c r="B348">
        <v>8</v>
      </c>
      <c r="C348">
        <v>4</v>
      </c>
      <c r="D348">
        <v>1</v>
      </c>
      <c r="E348">
        <v>0</v>
      </c>
      <c r="F348">
        <v>0</v>
      </c>
      <c r="G348">
        <v>397.62540000000001</v>
      </c>
      <c r="H348">
        <v>1400</v>
      </c>
      <c r="I348">
        <v>0</v>
      </c>
      <c r="J348">
        <v>9</v>
      </c>
      <c r="K348">
        <v>11</v>
      </c>
      <c r="L348">
        <v>80</v>
      </c>
      <c r="M348">
        <v>2</v>
      </c>
    </row>
    <row r="349" spans="1:13" x14ac:dyDescent="0.25">
      <c r="A349" t="s">
        <v>32</v>
      </c>
      <c r="B349">
        <v>0</v>
      </c>
      <c r="C349">
        <v>4</v>
      </c>
      <c r="D349">
        <v>1</v>
      </c>
      <c r="E349">
        <v>0</v>
      </c>
      <c r="F349">
        <v>0</v>
      </c>
      <c r="G349">
        <v>0.22427269999999999</v>
      </c>
      <c r="H349">
        <v>0</v>
      </c>
      <c r="I349">
        <v>0</v>
      </c>
      <c r="J349">
        <v>0</v>
      </c>
      <c r="K349">
        <v>0</v>
      </c>
      <c r="L349">
        <v>0</v>
      </c>
      <c r="M349">
        <v>0</v>
      </c>
    </row>
    <row r="350" spans="1:13" x14ac:dyDescent="0.25">
      <c r="A350" t="s">
        <v>32</v>
      </c>
      <c r="B350">
        <v>0</v>
      </c>
      <c r="C350">
        <v>3</v>
      </c>
      <c r="D350">
        <v>1</v>
      </c>
      <c r="E350">
        <v>0</v>
      </c>
      <c r="F350">
        <v>0</v>
      </c>
      <c r="G350">
        <v>25.426639999999999</v>
      </c>
      <c r="H350">
        <v>40</v>
      </c>
      <c r="I350">
        <v>0</v>
      </c>
      <c r="J350">
        <v>1</v>
      </c>
      <c r="K350">
        <v>0</v>
      </c>
      <c r="L350">
        <v>10</v>
      </c>
      <c r="M350">
        <v>0</v>
      </c>
    </row>
    <row r="351" spans="1:13" x14ac:dyDescent="0.25">
      <c r="A351" t="s">
        <v>32</v>
      </c>
      <c r="B351">
        <v>0</v>
      </c>
      <c r="C351">
        <v>1</v>
      </c>
      <c r="D351">
        <v>0</v>
      </c>
      <c r="E351">
        <v>0</v>
      </c>
      <c r="F351">
        <v>0</v>
      </c>
      <c r="G351">
        <v>27.985379999999999</v>
      </c>
      <c r="H351">
        <v>80</v>
      </c>
      <c r="I351">
        <v>1</v>
      </c>
      <c r="J351">
        <v>1</v>
      </c>
      <c r="K351">
        <v>1</v>
      </c>
      <c r="L351">
        <v>11</v>
      </c>
      <c r="M351">
        <v>0</v>
      </c>
    </row>
    <row r="352" spans="1:13" x14ac:dyDescent="0.25">
      <c r="A352" t="s">
        <v>32</v>
      </c>
      <c r="B352">
        <v>2</v>
      </c>
      <c r="C352">
        <v>3</v>
      </c>
      <c r="D352">
        <v>1</v>
      </c>
      <c r="E352">
        <v>0</v>
      </c>
      <c r="F352">
        <v>0</v>
      </c>
      <c r="G352">
        <v>62.643189999999997</v>
      </c>
      <c r="H352">
        <v>240</v>
      </c>
      <c r="I352">
        <v>0</v>
      </c>
      <c r="J352">
        <v>3</v>
      </c>
      <c r="K352">
        <v>0</v>
      </c>
      <c r="L352">
        <v>102</v>
      </c>
      <c r="M352">
        <v>11</v>
      </c>
    </row>
    <row r="353" spans="1:13" x14ac:dyDescent="0.25">
      <c r="A353" t="s">
        <v>32</v>
      </c>
      <c r="B353">
        <v>1</v>
      </c>
      <c r="C353">
        <v>3</v>
      </c>
      <c r="D353">
        <v>0</v>
      </c>
      <c r="E353">
        <v>14</v>
      </c>
      <c r="F353">
        <v>62</v>
      </c>
      <c r="G353">
        <v>1774532</v>
      </c>
      <c r="H353">
        <v>320</v>
      </c>
      <c r="I353">
        <v>0</v>
      </c>
      <c r="J353">
        <v>2</v>
      </c>
      <c r="K353">
        <v>3</v>
      </c>
      <c r="L353">
        <v>192</v>
      </c>
      <c r="M353">
        <v>0</v>
      </c>
    </row>
    <row r="354" spans="1:13" x14ac:dyDescent="0.25">
      <c r="A354" t="s">
        <v>32</v>
      </c>
      <c r="B354">
        <v>0</v>
      </c>
      <c r="C354">
        <v>1</v>
      </c>
      <c r="D354">
        <v>1</v>
      </c>
      <c r="E354">
        <v>0</v>
      </c>
      <c r="F354">
        <v>0</v>
      </c>
      <c r="G354">
        <v>0.50952149999999996</v>
      </c>
      <c r="H354">
        <v>0</v>
      </c>
      <c r="I354">
        <v>0</v>
      </c>
      <c r="J354">
        <v>0</v>
      </c>
      <c r="K354">
        <v>0</v>
      </c>
      <c r="L354">
        <v>0</v>
      </c>
      <c r="M354">
        <v>0</v>
      </c>
    </row>
    <row r="355" spans="1:13" x14ac:dyDescent="0.25">
      <c r="A355" t="s">
        <v>32</v>
      </c>
      <c r="B355">
        <v>1</v>
      </c>
      <c r="C355">
        <v>1</v>
      </c>
      <c r="D355">
        <v>0</v>
      </c>
      <c r="E355">
        <v>9</v>
      </c>
      <c r="F355">
        <v>27</v>
      </c>
      <c r="G355">
        <v>60.305759999999999</v>
      </c>
      <c r="H355">
        <v>160</v>
      </c>
      <c r="I355">
        <v>2</v>
      </c>
      <c r="J355">
        <v>2</v>
      </c>
      <c r="K355">
        <v>0</v>
      </c>
      <c r="L355">
        <v>90</v>
      </c>
      <c r="M355">
        <v>0</v>
      </c>
    </row>
    <row r="356" spans="1:13" x14ac:dyDescent="0.25">
      <c r="A356" t="s">
        <v>32</v>
      </c>
      <c r="B356">
        <v>8</v>
      </c>
      <c r="C356">
        <v>3</v>
      </c>
      <c r="D356">
        <v>1</v>
      </c>
      <c r="E356">
        <v>0</v>
      </c>
      <c r="F356">
        <v>0</v>
      </c>
      <c r="G356">
        <v>170.46250000000001</v>
      </c>
      <c r="H356">
        <v>960</v>
      </c>
      <c r="I356">
        <v>0</v>
      </c>
      <c r="J356">
        <v>0</v>
      </c>
      <c r="K356">
        <v>0</v>
      </c>
      <c r="L356">
        <v>379</v>
      </c>
      <c r="M356">
        <v>1</v>
      </c>
    </row>
    <row r="357" spans="1:13" x14ac:dyDescent="0.25">
      <c r="A357" t="s">
        <v>32</v>
      </c>
      <c r="B357">
        <v>0</v>
      </c>
      <c r="C357">
        <v>2</v>
      </c>
      <c r="D357">
        <v>0</v>
      </c>
      <c r="E357">
        <v>0</v>
      </c>
      <c r="F357">
        <v>0</v>
      </c>
      <c r="G357">
        <v>86.627440000000007</v>
      </c>
      <c r="H357">
        <v>80</v>
      </c>
      <c r="I357">
        <v>0</v>
      </c>
      <c r="J357">
        <v>1</v>
      </c>
      <c r="K357">
        <v>2</v>
      </c>
      <c r="L357">
        <v>55</v>
      </c>
      <c r="M357">
        <v>192</v>
      </c>
    </row>
    <row r="358" spans="1:13" x14ac:dyDescent="0.25">
      <c r="A358" t="s">
        <v>32</v>
      </c>
      <c r="B358">
        <v>1</v>
      </c>
      <c r="C358">
        <v>1</v>
      </c>
      <c r="D358">
        <v>0</v>
      </c>
      <c r="E358">
        <v>15</v>
      </c>
      <c r="F358">
        <v>26</v>
      </c>
      <c r="G358">
        <v>72.202820000000003</v>
      </c>
      <c r="H358">
        <v>280</v>
      </c>
      <c r="I358">
        <v>2</v>
      </c>
      <c r="J358">
        <v>2</v>
      </c>
      <c r="K358">
        <v>5</v>
      </c>
      <c r="L358">
        <v>40</v>
      </c>
      <c r="M358">
        <v>0</v>
      </c>
    </row>
    <row r="359" spans="1:13" x14ac:dyDescent="0.25">
      <c r="A359" t="s">
        <v>32</v>
      </c>
      <c r="B359">
        <v>0</v>
      </c>
      <c r="C359">
        <v>1</v>
      </c>
      <c r="D359">
        <v>0</v>
      </c>
      <c r="E359">
        <v>11</v>
      </c>
      <c r="F359">
        <v>33</v>
      </c>
      <c r="G359">
        <v>48.377200000000002</v>
      </c>
      <c r="H359">
        <v>120</v>
      </c>
      <c r="I359">
        <v>1</v>
      </c>
      <c r="J359">
        <v>1</v>
      </c>
      <c r="K359">
        <v>2</v>
      </c>
      <c r="L359">
        <v>9</v>
      </c>
      <c r="M359">
        <v>0</v>
      </c>
    </row>
    <row r="360" spans="1:13" x14ac:dyDescent="0.25">
      <c r="A360" t="s">
        <v>32</v>
      </c>
      <c r="B360">
        <v>0</v>
      </c>
      <c r="C360">
        <v>1</v>
      </c>
      <c r="D360">
        <v>0</v>
      </c>
      <c r="E360">
        <v>0</v>
      </c>
      <c r="F360">
        <v>69</v>
      </c>
      <c r="G360">
        <v>39.654719999999998</v>
      </c>
      <c r="H360">
        <v>120</v>
      </c>
      <c r="I360">
        <v>1</v>
      </c>
      <c r="J360">
        <v>1</v>
      </c>
      <c r="K360">
        <v>2</v>
      </c>
      <c r="L360">
        <v>148</v>
      </c>
      <c r="M360">
        <v>0</v>
      </c>
    </row>
    <row r="361" spans="1:13" x14ac:dyDescent="0.25">
      <c r="A361" t="s">
        <v>32</v>
      </c>
      <c r="B361">
        <v>0</v>
      </c>
      <c r="C361">
        <v>1</v>
      </c>
      <c r="D361">
        <v>0</v>
      </c>
      <c r="E361">
        <v>0</v>
      </c>
      <c r="F361">
        <v>0</v>
      </c>
      <c r="G361">
        <v>43.127690000000001</v>
      </c>
      <c r="H361">
        <v>160</v>
      </c>
      <c r="I361">
        <v>3</v>
      </c>
      <c r="J361">
        <v>1</v>
      </c>
      <c r="K361">
        <v>4</v>
      </c>
      <c r="L361">
        <v>46</v>
      </c>
      <c r="M361">
        <v>6</v>
      </c>
    </row>
    <row r="362" spans="1:13" x14ac:dyDescent="0.25">
      <c r="A362" t="s">
        <v>32</v>
      </c>
      <c r="B362">
        <v>4</v>
      </c>
      <c r="C362">
        <v>3</v>
      </c>
      <c r="D362">
        <v>1</v>
      </c>
      <c r="E362">
        <v>5</v>
      </c>
      <c r="F362">
        <v>42</v>
      </c>
      <c r="G362">
        <v>137.75120000000001</v>
      </c>
      <c r="H362">
        <v>480</v>
      </c>
      <c r="I362">
        <v>1</v>
      </c>
      <c r="J362">
        <v>7</v>
      </c>
      <c r="K362">
        <v>0</v>
      </c>
      <c r="L362">
        <v>90</v>
      </c>
      <c r="M362">
        <v>15</v>
      </c>
    </row>
    <row r="363" spans="1:13" x14ac:dyDescent="0.25">
      <c r="A363" t="s">
        <v>33</v>
      </c>
      <c r="B363">
        <v>3</v>
      </c>
      <c r="C363">
        <v>1</v>
      </c>
      <c r="D363">
        <v>0</v>
      </c>
      <c r="E363">
        <v>2</v>
      </c>
      <c r="F363">
        <v>51</v>
      </c>
      <c r="G363">
        <v>182.32429999999999</v>
      </c>
      <c r="H363">
        <v>440</v>
      </c>
      <c r="I363">
        <v>1</v>
      </c>
      <c r="J363">
        <v>5</v>
      </c>
      <c r="K363">
        <v>0</v>
      </c>
      <c r="L363">
        <v>35</v>
      </c>
      <c r="M363">
        <v>16</v>
      </c>
    </row>
    <row r="364" spans="1:13" x14ac:dyDescent="0.25">
      <c r="A364" t="s">
        <v>33</v>
      </c>
      <c r="B364">
        <v>0</v>
      </c>
      <c r="C364">
        <v>1</v>
      </c>
      <c r="D364">
        <v>0</v>
      </c>
      <c r="E364">
        <v>12</v>
      </c>
      <c r="F364">
        <v>216</v>
      </c>
      <c r="G364">
        <v>68.329830000000001</v>
      </c>
      <c r="H364">
        <v>200</v>
      </c>
      <c r="I364">
        <v>1</v>
      </c>
      <c r="J364">
        <v>1</v>
      </c>
      <c r="K364">
        <v>5</v>
      </c>
      <c r="L364">
        <v>63</v>
      </c>
      <c r="M364">
        <v>0</v>
      </c>
    </row>
    <row r="365" spans="1:13" x14ac:dyDescent="0.25">
      <c r="A365" t="s">
        <v>33</v>
      </c>
      <c r="B365">
        <v>0</v>
      </c>
      <c r="C365">
        <v>1</v>
      </c>
      <c r="D365">
        <v>0</v>
      </c>
      <c r="E365">
        <v>0</v>
      </c>
      <c r="F365">
        <v>0</v>
      </c>
      <c r="G365">
        <v>35.390929999999997</v>
      </c>
      <c r="H365">
        <v>80</v>
      </c>
      <c r="I365">
        <v>1</v>
      </c>
      <c r="J365">
        <v>1</v>
      </c>
      <c r="K365">
        <v>1</v>
      </c>
      <c r="L365">
        <v>39</v>
      </c>
      <c r="M365">
        <v>0</v>
      </c>
    </row>
    <row r="366" spans="1:13" x14ac:dyDescent="0.25">
      <c r="A366" t="s">
        <v>33</v>
      </c>
      <c r="B366">
        <v>0</v>
      </c>
      <c r="C366">
        <v>1</v>
      </c>
      <c r="D366">
        <v>0</v>
      </c>
      <c r="E366">
        <v>0</v>
      </c>
      <c r="F366">
        <v>0</v>
      </c>
      <c r="G366">
        <v>1432782</v>
      </c>
      <c r="H366">
        <v>0</v>
      </c>
      <c r="I366">
        <v>0</v>
      </c>
      <c r="J366">
        <v>1</v>
      </c>
      <c r="K366">
        <v>0</v>
      </c>
      <c r="L366">
        <v>35</v>
      </c>
      <c r="M366">
        <v>0</v>
      </c>
    </row>
    <row r="367" spans="1:13" x14ac:dyDescent="0.25">
      <c r="A367" t="s">
        <v>33</v>
      </c>
      <c r="B367">
        <v>0</v>
      </c>
      <c r="C367">
        <v>1</v>
      </c>
      <c r="D367">
        <v>0</v>
      </c>
      <c r="E367">
        <v>0</v>
      </c>
      <c r="F367">
        <v>0</v>
      </c>
      <c r="G367">
        <v>62.5426</v>
      </c>
      <c r="H367">
        <v>160</v>
      </c>
      <c r="I367">
        <v>0</v>
      </c>
      <c r="J367">
        <v>1</v>
      </c>
      <c r="K367">
        <v>3</v>
      </c>
      <c r="L367">
        <v>20</v>
      </c>
      <c r="M367">
        <v>0</v>
      </c>
    </row>
    <row r="368" spans="1:13" x14ac:dyDescent="0.25">
      <c r="A368" t="s">
        <v>33</v>
      </c>
      <c r="B368">
        <v>0</v>
      </c>
      <c r="C368">
        <v>2</v>
      </c>
      <c r="D368">
        <v>1</v>
      </c>
      <c r="E368">
        <v>0</v>
      </c>
      <c r="F368">
        <v>0</v>
      </c>
      <c r="G368">
        <v>0.27042769999999999</v>
      </c>
      <c r="H368">
        <v>0</v>
      </c>
      <c r="I368">
        <v>0</v>
      </c>
      <c r="J368">
        <v>0</v>
      </c>
      <c r="K368">
        <v>0</v>
      </c>
      <c r="L368">
        <v>0</v>
      </c>
      <c r="M368">
        <v>0</v>
      </c>
    </row>
    <row r="369" spans="1:13" x14ac:dyDescent="0.25">
      <c r="A369" t="s">
        <v>33</v>
      </c>
      <c r="B369">
        <v>0</v>
      </c>
      <c r="C369">
        <v>1</v>
      </c>
      <c r="D369">
        <v>0</v>
      </c>
      <c r="E369">
        <v>0</v>
      </c>
      <c r="F369">
        <v>0</v>
      </c>
      <c r="G369">
        <v>25.991879999999998</v>
      </c>
      <c r="H369">
        <v>40</v>
      </c>
      <c r="I369">
        <v>0</v>
      </c>
      <c r="J369">
        <v>1</v>
      </c>
      <c r="K369">
        <v>0</v>
      </c>
      <c r="L369">
        <v>7</v>
      </c>
      <c r="M369">
        <v>0</v>
      </c>
    </row>
    <row r="370" spans="1:13" x14ac:dyDescent="0.25">
      <c r="A370" t="s">
        <v>33</v>
      </c>
      <c r="B370">
        <v>0</v>
      </c>
      <c r="C370">
        <v>1</v>
      </c>
      <c r="D370">
        <v>0</v>
      </c>
      <c r="E370">
        <v>0</v>
      </c>
      <c r="F370">
        <v>0</v>
      </c>
      <c r="G370">
        <v>15.479660000000001</v>
      </c>
      <c r="H370">
        <v>0</v>
      </c>
      <c r="I370">
        <v>1</v>
      </c>
      <c r="J370">
        <v>1</v>
      </c>
      <c r="K370">
        <v>0</v>
      </c>
      <c r="L370">
        <v>6</v>
      </c>
      <c r="M370">
        <v>0</v>
      </c>
    </row>
    <row r="371" spans="1:13" x14ac:dyDescent="0.25">
      <c r="A371" t="s">
        <v>33</v>
      </c>
      <c r="B371">
        <v>1</v>
      </c>
      <c r="C371">
        <v>2</v>
      </c>
      <c r="D371">
        <v>0</v>
      </c>
      <c r="E371">
        <v>0</v>
      </c>
      <c r="F371">
        <v>0</v>
      </c>
      <c r="G371">
        <v>33.904299999999999</v>
      </c>
      <c r="H371">
        <v>160</v>
      </c>
      <c r="I371">
        <v>0</v>
      </c>
      <c r="J371">
        <v>2</v>
      </c>
      <c r="K371">
        <v>0</v>
      </c>
      <c r="L371">
        <v>83</v>
      </c>
      <c r="M371">
        <v>2</v>
      </c>
    </row>
    <row r="372" spans="1:13" x14ac:dyDescent="0.25">
      <c r="A372" t="s">
        <v>33</v>
      </c>
      <c r="B372">
        <v>0</v>
      </c>
      <c r="C372">
        <v>1</v>
      </c>
      <c r="D372">
        <v>0</v>
      </c>
      <c r="E372">
        <v>0</v>
      </c>
      <c r="F372">
        <v>0</v>
      </c>
      <c r="G372">
        <v>4805408</v>
      </c>
      <c r="H372">
        <v>0</v>
      </c>
      <c r="I372">
        <v>0</v>
      </c>
      <c r="J372">
        <v>1</v>
      </c>
      <c r="K372">
        <v>0</v>
      </c>
      <c r="L372">
        <v>30</v>
      </c>
      <c r="M372">
        <v>0</v>
      </c>
    </row>
    <row r="373" spans="1:13" x14ac:dyDescent="0.25">
      <c r="A373" t="s">
        <v>33</v>
      </c>
      <c r="B373">
        <v>0</v>
      </c>
      <c r="C373">
        <v>2</v>
      </c>
      <c r="D373">
        <v>0</v>
      </c>
      <c r="E373">
        <v>0</v>
      </c>
      <c r="F373">
        <v>0</v>
      </c>
      <c r="G373">
        <v>107.4008</v>
      </c>
      <c r="H373">
        <v>120</v>
      </c>
      <c r="I373">
        <v>0</v>
      </c>
      <c r="J373">
        <v>1</v>
      </c>
      <c r="K373">
        <v>8</v>
      </c>
      <c r="L373">
        <v>96</v>
      </c>
      <c r="M373">
        <v>1</v>
      </c>
    </row>
    <row r="374" spans="1:13" x14ac:dyDescent="0.25">
      <c r="A374" t="s">
        <v>33</v>
      </c>
      <c r="B374">
        <v>0</v>
      </c>
      <c r="C374">
        <v>1</v>
      </c>
      <c r="D374">
        <v>0</v>
      </c>
      <c r="E374">
        <v>2</v>
      </c>
      <c r="F374">
        <v>11</v>
      </c>
      <c r="G374">
        <v>15.735200000000001</v>
      </c>
      <c r="H374">
        <v>80</v>
      </c>
      <c r="I374">
        <v>1</v>
      </c>
      <c r="J374">
        <v>1</v>
      </c>
      <c r="K374">
        <v>0</v>
      </c>
      <c r="L374">
        <v>31</v>
      </c>
      <c r="M374">
        <v>0</v>
      </c>
    </row>
    <row r="375" spans="1:13" x14ac:dyDescent="0.25">
      <c r="A375" t="s">
        <v>33</v>
      </c>
      <c r="B375">
        <v>1</v>
      </c>
      <c r="C375">
        <v>3</v>
      </c>
      <c r="D375">
        <v>1</v>
      </c>
      <c r="E375">
        <v>0</v>
      </c>
      <c r="F375">
        <v>0</v>
      </c>
      <c r="G375">
        <v>46.83887</v>
      </c>
      <c r="H375">
        <v>120</v>
      </c>
      <c r="I375">
        <v>0</v>
      </c>
      <c r="J375">
        <v>0</v>
      </c>
      <c r="K375">
        <v>0</v>
      </c>
      <c r="L375">
        <v>40</v>
      </c>
      <c r="M375">
        <v>0</v>
      </c>
    </row>
    <row r="376" spans="1:13" x14ac:dyDescent="0.25">
      <c r="A376" t="s">
        <v>33</v>
      </c>
      <c r="B376">
        <v>1</v>
      </c>
      <c r="C376">
        <v>1</v>
      </c>
      <c r="D376">
        <v>0</v>
      </c>
      <c r="E376">
        <v>0</v>
      </c>
      <c r="F376">
        <v>0</v>
      </c>
      <c r="G376">
        <v>40.755369999999999</v>
      </c>
      <c r="H376">
        <v>200</v>
      </c>
      <c r="I376">
        <v>0</v>
      </c>
      <c r="J376">
        <v>4</v>
      </c>
      <c r="K376">
        <v>0</v>
      </c>
      <c r="L376">
        <v>24</v>
      </c>
      <c r="M376">
        <v>4</v>
      </c>
    </row>
    <row r="377" spans="1:13" x14ac:dyDescent="0.25">
      <c r="A377" t="s">
        <v>33</v>
      </c>
      <c r="B377">
        <v>1</v>
      </c>
      <c r="C377">
        <v>1</v>
      </c>
      <c r="D377">
        <v>0</v>
      </c>
      <c r="E377">
        <v>4</v>
      </c>
      <c r="F377">
        <v>9</v>
      </c>
      <c r="G377">
        <v>28.829470000000001</v>
      </c>
      <c r="H377">
        <v>240</v>
      </c>
      <c r="I377">
        <v>2</v>
      </c>
      <c r="J377">
        <v>2</v>
      </c>
      <c r="K377">
        <v>1</v>
      </c>
      <c r="L377">
        <v>10</v>
      </c>
      <c r="M377">
        <v>0</v>
      </c>
    </row>
    <row r="378" spans="1:13" x14ac:dyDescent="0.25">
      <c r="A378" t="s">
        <v>33</v>
      </c>
      <c r="B378">
        <v>0</v>
      </c>
      <c r="C378">
        <v>1</v>
      </c>
      <c r="D378">
        <v>0</v>
      </c>
      <c r="E378">
        <v>1</v>
      </c>
      <c r="F378">
        <v>4</v>
      </c>
      <c r="G378">
        <v>15.61975</v>
      </c>
      <c r="H378">
        <v>40</v>
      </c>
      <c r="I378">
        <v>1</v>
      </c>
      <c r="J378">
        <v>1</v>
      </c>
      <c r="K378">
        <v>0</v>
      </c>
      <c r="L378">
        <v>28</v>
      </c>
      <c r="M378">
        <v>0</v>
      </c>
    </row>
    <row r="379" spans="1:13" x14ac:dyDescent="0.25">
      <c r="A379" t="s">
        <v>33</v>
      </c>
      <c r="B379">
        <v>0</v>
      </c>
      <c r="C379">
        <v>1</v>
      </c>
      <c r="D379">
        <v>0</v>
      </c>
      <c r="E379">
        <v>0</v>
      </c>
      <c r="F379">
        <v>63</v>
      </c>
      <c r="G379">
        <v>37.199890000000003</v>
      </c>
      <c r="H379">
        <v>120</v>
      </c>
      <c r="I379">
        <v>1</v>
      </c>
      <c r="J379">
        <v>1</v>
      </c>
      <c r="K379">
        <v>6</v>
      </c>
      <c r="L379">
        <v>149</v>
      </c>
      <c r="M379">
        <v>0</v>
      </c>
    </row>
    <row r="380" spans="1:13" x14ac:dyDescent="0.25">
      <c r="A380" t="s">
        <v>33</v>
      </c>
      <c r="B380">
        <v>1</v>
      </c>
      <c r="C380">
        <v>1</v>
      </c>
      <c r="D380">
        <v>0</v>
      </c>
      <c r="E380">
        <v>4</v>
      </c>
      <c r="F380">
        <v>12</v>
      </c>
      <c r="G380">
        <v>42.516539999999999</v>
      </c>
      <c r="H380">
        <v>200</v>
      </c>
      <c r="I380">
        <v>4</v>
      </c>
      <c r="J380">
        <v>2</v>
      </c>
      <c r="K380">
        <v>2</v>
      </c>
      <c r="L380">
        <v>39</v>
      </c>
      <c r="M380">
        <v>10</v>
      </c>
    </row>
    <row r="381" spans="1:13" x14ac:dyDescent="0.25">
      <c r="A381" t="s">
        <v>33</v>
      </c>
      <c r="B381">
        <v>0</v>
      </c>
      <c r="C381">
        <v>1</v>
      </c>
      <c r="D381">
        <v>0</v>
      </c>
      <c r="E381">
        <v>0</v>
      </c>
      <c r="F381">
        <v>0</v>
      </c>
      <c r="G381">
        <v>24.992799999999999</v>
      </c>
      <c r="H381">
        <v>40</v>
      </c>
      <c r="I381">
        <v>0</v>
      </c>
      <c r="J381">
        <v>1</v>
      </c>
      <c r="K381">
        <v>0</v>
      </c>
      <c r="L381">
        <v>24</v>
      </c>
      <c r="M381">
        <v>5</v>
      </c>
    </row>
    <row r="382" spans="1:13" x14ac:dyDescent="0.25">
      <c r="A382" t="s">
        <v>34</v>
      </c>
      <c r="B382">
        <v>3</v>
      </c>
      <c r="C382">
        <v>2</v>
      </c>
      <c r="D382">
        <v>0</v>
      </c>
      <c r="E382">
        <v>4</v>
      </c>
      <c r="F382">
        <v>801</v>
      </c>
      <c r="G382">
        <v>224.7627</v>
      </c>
      <c r="H382">
        <v>520</v>
      </c>
      <c r="I382">
        <v>3</v>
      </c>
      <c r="J382">
        <v>4</v>
      </c>
      <c r="K382">
        <v>3</v>
      </c>
      <c r="L382">
        <v>58</v>
      </c>
      <c r="M382">
        <v>20</v>
      </c>
    </row>
    <row r="383" spans="1:13" x14ac:dyDescent="0.25">
      <c r="A383" t="s">
        <v>34</v>
      </c>
      <c r="B383">
        <v>0</v>
      </c>
      <c r="C383">
        <v>1</v>
      </c>
      <c r="D383">
        <v>0</v>
      </c>
      <c r="E383">
        <v>14</v>
      </c>
      <c r="F383">
        <v>0</v>
      </c>
      <c r="G383">
        <v>68.308229999999995</v>
      </c>
      <c r="H383">
        <v>200</v>
      </c>
      <c r="I383">
        <v>1</v>
      </c>
      <c r="J383">
        <v>1</v>
      </c>
      <c r="K383">
        <v>3</v>
      </c>
      <c r="L383">
        <v>64</v>
      </c>
      <c r="M383">
        <v>0</v>
      </c>
    </row>
    <row r="384" spans="1:13" x14ac:dyDescent="0.25">
      <c r="A384" t="s">
        <v>34</v>
      </c>
      <c r="B384">
        <v>0</v>
      </c>
      <c r="C384">
        <v>1</v>
      </c>
      <c r="D384">
        <v>0</v>
      </c>
      <c r="E384">
        <v>0</v>
      </c>
      <c r="F384">
        <v>0</v>
      </c>
      <c r="G384">
        <v>40.907870000000003</v>
      </c>
      <c r="H384">
        <v>0</v>
      </c>
      <c r="I384">
        <v>1</v>
      </c>
      <c r="J384">
        <v>1</v>
      </c>
      <c r="K384">
        <v>0</v>
      </c>
      <c r="L384">
        <v>55</v>
      </c>
      <c r="M384">
        <v>0</v>
      </c>
    </row>
    <row r="385" spans="1:13" x14ac:dyDescent="0.25">
      <c r="A385" t="s">
        <v>34</v>
      </c>
      <c r="B385">
        <v>0</v>
      </c>
      <c r="C385">
        <v>2</v>
      </c>
      <c r="D385">
        <v>0</v>
      </c>
      <c r="E385">
        <v>0</v>
      </c>
      <c r="F385">
        <v>0</v>
      </c>
      <c r="G385">
        <v>5096857</v>
      </c>
      <c r="H385">
        <v>160</v>
      </c>
      <c r="I385">
        <v>0</v>
      </c>
      <c r="J385">
        <v>1</v>
      </c>
      <c r="K385">
        <v>4</v>
      </c>
      <c r="L385">
        <v>133</v>
      </c>
      <c r="M385">
        <v>0</v>
      </c>
    </row>
    <row r="386" spans="1:13" x14ac:dyDescent="0.25">
      <c r="A386" t="s">
        <v>34</v>
      </c>
      <c r="B386">
        <v>5</v>
      </c>
      <c r="C386">
        <v>3</v>
      </c>
      <c r="D386">
        <v>1</v>
      </c>
      <c r="E386">
        <v>5</v>
      </c>
      <c r="F386">
        <v>196</v>
      </c>
      <c r="G386">
        <v>244.63990000000001</v>
      </c>
      <c r="H386">
        <v>1240</v>
      </c>
      <c r="I386">
        <v>0</v>
      </c>
      <c r="J386">
        <v>6</v>
      </c>
      <c r="K386">
        <v>14</v>
      </c>
      <c r="L386">
        <v>70</v>
      </c>
      <c r="M386">
        <v>0</v>
      </c>
    </row>
    <row r="387" spans="1:13" x14ac:dyDescent="0.25">
      <c r="A387" t="s">
        <v>34</v>
      </c>
      <c r="B387">
        <v>0</v>
      </c>
      <c r="C387">
        <v>2</v>
      </c>
      <c r="D387">
        <v>1</v>
      </c>
      <c r="E387">
        <v>0</v>
      </c>
      <c r="F387">
        <v>0</v>
      </c>
      <c r="G387">
        <v>0.48777680000000001</v>
      </c>
      <c r="H387">
        <v>0</v>
      </c>
      <c r="I387">
        <v>0</v>
      </c>
      <c r="J387">
        <v>0</v>
      </c>
      <c r="K387">
        <v>0</v>
      </c>
      <c r="L387">
        <v>0</v>
      </c>
      <c r="M387">
        <v>0</v>
      </c>
    </row>
    <row r="388" spans="1:13" x14ac:dyDescent="0.25">
      <c r="A388" t="s">
        <v>34</v>
      </c>
      <c r="B388">
        <v>6</v>
      </c>
      <c r="C388">
        <v>3</v>
      </c>
      <c r="D388">
        <v>1</v>
      </c>
      <c r="E388">
        <v>0</v>
      </c>
      <c r="F388">
        <v>0</v>
      </c>
      <c r="G388">
        <v>170.01750000000001</v>
      </c>
      <c r="H388">
        <v>960</v>
      </c>
      <c r="I388">
        <v>0</v>
      </c>
      <c r="J388">
        <v>6</v>
      </c>
      <c r="K388">
        <v>11</v>
      </c>
      <c r="L388">
        <v>75</v>
      </c>
      <c r="M388">
        <v>2</v>
      </c>
    </row>
    <row r="389" spans="1:13" x14ac:dyDescent="0.25">
      <c r="A389" t="s">
        <v>34</v>
      </c>
      <c r="B389">
        <v>0</v>
      </c>
      <c r="C389">
        <v>1</v>
      </c>
      <c r="D389">
        <v>0</v>
      </c>
      <c r="E389">
        <v>3</v>
      </c>
      <c r="F389">
        <v>131</v>
      </c>
      <c r="G389">
        <v>41.212710000000001</v>
      </c>
      <c r="H389">
        <v>120</v>
      </c>
      <c r="I389">
        <v>1</v>
      </c>
      <c r="J389">
        <v>1</v>
      </c>
      <c r="K389">
        <v>1</v>
      </c>
      <c r="L389">
        <v>13</v>
      </c>
      <c r="M389">
        <v>0</v>
      </c>
    </row>
    <row r="390" spans="1:13" x14ac:dyDescent="0.25">
      <c r="A390" t="s">
        <v>34</v>
      </c>
      <c r="B390">
        <v>3</v>
      </c>
      <c r="C390">
        <v>3</v>
      </c>
      <c r="D390">
        <v>1</v>
      </c>
      <c r="E390">
        <v>0</v>
      </c>
      <c r="F390">
        <v>0</v>
      </c>
      <c r="G390">
        <v>56.75714</v>
      </c>
      <c r="H390">
        <v>360</v>
      </c>
      <c r="I390">
        <v>0</v>
      </c>
      <c r="J390">
        <v>2</v>
      </c>
      <c r="K390">
        <v>0</v>
      </c>
      <c r="L390">
        <v>155</v>
      </c>
      <c r="M390">
        <v>3</v>
      </c>
    </row>
    <row r="391" spans="1:13" x14ac:dyDescent="0.25">
      <c r="A391" t="s">
        <v>34</v>
      </c>
      <c r="B391">
        <v>1</v>
      </c>
      <c r="C391">
        <v>1</v>
      </c>
      <c r="D391">
        <v>0</v>
      </c>
      <c r="E391">
        <v>9</v>
      </c>
      <c r="F391">
        <v>34</v>
      </c>
      <c r="G391">
        <v>9773828</v>
      </c>
      <c r="H391">
        <v>320</v>
      </c>
      <c r="I391">
        <v>0</v>
      </c>
      <c r="J391">
        <v>2</v>
      </c>
      <c r="K391">
        <v>4</v>
      </c>
      <c r="L391">
        <v>144</v>
      </c>
      <c r="M391">
        <v>0</v>
      </c>
    </row>
    <row r="392" spans="1:13" x14ac:dyDescent="0.25">
      <c r="A392" t="s">
        <v>34</v>
      </c>
      <c r="B392">
        <v>1</v>
      </c>
      <c r="C392">
        <v>2</v>
      </c>
      <c r="D392">
        <v>0</v>
      </c>
      <c r="E392">
        <v>0</v>
      </c>
      <c r="F392">
        <v>0</v>
      </c>
      <c r="G392">
        <v>153.78559999999999</v>
      </c>
      <c r="H392">
        <v>400</v>
      </c>
      <c r="I392">
        <v>0</v>
      </c>
      <c r="J392">
        <v>6</v>
      </c>
      <c r="K392">
        <v>5</v>
      </c>
      <c r="L392">
        <v>99</v>
      </c>
      <c r="M392">
        <v>23</v>
      </c>
    </row>
    <row r="393" spans="1:13" x14ac:dyDescent="0.25">
      <c r="A393" t="s">
        <v>34</v>
      </c>
      <c r="B393">
        <v>0</v>
      </c>
      <c r="C393">
        <v>1</v>
      </c>
      <c r="D393">
        <v>0</v>
      </c>
      <c r="E393">
        <v>2</v>
      </c>
      <c r="F393">
        <v>12</v>
      </c>
      <c r="G393">
        <v>30.670010000000001</v>
      </c>
      <c r="H393">
        <v>0</v>
      </c>
      <c r="I393">
        <v>1</v>
      </c>
      <c r="J393">
        <v>1</v>
      </c>
      <c r="K393">
        <v>0</v>
      </c>
      <c r="L393">
        <v>67</v>
      </c>
      <c r="M393">
        <v>0</v>
      </c>
    </row>
    <row r="394" spans="1:13" x14ac:dyDescent="0.25">
      <c r="A394" t="s">
        <v>34</v>
      </c>
      <c r="B394">
        <v>5</v>
      </c>
      <c r="C394">
        <v>4</v>
      </c>
      <c r="D394">
        <v>1</v>
      </c>
      <c r="E394">
        <v>0</v>
      </c>
      <c r="F394">
        <v>0</v>
      </c>
      <c r="G394">
        <v>105.2589</v>
      </c>
      <c r="H394">
        <v>600</v>
      </c>
      <c r="I394">
        <v>0</v>
      </c>
      <c r="J394">
        <v>0</v>
      </c>
      <c r="K394">
        <v>0</v>
      </c>
      <c r="L394">
        <v>294</v>
      </c>
      <c r="M394">
        <v>3</v>
      </c>
    </row>
    <row r="395" spans="1:13" x14ac:dyDescent="0.25">
      <c r="A395" t="s">
        <v>34</v>
      </c>
      <c r="B395">
        <v>1</v>
      </c>
      <c r="C395">
        <v>2</v>
      </c>
      <c r="D395">
        <v>0</v>
      </c>
      <c r="E395">
        <v>0</v>
      </c>
      <c r="F395">
        <v>0</v>
      </c>
      <c r="G395">
        <v>135.3596</v>
      </c>
      <c r="H395">
        <v>240</v>
      </c>
      <c r="I395">
        <v>0</v>
      </c>
      <c r="J395">
        <v>3</v>
      </c>
      <c r="K395">
        <v>2</v>
      </c>
      <c r="L395">
        <v>59</v>
      </c>
      <c r="M395">
        <v>196</v>
      </c>
    </row>
    <row r="396" spans="1:13" x14ac:dyDescent="0.25">
      <c r="A396" t="s">
        <v>34</v>
      </c>
      <c r="B396">
        <v>0</v>
      </c>
      <c r="C396">
        <v>1</v>
      </c>
      <c r="D396">
        <v>0</v>
      </c>
      <c r="E396">
        <v>5</v>
      </c>
      <c r="F396">
        <v>11</v>
      </c>
      <c r="G396">
        <v>37.040280000000003</v>
      </c>
      <c r="H396">
        <v>120</v>
      </c>
      <c r="I396">
        <v>1</v>
      </c>
      <c r="J396">
        <v>1</v>
      </c>
      <c r="K396">
        <v>2</v>
      </c>
      <c r="L396">
        <v>16</v>
      </c>
      <c r="M396">
        <v>0</v>
      </c>
    </row>
    <row r="397" spans="1:13" x14ac:dyDescent="0.25">
      <c r="A397" t="s">
        <v>34</v>
      </c>
      <c r="B397">
        <v>0</v>
      </c>
      <c r="C397">
        <v>1</v>
      </c>
      <c r="D397">
        <v>0</v>
      </c>
      <c r="E397">
        <v>2</v>
      </c>
      <c r="F397">
        <v>3</v>
      </c>
      <c r="G397">
        <v>31.024170000000002</v>
      </c>
      <c r="H397">
        <v>80</v>
      </c>
      <c r="I397">
        <v>1</v>
      </c>
      <c r="J397">
        <v>2</v>
      </c>
      <c r="K397">
        <v>1</v>
      </c>
      <c r="L397">
        <v>49</v>
      </c>
      <c r="M397">
        <v>0</v>
      </c>
    </row>
    <row r="398" spans="1:13" x14ac:dyDescent="0.25">
      <c r="A398" t="s">
        <v>34</v>
      </c>
      <c r="B398">
        <v>1</v>
      </c>
      <c r="C398">
        <v>2</v>
      </c>
      <c r="D398">
        <v>0</v>
      </c>
      <c r="E398">
        <v>0</v>
      </c>
      <c r="F398">
        <v>0</v>
      </c>
      <c r="G398">
        <v>65.314760000000007</v>
      </c>
      <c r="H398">
        <v>280</v>
      </c>
      <c r="I398">
        <v>2</v>
      </c>
      <c r="J398">
        <v>2</v>
      </c>
      <c r="K398">
        <v>9</v>
      </c>
      <c r="L398">
        <v>255</v>
      </c>
      <c r="M398">
        <v>0</v>
      </c>
    </row>
    <row r="399" spans="1:13" x14ac:dyDescent="0.25">
      <c r="A399" t="s">
        <v>34</v>
      </c>
      <c r="B399">
        <v>2</v>
      </c>
      <c r="C399">
        <v>3</v>
      </c>
      <c r="D399">
        <v>0</v>
      </c>
      <c r="E399">
        <v>0</v>
      </c>
      <c r="F399">
        <v>0</v>
      </c>
      <c r="G399">
        <v>71.378720000000001</v>
      </c>
      <c r="H399">
        <v>488</v>
      </c>
      <c r="I399">
        <v>3</v>
      </c>
      <c r="J399">
        <v>3</v>
      </c>
      <c r="K399">
        <v>8</v>
      </c>
      <c r="L399">
        <v>54</v>
      </c>
      <c r="M399">
        <v>21</v>
      </c>
    </row>
    <row r="400" spans="1:13" x14ac:dyDescent="0.25">
      <c r="A400" t="s">
        <v>34</v>
      </c>
      <c r="B400">
        <v>2</v>
      </c>
      <c r="C400">
        <v>4</v>
      </c>
      <c r="D400">
        <v>1</v>
      </c>
      <c r="E400">
        <v>0</v>
      </c>
      <c r="F400">
        <v>0</v>
      </c>
      <c r="G400">
        <v>45.712040000000002</v>
      </c>
      <c r="H400">
        <v>240</v>
      </c>
      <c r="I400">
        <v>0</v>
      </c>
      <c r="J400">
        <v>2</v>
      </c>
      <c r="K400">
        <v>0</v>
      </c>
      <c r="L400">
        <v>52</v>
      </c>
      <c r="M400">
        <v>11</v>
      </c>
    </row>
    <row r="401" spans="1:13" x14ac:dyDescent="0.25">
      <c r="A401" t="s">
        <v>35</v>
      </c>
      <c r="B401">
        <v>4</v>
      </c>
      <c r="C401">
        <v>2</v>
      </c>
      <c r="D401">
        <v>1</v>
      </c>
      <c r="E401">
        <v>7</v>
      </c>
      <c r="F401">
        <v>133</v>
      </c>
      <c r="G401">
        <v>101.2097</v>
      </c>
      <c r="H401">
        <v>600</v>
      </c>
      <c r="I401">
        <v>3</v>
      </c>
      <c r="J401">
        <v>4</v>
      </c>
      <c r="K401">
        <v>2</v>
      </c>
      <c r="L401">
        <v>38</v>
      </c>
      <c r="M401">
        <v>2</v>
      </c>
    </row>
    <row r="402" spans="1:13" x14ac:dyDescent="0.25">
      <c r="A402" t="s">
        <v>35</v>
      </c>
      <c r="B402">
        <v>3</v>
      </c>
      <c r="C402">
        <v>1</v>
      </c>
      <c r="D402">
        <v>0</v>
      </c>
      <c r="E402">
        <v>29</v>
      </c>
      <c r="F402">
        <v>26</v>
      </c>
      <c r="G402">
        <v>108.4104</v>
      </c>
      <c r="H402">
        <v>640</v>
      </c>
      <c r="I402">
        <v>4</v>
      </c>
      <c r="J402">
        <v>4</v>
      </c>
      <c r="K402">
        <v>9</v>
      </c>
      <c r="L402">
        <v>102</v>
      </c>
      <c r="M402">
        <v>0</v>
      </c>
    </row>
    <row r="403" spans="1:13" x14ac:dyDescent="0.25">
      <c r="A403" t="s">
        <v>35</v>
      </c>
      <c r="B403">
        <v>2</v>
      </c>
      <c r="C403">
        <v>1</v>
      </c>
      <c r="D403">
        <v>0</v>
      </c>
      <c r="E403">
        <v>0</v>
      </c>
      <c r="F403">
        <v>0</v>
      </c>
      <c r="G403">
        <v>89.512699999999995</v>
      </c>
      <c r="H403">
        <v>400</v>
      </c>
      <c r="I403">
        <v>3</v>
      </c>
      <c r="J403">
        <v>3</v>
      </c>
      <c r="K403">
        <v>6</v>
      </c>
      <c r="L403">
        <v>131</v>
      </c>
      <c r="M403">
        <v>1</v>
      </c>
    </row>
    <row r="404" spans="1:13" x14ac:dyDescent="0.25">
      <c r="A404" t="s">
        <v>35</v>
      </c>
      <c r="B404">
        <v>4</v>
      </c>
      <c r="C404">
        <v>3</v>
      </c>
      <c r="D404">
        <v>0</v>
      </c>
      <c r="E404">
        <v>11</v>
      </c>
      <c r="F404">
        <v>104</v>
      </c>
      <c r="G404">
        <v>1826949</v>
      </c>
      <c r="H404">
        <v>880</v>
      </c>
      <c r="I404">
        <v>0</v>
      </c>
      <c r="J404">
        <v>5</v>
      </c>
      <c r="K404">
        <v>10</v>
      </c>
      <c r="L404">
        <v>357</v>
      </c>
      <c r="M404">
        <v>0</v>
      </c>
    </row>
    <row r="405" spans="1:13" x14ac:dyDescent="0.25">
      <c r="A405" t="s">
        <v>35</v>
      </c>
      <c r="B405">
        <v>6</v>
      </c>
      <c r="C405">
        <v>4</v>
      </c>
      <c r="D405">
        <v>1</v>
      </c>
      <c r="E405">
        <v>13</v>
      </c>
      <c r="F405">
        <v>389</v>
      </c>
      <c r="G405">
        <v>275.69909999999999</v>
      </c>
      <c r="H405">
        <v>1200</v>
      </c>
      <c r="I405">
        <v>1</v>
      </c>
      <c r="J405">
        <v>7</v>
      </c>
      <c r="K405">
        <v>14</v>
      </c>
      <c r="L405">
        <v>74</v>
      </c>
      <c r="M405">
        <v>3</v>
      </c>
    </row>
    <row r="406" spans="1:13" x14ac:dyDescent="0.25">
      <c r="A406" t="s">
        <v>35</v>
      </c>
      <c r="B406">
        <v>0</v>
      </c>
      <c r="C406">
        <v>2</v>
      </c>
      <c r="D406">
        <v>1</v>
      </c>
      <c r="E406">
        <v>0</v>
      </c>
      <c r="F406">
        <v>0</v>
      </c>
      <c r="G406">
        <v>0.18092349999999999</v>
      </c>
      <c r="H406">
        <v>0</v>
      </c>
      <c r="I406">
        <v>0</v>
      </c>
      <c r="J406">
        <v>0</v>
      </c>
      <c r="K406">
        <v>0</v>
      </c>
      <c r="L406">
        <v>0</v>
      </c>
      <c r="M406">
        <v>0</v>
      </c>
    </row>
    <row r="407" spans="1:13" x14ac:dyDescent="0.25">
      <c r="A407" t="s">
        <v>35</v>
      </c>
      <c r="B407">
        <v>3</v>
      </c>
      <c r="C407">
        <v>3</v>
      </c>
      <c r="D407">
        <v>1</v>
      </c>
      <c r="E407">
        <v>0</v>
      </c>
      <c r="F407">
        <v>0</v>
      </c>
      <c r="G407">
        <v>112.95010000000001</v>
      </c>
      <c r="H407">
        <v>560</v>
      </c>
      <c r="I407">
        <v>0</v>
      </c>
      <c r="J407">
        <v>4</v>
      </c>
      <c r="K407">
        <v>10</v>
      </c>
      <c r="L407">
        <v>42</v>
      </c>
      <c r="M407">
        <v>0</v>
      </c>
    </row>
    <row r="408" spans="1:13" x14ac:dyDescent="0.25">
      <c r="A408" t="s">
        <v>35</v>
      </c>
      <c r="B408">
        <v>2</v>
      </c>
      <c r="C408">
        <v>4</v>
      </c>
      <c r="D408">
        <v>0</v>
      </c>
      <c r="E408">
        <v>4</v>
      </c>
      <c r="F408">
        <v>64</v>
      </c>
      <c r="G408">
        <v>55.133130000000001</v>
      </c>
      <c r="H408">
        <v>440</v>
      </c>
      <c r="I408">
        <v>3</v>
      </c>
      <c r="J408">
        <v>3</v>
      </c>
      <c r="K408">
        <v>6</v>
      </c>
      <c r="L408">
        <v>39</v>
      </c>
      <c r="M408">
        <v>0</v>
      </c>
    </row>
    <row r="409" spans="1:13" x14ac:dyDescent="0.25">
      <c r="A409" t="s">
        <v>35</v>
      </c>
      <c r="B409">
        <v>2</v>
      </c>
      <c r="C409">
        <v>4</v>
      </c>
      <c r="D409">
        <v>1</v>
      </c>
      <c r="E409">
        <v>0</v>
      </c>
      <c r="F409">
        <v>0</v>
      </c>
      <c r="G409">
        <v>57.936399999999999</v>
      </c>
      <c r="H409">
        <v>240</v>
      </c>
      <c r="I409">
        <v>0</v>
      </c>
      <c r="J409">
        <v>2</v>
      </c>
      <c r="K409">
        <v>0</v>
      </c>
      <c r="L409">
        <v>153</v>
      </c>
      <c r="M409">
        <v>2</v>
      </c>
    </row>
    <row r="410" spans="1:13" x14ac:dyDescent="0.25">
      <c r="A410" t="s">
        <v>35</v>
      </c>
      <c r="B410">
        <v>7</v>
      </c>
      <c r="C410">
        <v>1</v>
      </c>
      <c r="D410">
        <v>0</v>
      </c>
      <c r="E410">
        <v>13</v>
      </c>
      <c r="F410">
        <v>64</v>
      </c>
      <c r="G410">
        <v>1307309</v>
      </c>
      <c r="H410">
        <v>1040</v>
      </c>
      <c r="I410">
        <v>0</v>
      </c>
      <c r="J410">
        <v>8</v>
      </c>
      <c r="K410">
        <v>3</v>
      </c>
      <c r="L410">
        <v>129</v>
      </c>
      <c r="M410">
        <v>0</v>
      </c>
    </row>
    <row r="411" spans="1:13" x14ac:dyDescent="0.25">
      <c r="A411" t="s">
        <v>35</v>
      </c>
      <c r="B411">
        <v>2</v>
      </c>
      <c r="C411">
        <v>1</v>
      </c>
      <c r="D411">
        <v>1</v>
      </c>
      <c r="E411">
        <v>0</v>
      </c>
      <c r="F411">
        <v>0</v>
      </c>
      <c r="G411">
        <v>86.413759999999996</v>
      </c>
      <c r="H411">
        <v>440</v>
      </c>
      <c r="I411">
        <v>0</v>
      </c>
      <c r="J411">
        <v>4</v>
      </c>
      <c r="K411">
        <v>54</v>
      </c>
      <c r="L411">
        <v>107</v>
      </c>
      <c r="M411">
        <v>0</v>
      </c>
    </row>
    <row r="412" spans="1:13" x14ac:dyDescent="0.25">
      <c r="A412" t="s">
        <v>35</v>
      </c>
      <c r="B412">
        <v>0</v>
      </c>
      <c r="C412">
        <v>1</v>
      </c>
      <c r="D412">
        <v>0</v>
      </c>
      <c r="E412">
        <v>3</v>
      </c>
      <c r="F412">
        <v>16</v>
      </c>
      <c r="G412">
        <v>28.953189999999999</v>
      </c>
      <c r="H412">
        <v>80</v>
      </c>
      <c r="I412">
        <v>1</v>
      </c>
      <c r="J412">
        <v>1</v>
      </c>
      <c r="K412">
        <v>0</v>
      </c>
      <c r="L412">
        <v>57</v>
      </c>
      <c r="M412">
        <v>0</v>
      </c>
    </row>
    <row r="413" spans="1:13" x14ac:dyDescent="0.25">
      <c r="A413" t="s">
        <v>35</v>
      </c>
      <c r="B413">
        <v>0</v>
      </c>
      <c r="C413">
        <v>3</v>
      </c>
      <c r="D413">
        <v>1</v>
      </c>
      <c r="E413">
        <v>0</v>
      </c>
      <c r="F413">
        <v>0</v>
      </c>
      <c r="G413">
        <v>10.698359999999999</v>
      </c>
      <c r="H413">
        <v>40</v>
      </c>
      <c r="I413">
        <v>0</v>
      </c>
      <c r="J413">
        <v>0</v>
      </c>
      <c r="K413">
        <v>0</v>
      </c>
      <c r="L413">
        <v>8</v>
      </c>
      <c r="M413">
        <v>0</v>
      </c>
    </row>
    <row r="414" spans="1:13" x14ac:dyDescent="0.25">
      <c r="A414" t="s">
        <v>35</v>
      </c>
      <c r="B414">
        <v>0</v>
      </c>
      <c r="C414">
        <v>1</v>
      </c>
      <c r="D414">
        <v>0</v>
      </c>
      <c r="E414">
        <v>0</v>
      </c>
      <c r="F414">
        <v>0</v>
      </c>
      <c r="G414">
        <v>110.1335</v>
      </c>
      <c r="H414">
        <v>80</v>
      </c>
      <c r="I414">
        <v>0</v>
      </c>
      <c r="J414">
        <v>1</v>
      </c>
      <c r="K414">
        <v>1</v>
      </c>
      <c r="L414">
        <v>56</v>
      </c>
      <c r="M414">
        <v>258</v>
      </c>
    </row>
    <row r="415" spans="1:13" x14ac:dyDescent="0.25">
      <c r="A415" t="s">
        <v>35</v>
      </c>
      <c r="B415">
        <v>0</v>
      </c>
      <c r="C415">
        <v>1</v>
      </c>
      <c r="D415">
        <v>0</v>
      </c>
      <c r="E415">
        <v>6</v>
      </c>
      <c r="F415">
        <v>10</v>
      </c>
      <c r="G415">
        <v>34.693240000000003</v>
      </c>
      <c r="H415">
        <v>160</v>
      </c>
      <c r="I415">
        <v>1</v>
      </c>
      <c r="J415">
        <v>1</v>
      </c>
      <c r="K415">
        <v>5</v>
      </c>
      <c r="L415">
        <v>13</v>
      </c>
      <c r="M415">
        <v>0</v>
      </c>
    </row>
    <row r="416" spans="1:13" x14ac:dyDescent="0.25">
      <c r="A416" t="s">
        <v>35</v>
      </c>
      <c r="B416">
        <v>0</v>
      </c>
      <c r="C416">
        <v>1</v>
      </c>
      <c r="D416">
        <v>0</v>
      </c>
      <c r="E416">
        <v>3</v>
      </c>
      <c r="F416">
        <v>9</v>
      </c>
      <c r="G416">
        <v>43.022460000000002</v>
      </c>
      <c r="H416">
        <v>40</v>
      </c>
      <c r="I416">
        <v>1</v>
      </c>
      <c r="J416">
        <v>1</v>
      </c>
      <c r="K416">
        <v>0</v>
      </c>
      <c r="L416">
        <v>18</v>
      </c>
      <c r="M416">
        <v>0</v>
      </c>
    </row>
    <row r="417" spans="1:13" x14ac:dyDescent="0.25">
      <c r="A417" t="s">
        <v>35</v>
      </c>
      <c r="B417">
        <v>0</v>
      </c>
      <c r="C417">
        <v>1</v>
      </c>
      <c r="D417">
        <v>0</v>
      </c>
      <c r="E417">
        <v>2</v>
      </c>
      <c r="F417">
        <v>180</v>
      </c>
      <c r="G417">
        <v>66.989620000000002</v>
      </c>
      <c r="H417">
        <v>120</v>
      </c>
      <c r="I417">
        <v>1</v>
      </c>
      <c r="J417">
        <v>2</v>
      </c>
      <c r="K417">
        <v>3</v>
      </c>
      <c r="L417">
        <v>166</v>
      </c>
      <c r="M417">
        <v>0</v>
      </c>
    </row>
    <row r="418" spans="1:13" x14ac:dyDescent="0.25">
      <c r="A418" t="s">
        <v>35</v>
      </c>
      <c r="B418">
        <v>0</v>
      </c>
      <c r="C418">
        <v>1</v>
      </c>
      <c r="D418">
        <v>0</v>
      </c>
      <c r="E418">
        <v>0</v>
      </c>
      <c r="F418">
        <v>0</v>
      </c>
      <c r="G418">
        <v>22.402650000000001</v>
      </c>
      <c r="H418">
        <v>160</v>
      </c>
      <c r="I418">
        <v>1</v>
      </c>
      <c r="J418">
        <v>1</v>
      </c>
      <c r="K418">
        <v>2</v>
      </c>
      <c r="L418">
        <v>22</v>
      </c>
      <c r="M418">
        <v>4</v>
      </c>
    </row>
    <row r="419" spans="1:13" x14ac:dyDescent="0.25">
      <c r="A419" t="s">
        <v>35</v>
      </c>
      <c r="B419">
        <v>2</v>
      </c>
      <c r="C419">
        <v>4</v>
      </c>
      <c r="D419">
        <v>1</v>
      </c>
      <c r="E419">
        <v>0</v>
      </c>
      <c r="F419">
        <v>0</v>
      </c>
      <c r="G419">
        <v>51.373469999999998</v>
      </c>
      <c r="H419">
        <v>320</v>
      </c>
      <c r="I419">
        <v>0</v>
      </c>
      <c r="J419">
        <v>3</v>
      </c>
      <c r="K419">
        <v>0</v>
      </c>
      <c r="L419">
        <v>7</v>
      </c>
      <c r="M419">
        <v>9</v>
      </c>
    </row>
    <row r="420" spans="1:13" x14ac:dyDescent="0.25">
      <c r="A420" t="s">
        <v>36</v>
      </c>
      <c r="B420">
        <v>3</v>
      </c>
      <c r="C420">
        <v>3</v>
      </c>
      <c r="D420">
        <v>0</v>
      </c>
      <c r="E420">
        <v>1</v>
      </c>
      <c r="F420">
        <v>1018</v>
      </c>
      <c r="G420">
        <v>176.5701</v>
      </c>
      <c r="H420">
        <v>680</v>
      </c>
      <c r="I420">
        <v>5</v>
      </c>
      <c r="J420">
        <v>4</v>
      </c>
      <c r="K420">
        <v>5</v>
      </c>
      <c r="L420">
        <v>61</v>
      </c>
      <c r="M420">
        <v>6</v>
      </c>
    </row>
    <row r="421" spans="1:13" x14ac:dyDescent="0.25">
      <c r="A421" t="s">
        <v>36</v>
      </c>
      <c r="B421">
        <v>2</v>
      </c>
      <c r="C421">
        <v>1</v>
      </c>
      <c r="D421">
        <v>0</v>
      </c>
      <c r="E421">
        <v>17</v>
      </c>
      <c r="F421">
        <v>10</v>
      </c>
      <c r="G421">
        <v>123.70350000000001</v>
      </c>
      <c r="H421">
        <v>400</v>
      </c>
      <c r="I421">
        <v>3</v>
      </c>
      <c r="J421">
        <v>3</v>
      </c>
      <c r="K421">
        <v>4</v>
      </c>
      <c r="L421">
        <v>153</v>
      </c>
      <c r="M421">
        <v>0</v>
      </c>
    </row>
    <row r="422" spans="1:13" x14ac:dyDescent="0.25">
      <c r="A422" t="s">
        <v>36</v>
      </c>
      <c r="B422">
        <v>0</v>
      </c>
      <c r="C422">
        <v>1</v>
      </c>
      <c r="D422">
        <v>0</v>
      </c>
      <c r="E422">
        <v>0</v>
      </c>
      <c r="F422">
        <v>0</v>
      </c>
      <c r="G422">
        <v>71.457700000000003</v>
      </c>
      <c r="H422">
        <v>80</v>
      </c>
      <c r="I422">
        <v>1</v>
      </c>
      <c r="J422">
        <v>1</v>
      </c>
      <c r="K422">
        <v>2</v>
      </c>
      <c r="L422">
        <v>107</v>
      </c>
      <c r="M422">
        <v>0</v>
      </c>
    </row>
    <row r="423" spans="1:13" x14ac:dyDescent="0.25">
      <c r="A423" t="s">
        <v>36</v>
      </c>
      <c r="B423">
        <v>7</v>
      </c>
      <c r="C423">
        <v>3</v>
      </c>
      <c r="D423">
        <v>0</v>
      </c>
      <c r="E423">
        <v>18</v>
      </c>
      <c r="F423">
        <v>107</v>
      </c>
      <c r="G423">
        <v>2351948</v>
      </c>
      <c r="H423">
        <v>1320</v>
      </c>
      <c r="I423">
        <v>0</v>
      </c>
      <c r="J423">
        <v>8</v>
      </c>
      <c r="K423">
        <v>16</v>
      </c>
      <c r="L423">
        <v>367</v>
      </c>
      <c r="M423">
        <v>1</v>
      </c>
    </row>
    <row r="424" spans="1:13" x14ac:dyDescent="0.25">
      <c r="A424" t="s">
        <v>36</v>
      </c>
      <c r="B424">
        <v>0</v>
      </c>
      <c r="C424">
        <v>1</v>
      </c>
      <c r="D424">
        <v>0</v>
      </c>
      <c r="E424">
        <v>0</v>
      </c>
      <c r="F424">
        <v>0</v>
      </c>
      <c r="G424">
        <v>96.171880000000002</v>
      </c>
      <c r="H424">
        <v>200</v>
      </c>
      <c r="I424">
        <v>0</v>
      </c>
      <c r="J424">
        <v>2</v>
      </c>
      <c r="K424">
        <v>4</v>
      </c>
      <c r="L424">
        <v>38</v>
      </c>
      <c r="M424">
        <v>0</v>
      </c>
    </row>
    <row r="425" spans="1:13" x14ac:dyDescent="0.25">
      <c r="A425" t="s">
        <v>36</v>
      </c>
      <c r="B425">
        <v>0</v>
      </c>
      <c r="C425">
        <v>2</v>
      </c>
      <c r="D425">
        <v>1</v>
      </c>
      <c r="E425">
        <v>0</v>
      </c>
      <c r="F425">
        <v>0</v>
      </c>
      <c r="G425">
        <v>0.17113590000000001</v>
      </c>
      <c r="H425">
        <v>0</v>
      </c>
      <c r="I425">
        <v>0</v>
      </c>
      <c r="J425">
        <v>0</v>
      </c>
      <c r="K425">
        <v>0</v>
      </c>
      <c r="L425">
        <v>0</v>
      </c>
      <c r="M425">
        <v>0</v>
      </c>
    </row>
    <row r="426" spans="1:13" x14ac:dyDescent="0.25">
      <c r="A426" t="s">
        <v>36</v>
      </c>
      <c r="B426">
        <v>6</v>
      </c>
      <c r="C426">
        <v>2</v>
      </c>
      <c r="D426">
        <v>1</v>
      </c>
      <c r="E426">
        <v>0</v>
      </c>
      <c r="F426">
        <v>0</v>
      </c>
      <c r="G426">
        <v>176.0076</v>
      </c>
      <c r="H426">
        <v>920</v>
      </c>
      <c r="I426">
        <v>0</v>
      </c>
      <c r="J426">
        <v>6</v>
      </c>
      <c r="K426">
        <v>13</v>
      </c>
      <c r="L426">
        <v>63</v>
      </c>
      <c r="M426">
        <v>0</v>
      </c>
    </row>
    <row r="427" spans="1:13" x14ac:dyDescent="0.25">
      <c r="A427" t="s">
        <v>36</v>
      </c>
      <c r="B427">
        <v>1</v>
      </c>
      <c r="C427">
        <v>3</v>
      </c>
      <c r="D427">
        <v>0</v>
      </c>
      <c r="E427">
        <v>3</v>
      </c>
      <c r="F427">
        <v>82</v>
      </c>
      <c r="G427">
        <v>85.771609999999995</v>
      </c>
      <c r="H427">
        <v>400</v>
      </c>
      <c r="I427">
        <v>2</v>
      </c>
      <c r="J427">
        <v>2</v>
      </c>
      <c r="K427">
        <v>4</v>
      </c>
      <c r="L427">
        <v>40</v>
      </c>
      <c r="M427">
        <v>0</v>
      </c>
    </row>
    <row r="428" spans="1:13" x14ac:dyDescent="0.25">
      <c r="A428" t="s">
        <v>36</v>
      </c>
      <c r="B428">
        <v>5</v>
      </c>
      <c r="C428">
        <v>3</v>
      </c>
      <c r="D428">
        <v>1</v>
      </c>
      <c r="E428">
        <v>0</v>
      </c>
      <c r="F428">
        <v>0</v>
      </c>
      <c r="G428">
        <v>85.480469999999997</v>
      </c>
      <c r="H428">
        <v>640</v>
      </c>
      <c r="I428">
        <v>0</v>
      </c>
      <c r="J428">
        <v>2</v>
      </c>
      <c r="K428">
        <v>0</v>
      </c>
      <c r="L428">
        <v>138</v>
      </c>
      <c r="M428">
        <v>77</v>
      </c>
    </row>
    <row r="429" spans="1:13" x14ac:dyDescent="0.25">
      <c r="A429" t="s">
        <v>36</v>
      </c>
      <c r="B429">
        <v>0</v>
      </c>
      <c r="C429">
        <v>4</v>
      </c>
      <c r="D429">
        <v>1</v>
      </c>
      <c r="E429">
        <v>5</v>
      </c>
      <c r="F429">
        <v>1684</v>
      </c>
      <c r="G429">
        <v>3675313</v>
      </c>
      <c r="H429">
        <v>80</v>
      </c>
      <c r="I429">
        <v>0</v>
      </c>
      <c r="J429">
        <v>1</v>
      </c>
      <c r="K429">
        <v>2</v>
      </c>
      <c r="L429">
        <v>44</v>
      </c>
      <c r="M429">
        <v>0</v>
      </c>
    </row>
    <row r="430" spans="1:13" x14ac:dyDescent="0.25">
      <c r="A430" t="s">
        <v>36</v>
      </c>
      <c r="B430">
        <v>0</v>
      </c>
      <c r="C430">
        <v>1</v>
      </c>
      <c r="D430">
        <v>1</v>
      </c>
      <c r="E430">
        <v>0</v>
      </c>
      <c r="F430">
        <v>0</v>
      </c>
      <c r="G430">
        <v>0.52001949999999997</v>
      </c>
      <c r="H430">
        <v>0</v>
      </c>
      <c r="I430">
        <v>0</v>
      </c>
      <c r="J430">
        <v>0</v>
      </c>
      <c r="K430">
        <v>0</v>
      </c>
      <c r="L430">
        <v>0</v>
      </c>
      <c r="M430">
        <v>0</v>
      </c>
    </row>
    <row r="431" spans="1:13" x14ac:dyDescent="0.25">
      <c r="A431" t="s">
        <v>36</v>
      </c>
      <c r="B431">
        <v>17</v>
      </c>
      <c r="C431">
        <v>2</v>
      </c>
      <c r="D431">
        <v>0</v>
      </c>
      <c r="E431">
        <v>64</v>
      </c>
      <c r="F431">
        <v>639</v>
      </c>
      <c r="G431">
        <v>611.29169999999999</v>
      </c>
      <c r="H431">
        <v>2200</v>
      </c>
      <c r="I431">
        <v>18</v>
      </c>
      <c r="J431">
        <v>18</v>
      </c>
      <c r="K431">
        <v>4</v>
      </c>
      <c r="L431">
        <v>1074</v>
      </c>
      <c r="M431">
        <v>11</v>
      </c>
    </row>
    <row r="432" spans="1:13" x14ac:dyDescent="0.25">
      <c r="A432" t="s">
        <v>36</v>
      </c>
      <c r="B432">
        <v>1</v>
      </c>
      <c r="C432">
        <v>1</v>
      </c>
      <c r="D432">
        <v>1</v>
      </c>
      <c r="E432">
        <v>0</v>
      </c>
      <c r="F432">
        <v>0</v>
      </c>
      <c r="G432">
        <v>9.2817989999999995</v>
      </c>
      <c r="H432">
        <v>120</v>
      </c>
      <c r="I432">
        <v>0</v>
      </c>
      <c r="J432">
        <v>0</v>
      </c>
      <c r="K432">
        <v>0</v>
      </c>
      <c r="L432">
        <v>28</v>
      </c>
      <c r="M432">
        <v>0</v>
      </c>
    </row>
    <row r="433" spans="1:13" x14ac:dyDescent="0.25">
      <c r="A433" t="s">
        <v>36</v>
      </c>
      <c r="B433">
        <v>0</v>
      </c>
      <c r="C433">
        <v>1</v>
      </c>
      <c r="D433">
        <v>0</v>
      </c>
      <c r="E433">
        <v>0</v>
      </c>
      <c r="F433">
        <v>0</v>
      </c>
      <c r="G433">
        <v>114.8584</v>
      </c>
      <c r="H433">
        <v>120</v>
      </c>
      <c r="I433">
        <v>0</v>
      </c>
      <c r="J433">
        <v>1</v>
      </c>
      <c r="K433">
        <v>2</v>
      </c>
      <c r="L433">
        <v>60</v>
      </c>
      <c r="M433">
        <v>264</v>
      </c>
    </row>
    <row r="434" spans="1:13" x14ac:dyDescent="0.25">
      <c r="A434" t="s">
        <v>36</v>
      </c>
      <c r="B434">
        <v>0</v>
      </c>
      <c r="C434">
        <v>2</v>
      </c>
      <c r="D434">
        <v>0</v>
      </c>
      <c r="E434">
        <v>19</v>
      </c>
      <c r="F434">
        <v>39</v>
      </c>
      <c r="G434">
        <v>77.542479999999998</v>
      </c>
      <c r="H434">
        <v>280</v>
      </c>
      <c r="I434">
        <v>1</v>
      </c>
      <c r="J434">
        <v>1</v>
      </c>
      <c r="K434">
        <v>9</v>
      </c>
      <c r="L434">
        <v>52</v>
      </c>
      <c r="M434">
        <v>0</v>
      </c>
    </row>
    <row r="435" spans="1:13" x14ac:dyDescent="0.25">
      <c r="A435" t="s">
        <v>36</v>
      </c>
      <c r="B435">
        <v>4</v>
      </c>
      <c r="C435">
        <v>3</v>
      </c>
      <c r="D435">
        <v>0</v>
      </c>
      <c r="E435">
        <v>87</v>
      </c>
      <c r="F435">
        <v>274</v>
      </c>
      <c r="G435">
        <v>353.1087</v>
      </c>
      <c r="H435">
        <v>1280</v>
      </c>
      <c r="I435">
        <v>7</v>
      </c>
      <c r="J435">
        <v>6</v>
      </c>
      <c r="K435">
        <v>13</v>
      </c>
      <c r="L435">
        <v>113</v>
      </c>
      <c r="M435">
        <v>0</v>
      </c>
    </row>
    <row r="436" spans="1:13" x14ac:dyDescent="0.25">
      <c r="A436" t="s">
        <v>36</v>
      </c>
      <c r="B436">
        <v>0</v>
      </c>
      <c r="C436">
        <v>2</v>
      </c>
      <c r="D436">
        <v>0</v>
      </c>
      <c r="E436">
        <v>1</v>
      </c>
      <c r="F436">
        <v>221</v>
      </c>
      <c r="G436">
        <v>83.087220000000002</v>
      </c>
      <c r="H436">
        <v>200</v>
      </c>
      <c r="I436">
        <v>1</v>
      </c>
      <c r="J436">
        <v>1</v>
      </c>
      <c r="K436">
        <v>24</v>
      </c>
      <c r="L436">
        <v>176</v>
      </c>
      <c r="M436">
        <v>0</v>
      </c>
    </row>
    <row r="437" spans="1:13" x14ac:dyDescent="0.25">
      <c r="A437" t="s">
        <v>36</v>
      </c>
      <c r="B437">
        <v>4</v>
      </c>
      <c r="C437">
        <v>3</v>
      </c>
      <c r="D437">
        <v>0</v>
      </c>
      <c r="E437">
        <v>0</v>
      </c>
      <c r="F437">
        <v>0</v>
      </c>
      <c r="G437">
        <v>158.9391</v>
      </c>
      <c r="H437">
        <v>1080</v>
      </c>
      <c r="I437">
        <v>5</v>
      </c>
      <c r="J437">
        <v>6</v>
      </c>
      <c r="K437">
        <v>24</v>
      </c>
      <c r="L437">
        <v>243</v>
      </c>
      <c r="M437">
        <v>45</v>
      </c>
    </row>
    <row r="438" spans="1:13" x14ac:dyDescent="0.25">
      <c r="A438" t="s">
        <v>36</v>
      </c>
      <c r="B438">
        <v>1</v>
      </c>
      <c r="C438">
        <v>4</v>
      </c>
      <c r="D438">
        <v>1</v>
      </c>
      <c r="E438">
        <v>0</v>
      </c>
      <c r="F438">
        <v>0</v>
      </c>
      <c r="G438">
        <v>31.669370000000001</v>
      </c>
      <c r="H438">
        <v>200</v>
      </c>
      <c r="I438">
        <v>0</v>
      </c>
      <c r="J438">
        <v>2</v>
      </c>
      <c r="K438">
        <v>0</v>
      </c>
      <c r="L438">
        <v>30</v>
      </c>
      <c r="M438">
        <v>8</v>
      </c>
    </row>
    <row r="439" spans="1:13" x14ac:dyDescent="0.25">
      <c r="A439" t="s">
        <v>37</v>
      </c>
      <c r="B439">
        <v>2</v>
      </c>
      <c r="C439">
        <v>4</v>
      </c>
      <c r="D439">
        <v>1</v>
      </c>
      <c r="E439">
        <v>2</v>
      </c>
      <c r="F439">
        <v>1933</v>
      </c>
      <c r="G439">
        <v>160.8691</v>
      </c>
      <c r="H439">
        <v>480</v>
      </c>
      <c r="I439">
        <v>0</v>
      </c>
      <c r="J439">
        <v>2</v>
      </c>
      <c r="K439">
        <v>5</v>
      </c>
      <c r="L439">
        <v>27</v>
      </c>
      <c r="M439">
        <v>37</v>
      </c>
    </row>
    <row r="440" spans="1:13" x14ac:dyDescent="0.25">
      <c r="A440" t="s">
        <v>37</v>
      </c>
      <c r="B440">
        <v>4</v>
      </c>
      <c r="C440">
        <v>1</v>
      </c>
      <c r="D440">
        <v>0</v>
      </c>
      <c r="E440">
        <v>0</v>
      </c>
      <c r="F440">
        <v>0</v>
      </c>
      <c r="G440">
        <v>163.14830000000001</v>
      </c>
      <c r="H440">
        <v>840</v>
      </c>
      <c r="I440">
        <v>0</v>
      </c>
      <c r="J440">
        <v>5</v>
      </c>
      <c r="K440">
        <v>11</v>
      </c>
      <c r="L440">
        <v>213</v>
      </c>
      <c r="M440">
        <v>50</v>
      </c>
    </row>
    <row r="441" spans="1:13" x14ac:dyDescent="0.25">
      <c r="A441" t="s">
        <v>37</v>
      </c>
      <c r="B441">
        <v>1</v>
      </c>
      <c r="C441">
        <v>1</v>
      </c>
      <c r="D441">
        <v>0</v>
      </c>
      <c r="E441">
        <v>0</v>
      </c>
      <c r="F441">
        <v>0</v>
      </c>
      <c r="G441">
        <v>64.251339999999999</v>
      </c>
      <c r="H441">
        <v>320</v>
      </c>
      <c r="I441">
        <v>2</v>
      </c>
      <c r="J441">
        <v>2</v>
      </c>
      <c r="K441">
        <v>5</v>
      </c>
      <c r="L441">
        <v>70</v>
      </c>
      <c r="M441">
        <v>0</v>
      </c>
    </row>
    <row r="442" spans="1:13" x14ac:dyDescent="0.25">
      <c r="A442" t="s">
        <v>37</v>
      </c>
      <c r="B442">
        <v>1</v>
      </c>
      <c r="C442">
        <v>3</v>
      </c>
      <c r="D442">
        <v>0</v>
      </c>
      <c r="E442">
        <v>0</v>
      </c>
      <c r="F442">
        <v>0</v>
      </c>
      <c r="G442">
        <v>8594177</v>
      </c>
      <c r="H442">
        <v>400</v>
      </c>
      <c r="I442">
        <v>0</v>
      </c>
      <c r="J442">
        <v>2</v>
      </c>
      <c r="K442">
        <v>7</v>
      </c>
      <c r="L442">
        <v>195</v>
      </c>
      <c r="M442">
        <v>0</v>
      </c>
    </row>
    <row r="443" spans="1:13" x14ac:dyDescent="0.25">
      <c r="A443" t="s">
        <v>37</v>
      </c>
      <c r="B443">
        <v>1</v>
      </c>
      <c r="C443">
        <v>3</v>
      </c>
      <c r="D443">
        <v>1</v>
      </c>
      <c r="E443">
        <v>3</v>
      </c>
      <c r="F443">
        <v>154</v>
      </c>
      <c r="G443">
        <v>51.259889999999999</v>
      </c>
      <c r="H443">
        <v>400</v>
      </c>
      <c r="I443">
        <v>0</v>
      </c>
      <c r="J443">
        <v>2</v>
      </c>
      <c r="K443">
        <v>5</v>
      </c>
      <c r="L443">
        <v>12</v>
      </c>
      <c r="M443">
        <v>0</v>
      </c>
    </row>
    <row r="444" spans="1:13" x14ac:dyDescent="0.25">
      <c r="A444" t="s">
        <v>37</v>
      </c>
      <c r="B444">
        <v>0</v>
      </c>
      <c r="C444">
        <v>2</v>
      </c>
      <c r="D444">
        <v>1</v>
      </c>
      <c r="E444">
        <v>0</v>
      </c>
      <c r="F444">
        <v>0</v>
      </c>
      <c r="G444">
        <v>0.1356039</v>
      </c>
      <c r="H444">
        <v>0</v>
      </c>
      <c r="I444">
        <v>0</v>
      </c>
      <c r="J444">
        <v>0</v>
      </c>
      <c r="K444">
        <v>0</v>
      </c>
      <c r="L444">
        <v>0</v>
      </c>
      <c r="M444">
        <v>0</v>
      </c>
    </row>
    <row r="445" spans="1:13" x14ac:dyDescent="0.25">
      <c r="A445" t="s">
        <v>37</v>
      </c>
      <c r="B445">
        <v>4</v>
      </c>
      <c r="C445">
        <v>4</v>
      </c>
      <c r="D445">
        <v>1</v>
      </c>
      <c r="E445">
        <v>0</v>
      </c>
      <c r="F445">
        <v>0</v>
      </c>
      <c r="G445">
        <v>113.9064</v>
      </c>
      <c r="H445">
        <v>600</v>
      </c>
      <c r="I445">
        <v>0</v>
      </c>
      <c r="J445">
        <v>4</v>
      </c>
      <c r="K445">
        <v>13</v>
      </c>
      <c r="L445">
        <v>50</v>
      </c>
      <c r="M445">
        <v>0</v>
      </c>
    </row>
    <row r="446" spans="1:13" x14ac:dyDescent="0.25">
      <c r="A446" t="s">
        <v>37</v>
      </c>
      <c r="B446">
        <v>0</v>
      </c>
      <c r="C446">
        <v>2</v>
      </c>
      <c r="D446">
        <v>0</v>
      </c>
      <c r="E446">
        <v>0</v>
      </c>
      <c r="F446">
        <v>0</v>
      </c>
      <c r="G446">
        <v>55.894840000000002</v>
      </c>
      <c r="H446">
        <v>120</v>
      </c>
      <c r="I446">
        <v>2</v>
      </c>
      <c r="J446">
        <v>1</v>
      </c>
      <c r="K446">
        <v>2</v>
      </c>
      <c r="L446">
        <v>20</v>
      </c>
      <c r="M446">
        <v>17</v>
      </c>
    </row>
    <row r="447" spans="1:13" x14ac:dyDescent="0.25">
      <c r="A447" t="s">
        <v>37</v>
      </c>
      <c r="B447">
        <v>2</v>
      </c>
      <c r="C447">
        <v>4</v>
      </c>
      <c r="D447">
        <v>1</v>
      </c>
      <c r="E447">
        <v>0</v>
      </c>
      <c r="F447">
        <v>0</v>
      </c>
      <c r="G447">
        <v>33.715089999999996</v>
      </c>
      <c r="H447">
        <v>240</v>
      </c>
      <c r="I447">
        <v>0</v>
      </c>
      <c r="J447">
        <v>2</v>
      </c>
      <c r="K447">
        <v>0</v>
      </c>
      <c r="L447">
        <v>89</v>
      </c>
      <c r="M447">
        <v>4</v>
      </c>
    </row>
    <row r="448" spans="1:13" x14ac:dyDescent="0.25">
      <c r="A448" t="s">
        <v>37</v>
      </c>
      <c r="B448">
        <v>14</v>
      </c>
      <c r="C448">
        <v>4</v>
      </c>
      <c r="D448">
        <v>0</v>
      </c>
      <c r="E448">
        <v>107</v>
      </c>
      <c r="F448">
        <v>568</v>
      </c>
      <c r="G448">
        <v>1292767</v>
      </c>
      <c r="H448">
        <v>3200</v>
      </c>
      <c r="I448">
        <v>0</v>
      </c>
      <c r="J448">
        <v>18</v>
      </c>
      <c r="K448">
        <v>32</v>
      </c>
      <c r="L448">
        <v>671</v>
      </c>
      <c r="M448">
        <v>14</v>
      </c>
    </row>
    <row r="449" spans="1:13" x14ac:dyDescent="0.25">
      <c r="A449" t="s">
        <v>37</v>
      </c>
      <c r="B449">
        <v>0</v>
      </c>
      <c r="C449">
        <v>1</v>
      </c>
      <c r="D449">
        <v>1</v>
      </c>
      <c r="E449">
        <v>0</v>
      </c>
      <c r="F449">
        <v>0</v>
      </c>
      <c r="G449">
        <v>0.45764159999999998</v>
      </c>
      <c r="H449">
        <v>0</v>
      </c>
      <c r="I449">
        <v>0</v>
      </c>
      <c r="J449">
        <v>0</v>
      </c>
      <c r="K449">
        <v>0</v>
      </c>
      <c r="L449">
        <v>0</v>
      </c>
      <c r="M449">
        <v>0</v>
      </c>
    </row>
    <row r="450" spans="1:13" x14ac:dyDescent="0.25">
      <c r="A450" t="s">
        <v>37</v>
      </c>
      <c r="B450">
        <v>1</v>
      </c>
      <c r="C450">
        <v>1</v>
      </c>
      <c r="D450">
        <v>0</v>
      </c>
      <c r="E450">
        <v>6</v>
      </c>
      <c r="F450">
        <v>126</v>
      </c>
      <c r="G450">
        <v>53.603879999999997</v>
      </c>
      <c r="H450">
        <v>360</v>
      </c>
      <c r="I450">
        <v>2</v>
      </c>
      <c r="J450">
        <v>2</v>
      </c>
      <c r="K450">
        <v>6</v>
      </c>
      <c r="L450">
        <v>95</v>
      </c>
      <c r="M450">
        <v>0</v>
      </c>
    </row>
    <row r="451" spans="1:13" x14ac:dyDescent="0.25">
      <c r="A451" t="s">
        <v>37</v>
      </c>
      <c r="B451">
        <v>2</v>
      </c>
      <c r="C451">
        <v>2</v>
      </c>
      <c r="D451">
        <v>1</v>
      </c>
      <c r="E451">
        <v>0</v>
      </c>
      <c r="F451">
        <v>0</v>
      </c>
      <c r="G451">
        <v>59.976750000000003</v>
      </c>
      <c r="H451">
        <v>240</v>
      </c>
      <c r="I451">
        <v>0</v>
      </c>
      <c r="J451">
        <v>0</v>
      </c>
      <c r="K451">
        <v>0</v>
      </c>
      <c r="L451">
        <v>69</v>
      </c>
      <c r="M451">
        <v>0</v>
      </c>
    </row>
    <row r="452" spans="1:13" x14ac:dyDescent="0.25">
      <c r="A452" t="s">
        <v>37</v>
      </c>
      <c r="B452">
        <v>1</v>
      </c>
      <c r="C452">
        <v>4</v>
      </c>
      <c r="D452">
        <v>1</v>
      </c>
      <c r="E452">
        <v>3</v>
      </c>
      <c r="F452">
        <v>93</v>
      </c>
      <c r="G452">
        <v>224.36670000000001</v>
      </c>
      <c r="H452">
        <v>280</v>
      </c>
      <c r="I452">
        <v>0</v>
      </c>
      <c r="J452">
        <v>3</v>
      </c>
      <c r="K452">
        <v>3</v>
      </c>
      <c r="L452">
        <v>25</v>
      </c>
      <c r="M452">
        <v>207</v>
      </c>
    </row>
    <row r="453" spans="1:13" x14ac:dyDescent="0.25">
      <c r="A453" t="s">
        <v>37</v>
      </c>
      <c r="B453">
        <v>0</v>
      </c>
      <c r="C453">
        <v>1</v>
      </c>
      <c r="D453">
        <v>0</v>
      </c>
      <c r="E453">
        <v>8</v>
      </c>
      <c r="F453">
        <v>15</v>
      </c>
      <c r="G453">
        <v>48.243160000000003</v>
      </c>
      <c r="H453">
        <v>120</v>
      </c>
      <c r="I453">
        <v>1</v>
      </c>
      <c r="J453">
        <v>1</v>
      </c>
      <c r="K453">
        <v>3</v>
      </c>
      <c r="L453">
        <v>30</v>
      </c>
      <c r="M453">
        <v>0</v>
      </c>
    </row>
    <row r="454" spans="1:13" x14ac:dyDescent="0.25">
      <c r="A454" t="s">
        <v>37</v>
      </c>
      <c r="B454">
        <v>0</v>
      </c>
      <c r="C454">
        <v>1</v>
      </c>
      <c r="D454">
        <v>0</v>
      </c>
      <c r="E454">
        <v>7</v>
      </c>
      <c r="F454">
        <v>24</v>
      </c>
      <c r="G454">
        <v>55.380189999999999</v>
      </c>
      <c r="H454">
        <v>160</v>
      </c>
      <c r="I454">
        <v>1</v>
      </c>
      <c r="J454">
        <v>1</v>
      </c>
      <c r="K454">
        <v>2</v>
      </c>
      <c r="L454">
        <v>9</v>
      </c>
      <c r="M454">
        <v>0</v>
      </c>
    </row>
    <row r="455" spans="1:13" x14ac:dyDescent="0.25">
      <c r="A455" t="s">
        <v>37</v>
      </c>
      <c r="B455">
        <v>0</v>
      </c>
      <c r="C455">
        <v>1</v>
      </c>
      <c r="D455">
        <v>1</v>
      </c>
      <c r="E455">
        <v>2</v>
      </c>
      <c r="F455">
        <v>999</v>
      </c>
      <c r="G455">
        <v>92.750370000000004</v>
      </c>
      <c r="H455">
        <v>120</v>
      </c>
      <c r="I455">
        <v>0</v>
      </c>
      <c r="J455">
        <v>1</v>
      </c>
      <c r="K455">
        <v>1</v>
      </c>
      <c r="L455">
        <v>17</v>
      </c>
      <c r="M455">
        <v>0</v>
      </c>
    </row>
    <row r="456" spans="1:13" x14ac:dyDescent="0.25">
      <c r="A456" t="s">
        <v>37</v>
      </c>
      <c r="B456">
        <v>0</v>
      </c>
      <c r="C456">
        <v>1</v>
      </c>
      <c r="D456">
        <v>0</v>
      </c>
      <c r="E456">
        <v>0</v>
      </c>
      <c r="F456">
        <v>0</v>
      </c>
      <c r="G456">
        <v>27.975829999999998</v>
      </c>
      <c r="H456">
        <v>80</v>
      </c>
      <c r="I456">
        <v>1</v>
      </c>
      <c r="J456">
        <v>1</v>
      </c>
      <c r="K456">
        <v>2</v>
      </c>
      <c r="L456">
        <v>28</v>
      </c>
      <c r="M456">
        <v>3</v>
      </c>
    </row>
    <row r="457" spans="1:13" x14ac:dyDescent="0.25">
      <c r="A457" t="s">
        <v>37</v>
      </c>
      <c r="B457">
        <v>2</v>
      </c>
      <c r="C457">
        <v>3</v>
      </c>
      <c r="D457">
        <v>1</v>
      </c>
      <c r="E457">
        <v>0</v>
      </c>
      <c r="F457">
        <v>0</v>
      </c>
      <c r="G457">
        <v>54.98462</v>
      </c>
      <c r="H457">
        <v>240</v>
      </c>
      <c r="I457">
        <v>0</v>
      </c>
      <c r="J457">
        <v>2</v>
      </c>
      <c r="K457">
        <v>0</v>
      </c>
      <c r="L457">
        <v>70</v>
      </c>
      <c r="M457">
        <v>16</v>
      </c>
    </row>
    <row r="458" spans="1:13" x14ac:dyDescent="0.25">
      <c r="A458" t="s">
        <v>12</v>
      </c>
      <c r="B458">
        <f>SUBTOTAL(101,data[Column1])</f>
        <v>1.8552631578947369</v>
      </c>
      <c r="C458">
        <f>SUBTOTAL(101,data[Column2])</f>
        <v>2.1403508771929824</v>
      </c>
      <c r="D458">
        <f>SUBTOTAL(101,data[Column3])</f>
        <v>0.37061403508771928</v>
      </c>
      <c r="E458">
        <f>SUBTOTAL(101,data[Column4])</f>
        <v>3.7543859649122808</v>
      </c>
      <c r="F458">
        <f>SUBTOTAL(101,data[Column5])</f>
        <v>107.05043859649123</v>
      </c>
      <c r="G458">
        <f>SUBTOTAL(101,data[Column6])</f>
        <v>398223.96298243466</v>
      </c>
      <c r="H458">
        <f>SUBTOTAL(101,data[Column7])</f>
        <v>352.78289473684208</v>
      </c>
      <c r="I458">
        <f>SUBTOTAL(101,data[Column8])</f>
        <v>1.1600877192982457</v>
      </c>
      <c r="J458">
        <f>SUBTOTAL(101,data[Column9])</f>
        <v>2.4758771929824563</v>
      </c>
      <c r="K458">
        <f>SUBTOTAL(101,data[Column10])</f>
        <v>3.8925438596491229</v>
      </c>
      <c r="L458">
        <f>SUBTOTAL(101,data[Column11])</f>
        <v>91</v>
      </c>
      <c r="M458">
        <f>SUBTOTAL(101,data[Column12])</f>
        <v>13.572368421052632</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D444-D82E-41E1-85D6-F63611220C0A}">
  <dimension ref="A1:AP553"/>
  <sheetViews>
    <sheetView tabSelected="1" topLeftCell="A355" zoomScale="40" zoomScaleNormal="40" workbookViewId="0">
      <selection activeCell="AE509" sqref="AE509"/>
    </sheetView>
  </sheetViews>
  <sheetFormatPr defaultColWidth="9.140625" defaultRowHeight="15" x14ac:dyDescent="0.25"/>
  <cols>
    <col min="1" max="1" width="40" bestFit="1" customWidth="1"/>
    <col min="2" max="10" width="11.42578125" bestFit="1" customWidth="1"/>
    <col min="11" max="13" width="12.42578125" bestFit="1" customWidth="1"/>
    <col min="15" max="15" width="14.5703125" customWidth="1"/>
    <col min="16" max="16" width="23.140625" customWidth="1"/>
    <col min="25" max="25" width="11.5703125" customWidth="1"/>
    <col min="29" max="29" width="11" customWidth="1"/>
    <col min="30" max="30" width="13.42578125" bestFit="1" customWidth="1"/>
    <col min="31" max="31" width="15" bestFit="1" customWidth="1"/>
    <col min="32" max="32" width="11.140625" customWidth="1"/>
    <col min="33" max="36" width="11" customWidth="1"/>
    <col min="37" max="37" width="13.7109375" customWidth="1"/>
    <col min="38" max="38" width="13.28515625" customWidth="1"/>
    <col min="39" max="39" width="12" customWidth="1"/>
    <col min="40" max="40" width="14.42578125" customWidth="1"/>
    <col min="41" max="41" width="12" customWidth="1"/>
  </cols>
  <sheetData>
    <row r="1" spans="1:27" x14ac:dyDescent="0.25">
      <c r="A1" t="s">
        <v>13</v>
      </c>
      <c r="B1" t="s">
        <v>262</v>
      </c>
      <c r="C1" t="s">
        <v>273</v>
      </c>
      <c r="D1" t="s">
        <v>274</v>
      </c>
      <c r="E1" t="s">
        <v>264</v>
      </c>
      <c r="F1" t="s">
        <v>275</v>
      </c>
      <c r="G1" t="s">
        <v>266</v>
      </c>
      <c r="H1" t="s">
        <v>276</v>
      </c>
      <c r="I1" t="s">
        <v>277</v>
      </c>
      <c r="J1" t="s">
        <v>278</v>
      </c>
      <c r="K1" t="s">
        <v>279</v>
      </c>
      <c r="L1" t="s">
        <v>280</v>
      </c>
      <c r="M1" t="s">
        <v>281</v>
      </c>
    </row>
    <row r="2" spans="1:27" x14ac:dyDescent="0.25">
      <c r="A2" t="s">
        <v>38</v>
      </c>
      <c r="B2">
        <v>14</v>
      </c>
      <c r="C2">
        <v>1</v>
      </c>
      <c r="D2">
        <v>0</v>
      </c>
      <c r="E2">
        <v>40</v>
      </c>
      <c r="F2">
        <v>3801</v>
      </c>
      <c r="G2">
        <v>766.89359999999999</v>
      </c>
      <c r="H2">
        <v>2480</v>
      </c>
      <c r="I2">
        <v>6</v>
      </c>
      <c r="J2">
        <v>16</v>
      </c>
      <c r="K2">
        <v>17</v>
      </c>
      <c r="L2">
        <v>367</v>
      </c>
      <c r="M2">
        <v>104</v>
      </c>
      <c r="O2" s="6" t="s">
        <v>38</v>
      </c>
      <c r="P2" s="7">
        <v>14</v>
      </c>
      <c r="Q2" s="7">
        <v>1</v>
      </c>
      <c r="R2" s="7">
        <v>0</v>
      </c>
      <c r="S2" s="7">
        <v>40</v>
      </c>
      <c r="T2" s="7">
        <v>3801</v>
      </c>
      <c r="U2" s="7">
        <v>766.89359999999999</v>
      </c>
      <c r="V2" s="7">
        <v>2480</v>
      </c>
      <c r="W2" s="7">
        <v>6</v>
      </c>
      <c r="X2" s="7">
        <v>16</v>
      </c>
      <c r="Y2" s="7">
        <v>17</v>
      </c>
      <c r="Z2" s="7">
        <v>367</v>
      </c>
      <c r="AA2" s="8">
        <v>104</v>
      </c>
    </row>
    <row r="3" spans="1:27" x14ac:dyDescent="0.25">
      <c r="A3" t="s">
        <v>38</v>
      </c>
      <c r="B3">
        <v>6</v>
      </c>
      <c r="C3">
        <v>3</v>
      </c>
      <c r="D3">
        <v>0</v>
      </c>
      <c r="E3">
        <v>29</v>
      </c>
      <c r="F3">
        <v>1258</v>
      </c>
      <c r="G3">
        <v>343.72250000000003</v>
      </c>
      <c r="H3">
        <v>960</v>
      </c>
      <c r="I3">
        <v>16</v>
      </c>
      <c r="J3">
        <v>7</v>
      </c>
      <c r="K3">
        <v>9</v>
      </c>
      <c r="L3">
        <v>151</v>
      </c>
      <c r="M3">
        <v>28</v>
      </c>
      <c r="O3" s="3" t="s">
        <v>38</v>
      </c>
      <c r="P3" s="4">
        <v>6</v>
      </c>
      <c r="Q3" s="4">
        <v>3</v>
      </c>
      <c r="R3" s="4">
        <v>0</v>
      </c>
      <c r="S3" s="4">
        <v>29</v>
      </c>
      <c r="T3" s="4">
        <v>1258</v>
      </c>
      <c r="U3" s="4">
        <v>343.72250000000003</v>
      </c>
      <c r="V3" s="4">
        <v>960</v>
      </c>
      <c r="W3" s="4">
        <v>16</v>
      </c>
      <c r="X3" s="4">
        <v>7</v>
      </c>
      <c r="Y3" s="4">
        <v>9</v>
      </c>
      <c r="Z3" s="4">
        <v>151</v>
      </c>
      <c r="AA3" s="5">
        <v>28</v>
      </c>
    </row>
    <row r="4" spans="1:27" x14ac:dyDescent="0.25">
      <c r="A4" t="s">
        <v>38</v>
      </c>
      <c r="B4">
        <v>7</v>
      </c>
      <c r="C4">
        <v>1</v>
      </c>
      <c r="D4">
        <v>1</v>
      </c>
      <c r="E4">
        <v>26</v>
      </c>
      <c r="F4">
        <v>1353</v>
      </c>
      <c r="G4">
        <v>420.09460000000001</v>
      </c>
      <c r="H4">
        <v>1160</v>
      </c>
      <c r="I4">
        <v>2</v>
      </c>
      <c r="J4">
        <v>7</v>
      </c>
      <c r="K4">
        <v>8</v>
      </c>
      <c r="L4">
        <v>78</v>
      </c>
      <c r="M4">
        <v>44</v>
      </c>
      <c r="O4" s="6" t="s">
        <v>38</v>
      </c>
      <c r="P4" s="7">
        <v>7</v>
      </c>
      <c r="Q4" s="7">
        <v>1</v>
      </c>
      <c r="R4" s="7">
        <v>1</v>
      </c>
      <c r="S4" s="7">
        <v>26</v>
      </c>
      <c r="T4" s="7">
        <v>1353</v>
      </c>
      <c r="U4" s="7">
        <v>420.09460000000001</v>
      </c>
      <c r="V4" s="7">
        <v>1160</v>
      </c>
      <c r="W4" s="7">
        <v>2</v>
      </c>
      <c r="X4" s="7">
        <v>7</v>
      </c>
      <c r="Y4" s="7">
        <v>8</v>
      </c>
      <c r="Z4" s="7">
        <v>78</v>
      </c>
      <c r="AA4" s="8">
        <v>44</v>
      </c>
    </row>
    <row r="5" spans="1:27" x14ac:dyDescent="0.25">
      <c r="A5" t="s">
        <v>38</v>
      </c>
      <c r="B5">
        <v>4</v>
      </c>
      <c r="C5">
        <v>1</v>
      </c>
      <c r="D5">
        <v>1</v>
      </c>
      <c r="E5">
        <v>1</v>
      </c>
      <c r="F5">
        <v>1063</v>
      </c>
      <c r="G5">
        <v>175.82730000000001</v>
      </c>
      <c r="H5">
        <v>520</v>
      </c>
      <c r="I5">
        <v>0</v>
      </c>
      <c r="J5">
        <v>4</v>
      </c>
      <c r="K5">
        <v>1</v>
      </c>
      <c r="L5">
        <v>51</v>
      </c>
      <c r="M5">
        <v>52</v>
      </c>
      <c r="O5" s="3" t="s">
        <v>38</v>
      </c>
      <c r="P5" s="4">
        <v>4</v>
      </c>
      <c r="Q5" s="4">
        <v>1</v>
      </c>
      <c r="R5" s="4">
        <v>1</v>
      </c>
      <c r="S5" s="4">
        <v>1</v>
      </c>
      <c r="T5" s="4">
        <v>1063</v>
      </c>
      <c r="U5" s="4">
        <v>175.82730000000001</v>
      </c>
      <c r="V5" s="4">
        <v>520</v>
      </c>
      <c r="W5" s="4">
        <v>0</v>
      </c>
      <c r="X5" s="4">
        <v>4</v>
      </c>
      <c r="Y5" s="4">
        <v>1</v>
      </c>
      <c r="Z5" s="4">
        <v>51</v>
      </c>
      <c r="AA5" s="5">
        <v>52</v>
      </c>
    </row>
    <row r="6" spans="1:27" x14ac:dyDescent="0.25">
      <c r="A6" t="s">
        <v>38</v>
      </c>
      <c r="B6">
        <v>3</v>
      </c>
      <c r="C6">
        <v>1</v>
      </c>
      <c r="D6">
        <v>0</v>
      </c>
      <c r="E6">
        <v>2</v>
      </c>
      <c r="F6">
        <v>51</v>
      </c>
      <c r="G6">
        <v>182.32429999999999</v>
      </c>
      <c r="H6">
        <v>440</v>
      </c>
      <c r="I6">
        <v>1</v>
      </c>
      <c r="J6">
        <v>5</v>
      </c>
      <c r="K6">
        <v>0</v>
      </c>
      <c r="L6">
        <v>35</v>
      </c>
      <c r="M6">
        <v>16</v>
      </c>
      <c r="O6" s="6" t="s">
        <v>38</v>
      </c>
      <c r="P6" s="7">
        <v>3</v>
      </c>
      <c r="Q6" s="7">
        <v>1</v>
      </c>
      <c r="R6" s="7">
        <v>0</v>
      </c>
      <c r="S6" s="7">
        <v>2</v>
      </c>
      <c r="T6" s="7">
        <v>51</v>
      </c>
      <c r="U6" s="7">
        <v>182.32429999999999</v>
      </c>
      <c r="V6" s="7">
        <v>440</v>
      </c>
      <c r="W6" s="7">
        <v>1</v>
      </c>
      <c r="X6" s="7">
        <v>5</v>
      </c>
      <c r="Y6" s="7">
        <v>0</v>
      </c>
      <c r="Z6" s="7">
        <v>35</v>
      </c>
      <c r="AA6" s="8">
        <v>16</v>
      </c>
    </row>
    <row r="7" spans="1:27" x14ac:dyDescent="0.25">
      <c r="A7" t="s">
        <v>38</v>
      </c>
      <c r="B7">
        <v>3</v>
      </c>
      <c r="C7">
        <v>2</v>
      </c>
      <c r="D7">
        <v>0</v>
      </c>
      <c r="E7">
        <v>4</v>
      </c>
      <c r="F7">
        <v>801</v>
      </c>
      <c r="G7">
        <v>224.7627</v>
      </c>
      <c r="H7">
        <v>520</v>
      </c>
      <c r="I7">
        <v>3</v>
      </c>
      <c r="J7">
        <v>4</v>
      </c>
      <c r="K7">
        <v>3</v>
      </c>
      <c r="L7">
        <v>58</v>
      </c>
      <c r="M7">
        <v>20</v>
      </c>
      <c r="O7" s="3" t="s">
        <v>38</v>
      </c>
      <c r="P7" s="4">
        <v>3</v>
      </c>
      <c r="Q7" s="4">
        <v>2</v>
      </c>
      <c r="R7" s="4">
        <v>0</v>
      </c>
      <c r="S7" s="4">
        <v>4</v>
      </c>
      <c r="T7" s="4">
        <v>801</v>
      </c>
      <c r="U7" s="4">
        <v>224.7627</v>
      </c>
      <c r="V7" s="4">
        <v>520</v>
      </c>
      <c r="W7" s="4">
        <v>3</v>
      </c>
      <c r="X7" s="4">
        <v>4</v>
      </c>
      <c r="Y7" s="4">
        <v>3</v>
      </c>
      <c r="Z7" s="4">
        <v>58</v>
      </c>
      <c r="AA7" s="5">
        <v>20</v>
      </c>
    </row>
    <row r="8" spans="1:27" x14ac:dyDescent="0.25">
      <c r="A8" t="s">
        <v>38</v>
      </c>
      <c r="B8">
        <v>4</v>
      </c>
      <c r="C8">
        <v>2</v>
      </c>
      <c r="D8">
        <v>1</v>
      </c>
      <c r="E8">
        <v>7</v>
      </c>
      <c r="F8">
        <v>133</v>
      </c>
      <c r="G8">
        <v>101.2097</v>
      </c>
      <c r="H8">
        <v>600</v>
      </c>
      <c r="I8">
        <v>3</v>
      </c>
      <c r="J8">
        <v>4</v>
      </c>
      <c r="K8">
        <v>2</v>
      </c>
      <c r="L8">
        <v>38</v>
      </c>
      <c r="M8">
        <v>2</v>
      </c>
      <c r="O8" s="6" t="s">
        <v>38</v>
      </c>
      <c r="P8" s="7">
        <v>4</v>
      </c>
      <c r="Q8" s="7">
        <v>2</v>
      </c>
      <c r="R8" s="7">
        <v>1</v>
      </c>
      <c r="S8" s="7">
        <v>7</v>
      </c>
      <c r="T8" s="7">
        <v>133</v>
      </c>
      <c r="U8" s="7">
        <v>101.2097</v>
      </c>
      <c r="V8" s="7">
        <v>600</v>
      </c>
      <c r="W8" s="7">
        <v>3</v>
      </c>
      <c r="X8" s="7">
        <v>4</v>
      </c>
      <c r="Y8" s="7">
        <v>2</v>
      </c>
      <c r="Z8" s="7">
        <v>38</v>
      </c>
      <c r="AA8" s="8">
        <v>2</v>
      </c>
    </row>
    <row r="9" spans="1:27" x14ac:dyDescent="0.25">
      <c r="A9" t="s">
        <v>38</v>
      </c>
      <c r="B9">
        <v>3</v>
      </c>
      <c r="C9">
        <v>3</v>
      </c>
      <c r="D9">
        <v>0</v>
      </c>
      <c r="E9">
        <v>1</v>
      </c>
      <c r="F9">
        <v>1018</v>
      </c>
      <c r="G9">
        <v>176.5701</v>
      </c>
      <c r="H9">
        <v>680</v>
      </c>
      <c r="I9">
        <v>5</v>
      </c>
      <c r="J9">
        <v>4</v>
      </c>
      <c r="K9">
        <v>5</v>
      </c>
      <c r="L9">
        <v>61</v>
      </c>
      <c r="M9">
        <v>6</v>
      </c>
      <c r="O9" s="3" t="s">
        <v>38</v>
      </c>
      <c r="P9" s="4">
        <v>3</v>
      </c>
      <c r="Q9" s="4">
        <v>3</v>
      </c>
      <c r="R9" s="4">
        <v>0</v>
      </c>
      <c r="S9" s="4">
        <v>1</v>
      </c>
      <c r="T9" s="4">
        <v>1018</v>
      </c>
      <c r="U9" s="4">
        <v>176.5701</v>
      </c>
      <c r="V9" s="4">
        <v>680</v>
      </c>
      <c r="W9" s="4">
        <v>5</v>
      </c>
      <c r="X9" s="4">
        <v>4</v>
      </c>
      <c r="Y9" s="4">
        <v>5</v>
      </c>
      <c r="Z9" s="4">
        <v>61</v>
      </c>
      <c r="AA9" s="5">
        <v>6</v>
      </c>
    </row>
    <row r="10" spans="1:27" x14ac:dyDescent="0.25">
      <c r="A10" t="s">
        <v>38</v>
      </c>
      <c r="B10">
        <v>2</v>
      </c>
      <c r="C10">
        <v>4</v>
      </c>
      <c r="D10">
        <v>1</v>
      </c>
      <c r="E10">
        <v>2</v>
      </c>
      <c r="F10">
        <v>1933</v>
      </c>
      <c r="G10">
        <v>160.8691</v>
      </c>
      <c r="H10">
        <v>480</v>
      </c>
      <c r="I10">
        <v>0</v>
      </c>
      <c r="J10">
        <v>2</v>
      </c>
      <c r="K10">
        <v>5</v>
      </c>
      <c r="L10">
        <v>27</v>
      </c>
      <c r="M10">
        <v>37</v>
      </c>
      <c r="O10" s="6" t="s">
        <v>38</v>
      </c>
      <c r="P10" s="7">
        <v>2</v>
      </c>
      <c r="Q10" s="7">
        <v>4</v>
      </c>
      <c r="R10" s="7">
        <v>1</v>
      </c>
      <c r="S10" s="7">
        <v>2</v>
      </c>
      <c r="T10" s="7">
        <v>1933</v>
      </c>
      <c r="U10" s="7">
        <v>160.8691</v>
      </c>
      <c r="V10" s="7">
        <v>480</v>
      </c>
      <c r="W10" s="7">
        <v>0</v>
      </c>
      <c r="X10" s="7">
        <v>2</v>
      </c>
      <c r="Y10" s="7">
        <v>5</v>
      </c>
      <c r="Z10" s="7">
        <v>27</v>
      </c>
      <c r="AA10" s="8">
        <v>37</v>
      </c>
    </row>
    <row r="11" spans="1:27" x14ac:dyDescent="0.25">
      <c r="A11" t="s">
        <v>38</v>
      </c>
      <c r="B11">
        <v>8</v>
      </c>
      <c r="C11">
        <v>2</v>
      </c>
      <c r="D11">
        <v>0</v>
      </c>
      <c r="E11">
        <v>4</v>
      </c>
      <c r="F11">
        <v>312</v>
      </c>
      <c r="G11">
        <v>325.01639999999998</v>
      </c>
      <c r="H11">
        <v>1120</v>
      </c>
      <c r="I11">
        <v>27</v>
      </c>
      <c r="J11">
        <v>9</v>
      </c>
      <c r="K11">
        <v>2</v>
      </c>
      <c r="L11">
        <v>71</v>
      </c>
      <c r="M11">
        <v>38</v>
      </c>
      <c r="O11" s="3" t="s">
        <v>38</v>
      </c>
      <c r="P11" s="4">
        <v>8</v>
      </c>
      <c r="Q11" s="4">
        <v>2</v>
      </c>
      <c r="R11" s="4">
        <v>0</v>
      </c>
      <c r="S11" s="4">
        <v>4</v>
      </c>
      <c r="T11" s="4">
        <v>312</v>
      </c>
      <c r="U11" s="4">
        <v>325.01639999999998</v>
      </c>
      <c r="V11" s="4">
        <v>1120</v>
      </c>
      <c r="W11" s="4">
        <v>27</v>
      </c>
      <c r="X11" s="4">
        <v>9</v>
      </c>
      <c r="Y11" s="4">
        <v>2</v>
      </c>
      <c r="Z11" s="4">
        <v>71</v>
      </c>
      <c r="AA11" s="5">
        <v>38</v>
      </c>
    </row>
    <row r="12" spans="1:27" x14ac:dyDescent="0.25">
      <c r="A12" t="s">
        <v>38</v>
      </c>
      <c r="B12">
        <v>4</v>
      </c>
      <c r="C12">
        <v>4</v>
      </c>
      <c r="D12">
        <v>1</v>
      </c>
      <c r="E12">
        <v>1</v>
      </c>
      <c r="F12">
        <v>1259</v>
      </c>
      <c r="G12">
        <v>280.2747</v>
      </c>
      <c r="H12">
        <v>640</v>
      </c>
      <c r="I12">
        <v>0</v>
      </c>
      <c r="J12">
        <v>4</v>
      </c>
      <c r="K12">
        <v>4</v>
      </c>
      <c r="L12">
        <v>48</v>
      </c>
      <c r="M12">
        <v>49</v>
      </c>
      <c r="O12" s="6" t="s">
        <v>38</v>
      </c>
      <c r="P12" s="7">
        <v>4</v>
      </c>
      <c r="Q12" s="7">
        <v>4</v>
      </c>
      <c r="R12" s="7">
        <v>1</v>
      </c>
      <c r="S12" s="7">
        <v>1</v>
      </c>
      <c r="T12" s="7">
        <v>1259</v>
      </c>
      <c r="U12" s="7">
        <v>280.2747</v>
      </c>
      <c r="V12" s="7">
        <v>640</v>
      </c>
      <c r="W12" s="7">
        <v>0</v>
      </c>
      <c r="X12" s="7">
        <v>4</v>
      </c>
      <c r="Y12" s="7">
        <v>4</v>
      </c>
      <c r="Z12" s="7">
        <v>48</v>
      </c>
      <c r="AA12" s="8">
        <v>49</v>
      </c>
    </row>
    <row r="13" spans="1:27" x14ac:dyDescent="0.25">
      <c r="A13" t="s">
        <v>38</v>
      </c>
      <c r="B13">
        <v>0</v>
      </c>
      <c r="C13">
        <v>4</v>
      </c>
      <c r="D13">
        <v>0</v>
      </c>
      <c r="E13">
        <v>0</v>
      </c>
      <c r="F13">
        <v>0</v>
      </c>
      <c r="G13">
        <v>50.04907</v>
      </c>
      <c r="H13">
        <v>0</v>
      </c>
      <c r="I13">
        <v>1</v>
      </c>
      <c r="J13">
        <v>1</v>
      </c>
      <c r="K13">
        <v>0</v>
      </c>
      <c r="L13">
        <v>36</v>
      </c>
      <c r="M13">
        <v>7</v>
      </c>
      <c r="O13" s="3" t="s">
        <v>38</v>
      </c>
      <c r="P13" s="4">
        <v>0</v>
      </c>
      <c r="Q13" s="4">
        <v>4</v>
      </c>
      <c r="R13" s="4">
        <v>0</v>
      </c>
      <c r="S13" s="4">
        <v>0</v>
      </c>
      <c r="T13" s="4">
        <v>0</v>
      </c>
      <c r="U13" s="4">
        <v>50.04907</v>
      </c>
      <c r="V13" s="4">
        <v>0</v>
      </c>
      <c r="W13" s="4">
        <v>1</v>
      </c>
      <c r="X13" s="4">
        <v>1</v>
      </c>
      <c r="Y13" s="4">
        <v>0</v>
      </c>
      <c r="Z13" s="4">
        <v>36</v>
      </c>
      <c r="AA13" s="5">
        <v>7</v>
      </c>
    </row>
    <row r="14" spans="1:27" x14ac:dyDescent="0.25">
      <c r="A14" t="s">
        <v>38</v>
      </c>
      <c r="B14">
        <v>1</v>
      </c>
      <c r="C14">
        <v>3</v>
      </c>
      <c r="D14">
        <v>1</v>
      </c>
      <c r="E14">
        <v>0</v>
      </c>
      <c r="F14">
        <v>135</v>
      </c>
      <c r="G14">
        <v>22.229489999999998</v>
      </c>
      <c r="H14">
        <v>120</v>
      </c>
      <c r="I14">
        <v>0</v>
      </c>
      <c r="J14">
        <v>1</v>
      </c>
      <c r="K14">
        <v>1</v>
      </c>
      <c r="L14">
        <v>3</v>
      </c>
      <c r="M14">
        <v>6</v>
      </c>
      <c r="O14" s="6" t="s">
        <v>38</v>
      </c>
      <c r="P14" s="7">
        <v>1</v>
      </c>
      <c r="Q14" s="7">
        <v>3</v>
      </c>
      <c r="R14" s="7">
        <v>1</v>
      </c>
      <c r="S14" s="7">
        <v>0</v>
      </c>
      <c r="T14" s="7">
        <v>135</v>
      </c>
      <c r="U14" s="7">
        <v>22.229489999999998</v>
      </c>
      <c r="V14" s="7">
        <v>120</v>
      </c>
      <c r="W14" s="7">
        <v>0</v>
      </c>
      <c r="X14" s="7">
        <v>1</v>
      </c>
      <c r="Y14" s="7">
        <v>1</v>
      </c>
      <c r="Z14" s="7">
        <v>3</v>
      </c>
      <c r="AA14" s="8">
        <v>6</v>
      </c>
    </row>
    <row r="15" spans="1:27" x14ac:dyDescent="0.25">
      <c r="A15" t="s">
        <v>38</v>
      </c>
      <c r="B15">
        <v>5</v>
      </c>
      <c r="C15">
        <v>3</v>
      </c>
      <c r="D15">
        <v>1</v>
      </c>
      <c r="E15">
        <v>0</v>
      </c>
      <c r="F15">
        <v>849</v>
      </c>
      <c r="G15">
        <v>90.126220000000004</v>
      </c>
      <c r="H15">
        <v>680</v>
      </c>
      <c r="I15">
        <v>1</v>
      </c>
      <c r="J15">
        <v>5</v>
      </c>
      <c r="K15">
        <v>2</v>
      </c>
      <c r="L15">
        <v>21</v>
      </c>
      <c r="M15">
        <v>9</v>
      </c>
      <c r="O15" s="3" t="s">
        <v>38</v>
      </c>
      <c r="P15" s="4">
        <v>5</v>
      </c>
      <c r="Q15" s="4">
        <v>3</v>
      </c>
      <c r="R15" s="4">
        <v>1</v>
      </c>
      <c r="S15" s="4">
        <v>0</v>
      </c>
      <c r="T15" s="4">
        <v>849</v>
      </c>
      <c r="U15" s="4">
        <v>90.126220000000004</v>
      </c>
      <c r="V15" s="4">
        <v>680</v>
      </c>
      <c r="W15" s="4">
        <v>1</v>
      </c>
      <c r="X15" s="4">
        <v>5</v>
      </c>
      <c r="Y15" s="4">
        <v>2</v>
      </c>
      <c r="Z15" s="4">
        <v>21</v>
      </c>
      <c r="AA15" s="5">
        <v>9</v>
      </c>
    </row>
    <row r="16" spans="1:27" x14ac:dyDescent="0.25">
      <c r="A16" t="s">
        <v>38</v>
      </c>
      <c r="B16">
        <v>4</v>
      </c>
      <c r="C16">
        <v>2</v>
      </c>
      <c r="D16">
        <v>0</v>
      </c>
      <c r="E16">
        <v>2</v>
      </c>
      <c r="F16">
        <v>561</v>
      </c>
      <c r="G16">
        <v>314.8818</v>
      </c>
      <c r="H16">
        <v>680</v>
      </c>
      <c r="I16">
        <v>0</v>
      </c>
      <c r="J16">
        <v>5</v>
      </c>
      <c r="K16">
        <v>3</v>
      </c>
      <c r="L16">
        <v>40</v>
      </c>
      <c r="M16">
        <v>30</v>
      </c>
      <c r="O16" s="6" t="s">
        <v>38</v>
      </c>
      <c r="P16" s="7">
        <v>4</v>
      </c>
      <c r="Q16" s="7">
        <v>2</v>
      </c>
      <c r="R16" s="7">
        <v>0</v>
      </c>
      <c r="S16" s="7">
        <v>2</v>
      </c>
      <c r="T16" s="7">
        <v>561</v>
      </c>
      <c r="U16" s="7">
        <v>314.8818</v>
      </c>
      <c r="V16" s="7">
        <v>680</v>
      </c>
      <c r="W16" s="7">
        <v>0</v>
      </c>
      <c r="X16" s="7">
        <v>5</v>
      </c>
      <c r="Y16" s="7">
        <v>3</v>
      </c>
      <c r="Z16" s="7">
        <v>40</v>
      </c>
      <c r="AA16" s="8">
        <v>30</v>
      </c>
    </row>
    <row r="17" spans="1:27" x14ac:dyDescent="0.25">
      <c r="A17" t="s">
        <v>38</v>
      </c>
      <c r="B17">
        <v>1</v>
      </c>
      <c r="C17">
        <v>2</v>
      </c>
      <c r="D17">
        <v>0</v>
      </c>
      <c r="E17">
        <v>2</v>
      </c>
      <c r="F17">
        <v>575</v>
      </c>
      <c r="G17">
        <v>129.9871</v>
      </c>
      <c r="H17">
        <v>260</v>
      </c>
      <c r="I17">
        <v>1</v>
      </c>
      <c r="J17">
        <v>2</v>
      </c>
      <c r="K17">
        <v>3</v>
      </c>
      <c r="L17">
        <v>27</v>
      </c>
      <c r="M17">
        <v>12</v>
      </c>
      <c r="O17" s="3" t="s">
        <v>38</v>
      </c>
      <c r="P17" s="4">
        <v>1</v>
      </c>
      <c r="Q17" s="4">
        <v>2</v>
      </c>
      <c r="R17" s="4">
        <v>0</v>
      </c>
      <c r="S17" s="4">
        <v>2</v>
      </c>
      <c r="T17" s="4">
        <v>575</v>
      </c>
      <c r="U17" s="4">
        <v>129.9871</v>
      </c>
      <c r="V17" s="4">
        <v>260</v>
      </c>
      <c r="W17" s="4">
        <v>1</v>
      </c>
      <c r="X17" s="4">
        <v>2</v>
      </c>
      <c r="Y17" s="4">
        <v>3</v>
      </c>
      <c r="Z17" s="4">
        <v>27</v>
      </c>
      <c r="AA17" s="5">
        <v>12</v>
      </c>
    </row>
    <row r="18" spans="1:27" x14ac:dyDescent="0.25">
      <c r="A18" t="s">
        <v>38</v>
      </c>
      <c r="B18">
        <v>4</v>
      </c>
      <c r="C18">
        <v>4</v>
      </c>
      <c r="D18">
        <v>0</v>
      </c>
      <c r="E18">
        <v>3</v>
      </c>
      <c r="F18">
        <v>2587</v>
      </c>
      <c r="G18">
        <v>229.45240000000001</v>
      </c>
      <c r="H18">
        <v>1040</v>
      </c>
      <c r="I18">
        <v>10</v>
      </c>
      <c r="J18">
        <v>5</v>
      </c>
      <c r="K18">
        <v>17</v>
      </c>
      <c r="L18">
        <v>44</v>
      </c>
      <c r="M18">
        <v>35</v>
      </c>
      <c r="O18" s="6" t="s">
        <v>38</v>
      </c>
      <c r="P18" s="7">
        <v>4</v>
      </c>
      <c r="Q18" s="7">
        <v>4</v>
      </c>
      <c r="R18" s="7">
        <v>0</v>
      </c>
      <c r="S18" s="7">
        <v>3</v>
      </c>
      <c r="T18" s="7">
        <v>2587</v>
      </c>
      <c r="U18" s="7">
        <v>229.45240000000001</v>
      </c>
      <c r="V18" s="7">
        <v>1040</v>
      </c>
      <c r="W18" s="7">
        <v>10</v>
      </c>
      <c r="X18" s="7">
        <v>5</v>
      </c>
      <c r="Y18" s="7">
        <v>17</v>
      </c>
      <c r="Z18" s="7">
        <v>44</v>
      </c>
      <c r="AA18" s="8">
        <v>35</v>
      </c>
    </row>
    <row r="19" spans="1:27" x14ac:dyDescent="0.25">
      <c r="A19" t="s">
        <v>38</v>
      </c>
      <c r="B19">
        <v>1</v>
      </c>
      <c r="C19">
        <v>2</v>
      </c>
      <c r="D19">
        <v>0</v>
      </c>
      <c r="E19">
        <v>3</v>
      </c>
      <c r="F19">
        <v>356</v>
      </c>
      <c r="G19">
        <v>144.07859999999999</v>
      </c>
      <c r="H19">
        <v>240</v>
      </c>
      <c r="I19">
        <v>1</v>
      </c>
      <c r="J19">
        <v>2</v>
      </c>
      <c r="K19">
        <v>2</v>
      </c>
      <c r="L19">
        <v>21</v>
      </c>
      <c r="M19">
        <v>18</v>
      </c>
      <c r="O19" s="3" t="s">
        <v>38</v>
      </c>
      <c r="P19" s="4">
        <v>1</v>
      </c>
      <c r="Q19" s="4">
        <v>2</v>
      </c>
      <c r="R19" s="4">
        <v>0</v>
      </c>
      <c r="S19" s="4">
        <v>3</v>
      </c>
      <c r="T19" s="4">
        <v>356</v>
      </c>
      <c r="U19" s="4">
        <v>144.07859999999999</v>
      </c>
      <c r="V19" s="4">
        <v>240</v>
      </c>
      <c r="W19" s="4">
        <v>1</v>
      </c>
      <c r="X19" s="4">
        <v>2</v>
      </c>
      <c r="Y19" s="4">
        <v>2</v>
      </c>
      <c r="Z19" s="4">
        <v>21</v>
      </c>
      <c r="AA19" s="5">
        <v>18</v>
      </c>
    </row>
    <row r="20" spans="1:27" x14ac:dyDescent="0.25">
      <c r="A20" t="s">
        <v>38</v>
      </c>
      <c r="B20">
        <v>3</v>
      </c>
      <c r="C20">
        <v>2</v>
      </c>
      <c r="D20">
        <v>1</v>
      </c>
      <c r="E20">
        <v>2</v>
      </c>
      <c r="F20">
        <v>1964</v>
      </c>
      <c r="G20">
        <v>190.98050000000001</v>
      </c>
      <c r="H20">
        <v>760</v>
      </c>
      <c r="I20">
        <v>2</v>
      </c>
      <c r="J20">
        <v>3</v>
      </c>
      <c r="K20">
        <v>9</v>
      </c>
      <c r="L20">
        <v>39</v>
      </c>
      <c r="M20">
        <v>47</v>
      </c>
      <c r="O20" s="6" t="s">
        <v>38</v>
      </c>
      <c r="P20" s="7">
        <v>3</v>
      </c>
      <c r="Q20" s="7">
        <v>2</v>
      </c>
      <c r="R20" s="7">
        <v>1</v>
      </c>
      <c r="S20" s="7">
        <v>2</v>
      </c>
      <c r="T20" s="7">
        <v>1964</v>
      </c>
      <c r="U20" s="7">
        <v>190.98050000000001</v>
      </c>
      <c r="V20" s="7">
        <v>760</v>
      </c>
      <c r="W20" s="7">
        <v>2</v>
      </c>
      <c r="X20" s="7">
        <v>3</v>
      </c>
      <c r="Y20" s="7">
        <v>9</v>
      </c>
      <c r="Z20" s="7">
        <v>39</v>
      </c>
      <c r="AA20" s="8">
        <v>47</v>
      </c>
    </row>
    <row r="21" spans="1:27" x14ac:dyDescent="0.25">
      <c r="A21" t="s">
        <v>38</v>
      </c>
      <c r="B21">
        <v>2</v>
      </c>
      <c r="C21">
        <v>4</v>
      </c>
      <c r="D21">
        <v>0</v>
      </c>
      <c r="E21">
        <v>0</v>
      </c>
      <c r="F21">
        <v>484</v>
      </c>
      <c r="G21">
        <v>172.1421</v>
      </c>
      <c r="H21">
        <v>480</v>
      </c>
      <c r="I21">
        <v>0</v>
      </c>
      <c r="J21">
        <v>3</v>
      </c>
      <c r="K21">
        <v>5</v>
      </c>
      <c r="L21">
        <v>44</v>
      </c>
      <c r="M21">
        <v>21</v>
      </c>
      <c r="O21" s="3" t="s">
        <v>38</v>
      </c>
      <c r="P21" s="4">
        <v>2</v>
      </c>
      <c r="Q21" s="4">
        <v>4</v>
      </c>
      <c r="R21" s="4">
        <v>0</v>
      </c>
      <c r="S21" s="4">
        <v>0</v>
      </c>
      <c r="T21" s="4">
        <v>484</v>
      </c>
      <c r="U21" s="4">
        <v>172.1421</v>
      </c>
      <c r="V21" s="4">
        <v>480</v>
      </c>
      <c r="W21" s="4">
        <v>0</v>
      </c>
      <c r="X21" s="4">
        <v>3</v>
      </c>
      <c r="Y21" s="4">
        <v>5</v>
      </c>
      <c r="Z21" s="4">
        <v>44</v>
      </c>
      <c r="AA21" s="5">
        <v>21</v>
      </c>
    </row>
    <row r="22" spans="1:27" x14ac:dyDescent="0.25">
      <c r="A22" t="s">
        <v>38</v>
      </c>
      <c r="B22">
        <v>1</v>
      </c>
      <c r="C22">
        <v>2</v>
      </c>
      <c r="D22">
        <v>0</v>
      </c>
      <c r="E22">
        <v>1</v>
      </c>
      <c r="F22">
        <v>2533</v>
      </c>
      <c r="G22">
        <v>184.29589999999999</v>
      </c>
      <c r="H22">
        <v>600</v>
      </c>
      <c r="I22">
        <v>0</v>
      </c>
      <c r="J22">
        <v>2</v>
      </c>
      <c r="K22">
        <v>9</v>
      </c>
      <c r="L22">
        <v>40</v>
      </c>
      <c r="M22">
        <v>64</v>
      </c>
      <c r="O22" s="6" t="s">
        <v>38</v>
      </c>
      <c r="P22" s="7">
        <v>1</v>
      </c>
      <c r="Q22" s="7">
        <v>2</v>
      </c>
      <c r="R22" s="7">
        <v>0</v>
      </c>
      <c r="S22" s="7">
        <v>1</v>
      </c>
      <c r="T22" s="7">
        <v>2533</v>
      </c>
      <c r="U22" s="7">
        <v>184.29589999999999</v>
      </c>
      <c r="V22" s="7">
        <v>600</v>
      </c>
      <c r="W22" s="7">
        <v>0</v>
      </c>
      <c r="X22" s="7">
        <v>2</v>
      </c>
      <c r="Y22" s="7">
        <v>9</v>
      </c>
      <c r="Z22" s="7">
        <v>40</v>
      </c>
      <c r="AA22" s="8">
        <v>64</v>
      </c>
    </row>
    <row r="23" spans="1:27" x14ac:dyDescent="0.25">
      <c r="A23" t="s">
        <v>38</v>
      </c>
      <c r="B23">
        <v>0</v>
      </c>
      <c r="C23">
        <v>4</v>
      </c>
      <c r="D23">
        <v>0</v>
      </c>
      <c r="E23">
        <v>1</v>
      </c>
      <c r="F23">
        <v>0</v>
      </c>
      <c r="G23">
        <v>40.78369</v>
      </c>
      <c r="H23">
        <v>80</v>
      </c>
      <c r="I23">
        <v>1</v>
      </c>
      <c r="J23">
        <v>1</v>
      </c>
      <c r="K23">
        <v>1</v>
      </c>
      <c r="L23">
        <v>6</v>
      </c>
      <c r="M23">
        <v>11</v>
      </c>
      <c r="O23" s="3" t="s">
        <v>38</v>
      </c>
      <c r="P23" s="4">
        <v>0</v>
      </c>
      <c r="Q23" s="4">
        <v>4</v>
      </c>
      <c r="R23" s="4">
        <v>0</v>
      </c>
      <c r="S23" s="4">
        <v>1</v>
      </c>
      <c r="T23" s="4">
        <v>0</v>
      </c>
      <c r="U23" s="4">
        <v>40.78369</v>
      </c>
      <c r="V23" s="4">
        <v>80</v>
      </c>
      <c r="W23" s="4">
        <v>1</v>
      </c>
      <c r="X23" s="4">
        <v>1</v>
      </c>
      <c r="Y23" s="4">
        <v>1</v>
      </c>
      <c r="Z23" s="4">
        <v>6</v>
      </c>
      <c r="AA23" s="5">
        <v>11</v>
      </c>
    </row>
    <row r="24" spans="1:27" x14ac:dyDescent="0.25">
      <c r="A24" t="s">
        <v>38</v>
      </c>
      <c r="B24">
        <v>13</v>
      </c>
      <c r="C24">
        <v>4</v>
      </c>
      <c r="D24">
        <v>0</v>
      </c>
      <c r="E24">
        <v>5</v>
      </c>
      <c r="F24">
        <v>1471</v>
      </c>
      <c r="G24">
        <v>340.36869999999999</v>
      </c>
      <c r="H24">
        <v>2324</v>
      </c>
      <c r="I24">
        <v>20</v>
      </c>
      <c r="J24">
        <v>15</v>
      </c>
      <c r="K24">
        <v>14</v>
      </c>
      <c r="L24">
        <v>83</v>
      </c>
      <c r="M24">
        <v>23</v>
      </c>
      <c r="O24" s="6" t="s">
        <v>38</v>
      </c>
      <c r="P24" s="7">
        <v>13</v>
      </c>
      <c r="Q24" s="7">
        <v>4</v>
      </c>
      <c r="R24" s="7">
        <v>0</v>
      </c>
      <c r="S24" s="7">
        <v>5</v>
      </c>
      <c r="T24" s="7">
        <v>1471</v>
      </c>
      <c r="U24" s="7">
        <v>340.36869999999999</v>
      </c>
      <c r="V24" s="7">
        <v>2324</v>
      </c>
      <c r="W24" s="7">
        <v>20</v>
      </c>
      <c r="X24" s="7">
        <v>15</v>
      </c>
      <c r="Y24" s="7">
        <v>14</v>
      </c>
      <c r="Z24" s="7">
        <v>83</v>
      </c>
      <c r="AA24" s="8">
        <v>23</v>
      </c>
    </row>
    <row r="25" spans="1:27" x14ac:dyDescent="0.25">
      <c r="A25" t="s">
        <v>38</v>
      </c>
      <c r="B25">
        <v>4</v>
      </c>
      <c r="C25">
        <v>4</v>
      </c>
      <c r="D25">
        <v>0</v>
      </c>
      <c r="E25">
        <v>6</v>
      </c>
      <c r="F25">
        <v>2786</v>
      </c>
      <c r="G25">
        <v>407.62700000000001</v>
      </c>
      <c r="H25">
        <v>1160</v>
      </c>
      <c r="I25">
        <v>0</v>
      </c>
      <c r="J25">
        <v>5</v>
      </c>
      <c r="K25">
        <v>14</v>
      </c>
      <c r="L25">
        <v>217</v>
      </c>
      <c r="M25">
        <v>124</v>
      </c>
      <c r="O25" s="3" t="s">
        <v>38</v>
      </c>
      <c r="P25" s="4">
        <v>4</v>
      </c>
      <c r="Q25" s="4">
        <v>4</v>
      </c>
      <c r="R25" s="4">
        <v>0</v>
      </c>
      <c r="S25" s="4">
        <v>6</v>
      </c>
      <c r="T25" s="4">
        <v>2786</v>
      </c>
      <c r="U25" s="4">
        <v>407.62700000000001</v>
      </c>
      <c r="V25" s="4">
        <v>1160</v>
      </c>
      <c r="W25" s="4">
        <v>0</v>
      </c>
      <c r="X25" s="4">
        <v>5</v>
      </c>
      <c r="Y25" s="4">
        <v>14</v>
      </c>
      <c r="Z25" s="4">
        <v>217</v>
      </c>
      <c r="AA25" s="5">
        <v>124</v>
      </c>
    </row>
    <row r="26" spans="1:27" x14ac:dyDescent="0.25">
      <c r="A26" t="s">
        <v>39</v>
      </c>
      <c r="B26">
        <v>7</v>
      </c>
      <c r="C26">
        <v>1</v>
      </c>
      <c r="D26">
        <v>0</v>
      </c>
      <c r="E26">
        <v>34</v>
      </c>
      <c r="F26">
        <v>29</v>
      </c>
      <c r="G26">
        <v>170.54689999999999</v>
      </c>
      <c r="H26">
        <v>1000</v>
      </c>
      <c r="I26">
        <v>2</v>
      </c>
      <c r="J26">
        <v>5</v>
      </c>
      <c r="K26">
        <v>2</v>
      </c>
      <c r="L26">
        <v>137</v>
      </c>
      <c r="M26">
        <v>18</v>
      </c>
      <c r="O26" s="10" t="s">
        <v>12</v>
      </c>
      <c r="P26" s="9">
        <f t="shared" ref="P26:AA26" si="0">AVERAGE(P2:P25)</f>
        <v>4.041666666666667</v>
      </c>
      <c r="Q26" s="9">
        <f t="shared" si="0"/>
        <v>2.6666666666666665</v>
      </c>
      <c r="R26" s="9">
        <f t="shared" si="0"/>
        <v>0.33333333333333331</v>
      </c>
      <c r="S26" s="9">
        <f t="shared" si="0"/>
        <v>5.916666666666667</v>
      </c>
      <c r="T26" s="9">
        <f t="shared" si="0"/>
        <v>1136.7916666666667</v>
      </c>
      <c r="U26" s="9">
        <f t="shared" si="0"/>
        <v>228.10698208333335</v>
      </c>
      <c r="V26" s="9">
        <f t="shared" si="0"/>
        <v>751</v>
      </c>
      <c r="W26" s="9">
        <f t="shared" si="0"/>
        <v>4.166666666666667</v>
      </c>
      <c r="X26" s="9">
        <f t="shared" si="0"/>
        <v>4.833333333333333</v>
      </c>
      <c r="Y26" s="9">
        <f t="shared" si="0"/>
        <v>5.666666666666667</v>
      </c>
      <c r="Z26" s="9">
        <f t="shared" si="0"/>
        <v>66.916666666666671</v>
      </c>
      <c r="AA26" s="9">
        <f t="shared" si="0"/>
        <v>33.458333333333336</v>
      </c>
    </row>
    <row r="27" spans="1:27" x14ac:dyDescent="0.25">
      <c r="A27" t="s">
        <v>39</v>
      </c>
      <c r="B27">
        <v>6</v>
      </c>
      <c r="C27">
        <v>1</v>
      </c>
      <c r="D27">
        <v>0</v>
      </c>
      <c r="E27">
        <v>13</v>
      </c>
      <c r="F27">
        <v>179</v>
      </c>
      <c r="G27">
        <v>140.756</v>
      </c>
      <c r="H27">
        <v>640</v>
      </c>
      <c r="I27">
        <v>0</v>
      </c>
      <c r="J27">
        <v>7</v>
      </c>
      <c r="K27">
        <v>2</v>
      </c>
      <c r="L27">
        <v>164</v>
      </c>
      <c r="M27">
        <v>84</v>
      </c>
    </row>
    <row r="28" spans="1:27" x14ac:dyDescent="0.25">
      <c r="A28" t="s">
        <v>39</v>
      </c>
      <c r="B28">
        <v>0</v>
      </c>
      <c r="C28">
        <v>1</v>
      </c>
      <c r="D28">
        <v>0</v>
      </c>
      <c r="E28">
        <v>1</v>
      </c>
      <c r="F28">
        <v>13</v>
      </c>
      <c r="G28">
        <v>81.802369999999996</v>
      </c>
      <c r="H28">
        <v>200</v>
      </c>
      <c r="I28">
        <v>0</v>
      </c>
      <c r="J28">
        <v>1</v>
      </c>
      <c r="K28">
        <v>7</v>
      </c>
      <c r="L28">
        <v>106</v>
      </c>
      <c r="M28">
        <v>45</v>
      </c>
      <c r="O28" s="6" t="s">
        <v>39</v>
      </c>
      <c r="P28" s="7">
        <v>7</v>
      </c>
      <c r="Q28" s="7">
        <v>1</v>
      </c>
      <c r="R28" s="7">
        <v>0</v>
      </c>
      <c r="S28" s="7">
        <v>34</v>
      </c>
      <c r="T28" s="7">
        <v>29</v>
      </c>
      <c r="U28" s="7">
        <v>170.54689999999999</v>
      </c>
      <c r="V28" s="7">
        <v>1000</v>
      </c>
      <c r="W28" s="7">
        <v>2</v>
      </c>
      <c r="X28" s="7">
        <v>5</v>
      </c>
      <c r="Y28" s="7">
        <v>2</v>
      </c>
      <c r="Z28" s="7">
        <v>137</v>
      </c>
      <c r="AA28" s="8">
        <v>18</v>
      </c>
    </row>
    <row r="29" spans="1:27" x14ac:dyDescent="0.25">
      <c r="A29" t="s">
        <v>39</v>
      </c>
      <c r="B29">
        <v>1</v>
      </c>
      <c r="C29">
        <v>2</v>
      </c>
      <c r="D29">
        <v>0</v>
      </c>
      <c r="E29">
        <v>0</v>
      </c>
      <c r="F29">
        <v>26</v>
      </c>
      <c r="G29">
        <v>97.000609999999995</v>
      </c>
      <c r="H29">
        <v>320</v>
      </c>
      <c r="I29">
        <v>0</v>
      </c>
      <c r="J29">
        <v>2</v>
      </c>
      <c r="K29">
        <v>6</v>
      </c>
      <c r="L29">
        <v>156</v>
      </c>
      <c r="M29">
        <v>58</v>
      </c>
      <c r="O29" s="3" t="s">
        <v>39</v>
      </c>
      <c r="P29" s="4">
        <v>6</v>
      </c>
      <c r="Q29" s="4">
        <v>1</v>
      </c>
      <c r="R29" s="4">
        <v>0</v>
      </c>
      <c r="S29" s="4">
        <v>13</v>
      </c>
      <c r="T29" s="4">
        <v>179</v>
      </c>
      <c r="U29" s="4">
        <v>140.756</v>
      </c>
      <c r="V29" s="4">
        <v>640</v>
      </c>
      <c r="W29" s="4">
        <v>0</v>
      </c>
      <c r="X29" s="4">
        <v>7</v>
      </c>
      <c r="Y29" s="4">
        <v>2</v>
      </c>
      <c r="Z29" s="4">
        <v>164</v>
      </c>
      <c r="AA29" s="5">
        <v>84</v>
      </c>
    </row>
    <row r="30" spans="1:27" x14ac:dyDescent="0.25">
      <c r="A30" t="s">
        <v>39</v>
      </c>
      <c r="B30">
        <v>0</v>
      </c>
      <c r="C30">
        <v>1</v>
      </c>
      <c r="D30">
        <v>0</v>
      </c>
      <c r="E30">
        <v>12</v>
      </c>
      <c r="F30">
        <v>216</v>
      </c>
      <c r="G30">
        <v>68.329830000000001</v>
      </c>
      <c r="H30">
        <v>200</v>
      </c>
      <c r="I30">
        <v>1</v>
      </c>
      <c r="J30">
        <v>1</v>
      </c>
      <c r="K30">
        <v>5</v>
      </c>
      <c r="L30">
        <v>63</v>
      </c>
      <c r="M30">
        <v>0</v>
      </c>
      <c r="O30" s="6" t="s">
        <v>39</v>
      </c>
      <c r="P30" s="7">
        <v>0</v>
      </c>
      <c r="Q30" s="7">
        <v>1</v>
      </c>
      <c r="R30" s="7">
        <v>0</v>
      </c>
      <c r="S30" s="7">
        <v>1</v>
      </c>
      <c r="T30" s="7">
        <v>13</v>
      </c>
      <c r="U30" s="7">
        <v>81.802369999999996</v>
      </c>
      <c r="V30" s="7">
        <v>200</v>
      </c>
      <c r="W30" s="7">
        <v>0</v>
      </c>
      <c r="X30" s="7">
        <v>1</v>
      </c>
      <c r="Y30" s="7">
        <v>7</v>
      </c>
      <c r="Z30" s="7">
        <v>106</v>
      </c>
      <c r="AA30" s="8">
        <v>45</v>
      </c>
    </row>
    <row r="31" spans="1:27" x14ac:dyDescent="0.25">
      <c r="A31" t="s">
        <v>39</v>
      </c>
      <c r="B31">
        <v>0</v>
      </c>
      <c r="C31">
        <v>1</v>
      </c>
      <c r="D31">
        <v>0</v>
      </c>
      <c r="E31">
        <v>14</v>
      </c>
      <c r="F31">
        <v>0</v>
      </c>
      <c r="G31">
        <v>68.308229999999995</v>
      </c>
      <c r="H31">
        <v>200</v>
      </c>
      <c r="I31">
        <v>1</v>
      </c>
      <c r="J31">
        <v>1</v>
      </c>
      <c r="K31">
        <v>3</v>
      </c>
      <c r="L31">
        <v>64</v>
      </c>
      <c r="M31">
        <v>0</v>
      </c>
      <c r="O31" s="3" t="s">
        <v>39</v>
      </c>
      <c r="P31" s="4">
        <v>1</v>
      </c>
      <c r="Q31" s="4">
        <v>2</v>
      </c>
      <c r="R31" s="4">
        <v>0</v>
      </c>
      <c r="S31" s="4">
        <v>0</v>
      </c>
      <c r="T31" s="4">
        <v>26</v>
      </c>
      <c r="U31" s="4">
        <v>97.000609999999995</v>
      </c>
      <c r="V31" s="4">
        <v>320</v>
      </c>
      <c r="W31" s="4">
        <v>0</v>
      </c>
      <c r="X31" s="4">
        <v>2</v>
      </c>
      <c r="Y31" s="4">
        <v>6</v>
      </c>
      <c r="Z31" s="4">
        <v>156</v>
      </c>
      <c r="AA31" s="5">
        <v>58</v>
      </c>
    </row>
    <row r="32" spans="1:27" x14ac:dyDescent="0.25">
      <c r="A32" t="s">
        <v>39</v>
      </c>
      <c r="B32">
        <v>3</v>
      </c>
      <c r="C32">
        <v>1</v>
      </c>
      <c r="D32">
        <v>0</v>
      </c>
      <c r="E32">
        <v>29</v>
      </c>
      <c r="F32">
        <v>26</v>
      </c>
      <c r="G32">
        <v>108.4104</v>
      </c>
      <c r="H32">
        <v>640</v>
      </c>
      <c r="I32">
        <v>4</v>
      </c>
      <c r="J32">
        <v>4</v>
      </c>
      <c r="K32">
        <v>9</v>
      </c>
      <c r="L32">
        <v>102</v>
      </c>
      <c r="M32">
        <v>0</v>
      </c>
      <c r="O32" s="6" t="s">
        <v>39</v>
      </c>
      <c r="P32" s="7">
        <v>0</v>
      </c>
      <c r="Q32" s="7">
        <v>1</v>
      </c>
      <c r="R32" s="7">
        <v>0</v>
      </c>
      <c r="S32" s="7">
        <v>12</v>
      </c>
      <c r="T32" s="7">
        <v>216</v>
      </c>
      <c r="U32" s="7">
        <v>68.329830000000001</v>
      </c>
      <c r="V32" s="7">
        <v>200</v>
      </c>
      <c r="W32" s="7">
        <v>1</v>
      </c>
      <c r="X32" s="7">
        <v>1</v>
      </c>
      <c r="Y32" s="7">
        <v>5</v>
      </c>
      <c r="Z32" s="7">
        <v>63</v>
      </c>
      <c r="AA32" s="8">
        <v>0</v>
      </c>
    </row>
    <row r="33" spans="1:27" x14ac:dyDescent="0.25">
      <c r="A33" t="s">
        <v>39</v>
      </c>
      <c r="B33">
        <v>2</v>
      </c>
      <c r="C33">
        <v>1</v>
      </c>
      <c r="D33">
        <v>0</v>
      </c>
      <c r="E33">
        <v>17</v>
      </c>
      <c r="F33">
        <v>10</v>
      </c>
      <c r="G33">
        <v>123.70350000000001</v>
      </c>
      <c r="H33">
        <v>400</v>
      </c>
      <c r="I33">
        <v>3</v>
      </c>
      <c r="J33">
        <v>3</v>
      </c>
      <c r="K33">
        <v>4</v>
      </c>
      <c r="L33">
        <v>153</v>
      </c>
      <c r="M33">
        <v>0</v>
      </c>
      <c r="O33" s="3" t="s">
        <v>39</v>
      </c>
      <c r="P33" s="4">
        <v>0</v>
      </c>
      <c r="Q33" s="4">
        <v>1</v>
      </c>
      <c r="R33" s="4">
        <v>0</v>
      </c>
      <c r="S33" s="4">
        <v>14</v>
      </c>
      <c r="T33" s="4">
        <v>0</v>
      </c>
      <c r="U33" s="4">
        <v>68.308229999999995</v>
      </c>
      <c r="V33" s="4">
        <v>200</v>
      </c>
      <c r="W33" s="4">
        <v>1</v>
      </c>
      <c r="X33" s="4">
        <v>1</v>
      </c>
      <c r="Y33" s="4">
        <v>3</v>
      </c>
      <c r="Z33" s="4">
        <v>64</v>
      </c>
      <c r="AA33" s="5">
        <v>0</v>
      </c>
    </row>
    <row r="34" spans="1:27" x14ac:dyDescent="0.25">
      <c r="A34" t="s">
        <v>39</v>
      </c>
      <c r="B34">
        <v>4</v>
      </c>
      <c r="C34">
        <v>1</v>
      </c>
      <c r="D34">
        <v>0</v>
      </c>
      <c r="E34">
        <v>0</v>
      </c>
      <c r="F34">
        <v>0</v>
      </c>
      <c r="G34">
        <v>163.14830000000001</v>
      </c>
      <c r="H34">
        <v>840</v>
      </c>
      <c r="I34">
        <v>0</v>
      </c>
      <c r="J34">
        <v>5</v>
      </c>
      <c r="K34">
        <v>11</v>
      </c>
      <c r="L34">
        <v>213</v>
      </c>
      <c r="M34">
        <v>50</v>
      </c>
      <c r="O34" s="6" t="s">
        <v>39</v>
      </c>
      <c r="P34" s="7">
        <v>3</v>
      </c>
      <c r="Q34" s="7">
        <v>1</v>
      </c>
      <c r="R34" s="7">
        <v>0</v>
      </c>
      <c r="S34" s="7">
        <v>29</v>
      </c>
      <c r="T34" s="7">
        <v>26</v>
      </c>
      <c r="U34" s="7">
        <v>108.4104</v>
      </c>
      <c r="V34" s="7">
        <v>640</v>
      </c>
      <c r="W34" s="7">
        <v>4</v>
      </c>
      <c r="X34" s="7">
        <v>4</v>
      </c>
      <c r="Y34" s="7">
        <v>9</v>
      </c>
      <c r="Z34" s="7">
        <v>102</v>
      </c>
      <c r="AA34" s="8">
        <v>0</v>
      </c>
    </row>
    <row r="35" spans="1:27" x14ac:dyDescent="0.25">
      <c r="A35" t="s">
        <v>39</v>
      </c>
      <c r="B35">
        <v>2</v>
      </c>
      <c r="C35">
        <v>1</v>
      </c>
      <c r="D35">
        <v>0</v>
      </c>
      <c r="E35">
        <v>0</v>
      </c>
      <c r="F35">
        <v>0</v>
      </c>
      <c r="G35">
        <v>116.7777</v>
      </c>
      <c r="H35">
        <v>440</v>
      </c>
      <c r="I35">
        <v>2</v>
      </c>
      <c r="J35">
        <v>3</v>
      </c>
      <c r="K35">
        <v>8</v>
      </c>
      <c r="L35">
        <v>146</v>
      </c>
      <c r="M35">
        <v>17</v>
      </c>
      <c r="O35" s="3" t="s">
        <v>39</v>
      </c>
      <c r="P35" s="4">
        <v>2</v>
      </c>
      <c r="Q35" s="4">
        <v>1</v>
      </c>
      <c r="R35" s="4">
        <v>0</v>
      </c>
      <c r="S35" s="4">
        <v>17</v>
      </c>
      <c r="T35" s="4">
        <v>10</v>
      </c>
      <c r="U35" s="4">
        <v>123.70350000000001</v>
      </c>
      <c r="V35" s="4">
        <v>400</v>
      </c>
      <c r="W35" s="4">
        <v>3</v>
      </c>
      <c r="X35" s="4">
        <v>3</v>
      </c>
      <c r="Y35" s="4">
        <v>4</v>
      </c>
      <c r="Z35" s="4">
        <v>153</v>
      </c>
      <c r="AA35" s="5">
        <v>0</v>
      </c>
    </row>
    <row r="36" spans="1:27" x14ac:dyDescent="0.25">
      <c r="A36" t="s">
        <v>39</v>
      </c>
      <c r="B36">
        <v>1</v>
      </c>
      <c r="C36">
        <v>1</v>
      </c>
      <c r="D36">
        <v>0</v>
      </c>
      <c r="E36">
        <v>0</v>
      </c>
      <c r="F36">
        <v>0</v>
      </c>
      <c r="G36">
        <v>61.394530000000003</v>
      </c>
      <c r="H36">
        <v>240</v>
      </c>
      <c r="I36">
        <v>2</v>
      </c>
      <c r="J36">
        <v>2</v>
      </c>
      <c r="K36">
        <v>3</v>
      </c>
      <c r="L36">
        <v>53</v>
      </c>
      <c r="M36">
        <v>0</v>
      </c>
      <c r="O36" s="6" t="s">
        <v>39</v>
      </c>
      <c r="P36" s="7">
        <v>4</v>
      </c>
      <c r="Q36" s="7">
        <v>1</v>
      </c>
      <c r="R36" s="7">
        <v>0</v>
      </c>
      <c r="S36" s="7">
        <v>0</v>
      </c>
      <c r="T36" s="7">
        <v>0</v>
      </c>
      <c r="U36" s="7">
        <v>163.14830000000001</v>
      </c>
      <c r="V36" s="7">
        <v>840</v>
      </c>
      <c r="W36" s="7">
        <v>0</v>
      </c>
      <c r="X36" s="7">
        <v>5</v>
      </c>
      <c r="Y36" s="7">
        <v>11</v>
      </c>
      <c r="Z36" s="7">
        <v>213</v>
      </c>
      <c r="AA36" s="8">
        <v>50</v>
      </c>
    </row>
    <row r="37" spans="1:27" x14ac:dyDescent="0.25">
      <c r="A37" t="s">
        <v>39</v>
      </c>
      <c r="B37">
        <v>0</v>
      </c>
      <c r="C37">
        <v>1</v>
      </c>
      <c r="D37">
        <v>0</v>
      </c>
      <c r="E37">
        <v>0</v>
      </c>
      <c r="F37">
        <v>0</v>
      </c>
      <c r="G37">
        <v>150.32140000000001</v>
      </c>
      <c r="H37">
        <v>0</v>
      </c>
      <c r="I37">
        <v>1</v>
      </c>
      <c r="J37">
        <v>2</v>
      </c>
      <c r="K37">
        <v>0</v>
      </c>
      <c r="L37">
        <v>41</v>
      </c>
      <c r="M37">
        <v>0</v>
      </c>
      <c r="O37" s="3" t="s">
        <v>39</v>
      </c>
      <c r="P37" s="4">
        <v>2</v>
      </c>
      <c r="Q37" s="4">
        <v>1</v>
      </c>
      <c r="R37" s="4">
        <v>0</v>
      </c>
      <c r="S37" s="4">
        <v>0</v>
      </c>
      <c r="T37" s="4">
        <v>0</v>
      </c>
      <c r="U37" s="4">
        <v>116.7777</v>
      </c>
      <c r="V37" s="4">
        <v>440</v>
      </c>
      <c r="W37" s="4">
        <v>2</v>
      </c>
      <c r="X37" s="4">
        <v>3</v>
      </c>
      <c r="Y37" s="4">
        <v>8</v>
      </c>
      <c r="Z37" s="4">
        <v>146</v>
      </c>
      <c r="AA37" s="5">
        <v>17</v>
      </c>
    </row>
    <row r="38" spans="1:27" x14ac:dyDescent="0.25">
      <c r="A38" t="s">
        <v>39</v>
      </c>
      <c r="B38">
        <v>0</v>
      </c>
      <c r="C38">
        <v>2</v>
      </c>
      <c r="D38">
        <v>0</v>
      </c>
      <c r="E38">
        <v>0</v>
      </c>
      <c r="F38">
        <v>0</v>
      </c>
      <c r="G38">
        <v>42.515500000000003</v>
      </c>
      <c r="H38">
        <v>120</v>
      </c>
      <c r="I38">
        <v>1</v>
      </c>
      <c r="J38">
        <v>1</v>
      </c>
      <c r="K38">
        <v>2</v>
      </c>
      <c r="L38">
        <v>45</v>
      </c>
      <c r="M38">
        <v>0</v>
      </c>
      <c r="O38" s="6" t="s">
        <v>39</v>
      </c>
      <c r="P38" s="7">
        <v>1</v>
      </c>
      <c r="Q38" s="7">
        <v>1</v>
      </c>
      <c r="R38" s="7">
        <v>0</v>
      </c>
      <c r="S38" s="7">
        <v>0</v>
      </c>
      <c r="T38" s="7">
        <v>0</v>
      </c>
      <c r="U38" s="7">
        <v>61.394530000000003</v>
      </c>
      <c r="V38" s="7">
        <v>240</v>
      </c>
      <c r="W38" s="7">
        <v>2</v>
      </c>
      <c r="X38" s="7">
        <v>2</v>
      </c>
      <c r="Y38" s="7">
        <v>3</v>
      </c>
      <c r="Z38" s="7">
        <v>53</v>
      </c>
      <c r="AA38" s="8">
        <v>0</v>
      </c>
    </row>
    <row r="39" spans="1:27" x14ac:dyDescent="0.25">
      <c r="A39" t="s">
        <v>39</v>
      </c>
      <c r="B39">
        <v>0</v>
      </c>
      <c r="C39">
        <v>1</v>
      </c>
      <c r="D39">
        <v>0</v>
      </c>
      <c r="E39">
        <v>0</v>
      </c>
      <c r="F39">
        <v>0</v>
      </c>
      <c r="G39">
        <v>53.58325</v>
      </c>
      <c r="H39">
        <v>120</v>
      </c>
      <c r="I39">
        <v>1</v>
      </c>
      <c r="J39">
        <v>1</v>
      </c>
      <c r="K39">
        <v>3</v>
      </c>
      <c r="L39">
        <v>68</v>
      </c>
      <c r="M39">
        <v>0</v>
      </c>
      <c r="O39" s="3" t="s">
        <v>39</v>
      </c>
      <c r="P39" s="4">
        <v>0</v>
      </c>
      <c r="Q39" s="4">
        <v>1</v>
      </c>
      <c r="R39" s="4">
        <v>0</v>
      </c>
      <c r="S39" s="4">
        <v>0</v>
      </c>
      <c r="T39" s="4">
        <v>0</v>
      </c>
      <c r="U39" s="4">
        <v>150.32140000000001</v>
      </c>
      <c r="V39" s="4">
        <v>0</v>
      </c>
      <c r="W39" s="4">
        <v>1</v>
      </c>
      <c r="X39" s="4">
        <v>2</v>
      </c>
      <c r="Y39" s="4">
        <v>0</v>
      </c>
      <c r="Z39" s="4">
        <v>41</v>
      </c>
      <c r="AA39" s="5">
        <v>0</v>
      </c>
    </row>
    <row r="40" spans="1:27" x14ac:dyDescent="0.25">
      <c r="A40" t="s">
        <v>39</v>
      </c>
      <c r="B40">
        <v>1</v>
      </c>
      <c r="C40">
        <v>1</v>
      </c>
      <c r="D40">
        <v>0</v>
      </c>
      <c r="E40">
        <v>0</v>
      </c>
      <c r="F40">
        <v>0</v>
      </c>
      <c r="G40">
        <v>45.767090000000003</v>
      </c>
      <c r="H40">
        <v>200</v>
      </c>
      <c r="I40">
        <v>2</v>
      </c>
      <c r="J40">
        <v>2</v>
      </c>
      <c r="K40">
        <v>4</v>
      </c>
      <c r="L40">
        <v>50</v>
      </c>
      <c r="M40">
        <v>0</v>
      </c>
      <c r="O40" s="6" t="s">
        <v>39</v>
      </c>
      <c r="P40" s="7">
        <v>0</v>
      </c>
      <c r="Q40" s="7">
        <v>2</v>
      </c>
      <c r="R40" s="7">
        <v>0</v>
      </c>
      <c r="S40" s="7">
        <v>0</v>
      </c>
      <c r="T40" s="7">
        <v>0</v>
      </c>
      <c r="U40" s="7">
        <v>42.515500000000003</v>
      </c>
      <c r="V40" s="7">
        <v>120</v>
      </c>
      <c r="W40" s="7">
        <v>1</v>
      </c>
      <c r="X40" s="7">
        <v>1</v>
      </c>
      <c r="Y40" s="7">
        <v>2</v>
      </c>
      <c r="Z40" s="7">
        <v>45</v>
      </c>
      <c r="AA40" s="8">
        <v>0</v>
      </c>
    </row>
    <row r="41" spans="1:27" x14ac:dyDescent="0.25">
      <c r="A41" t="s">
        <v>39</v>
      </c>
      <c r="B41">
        <v>0</v>
      </c>
      <c r="C41">
        <v>1</v>
      </c>
      <c r="D41">
        <v>0</v>
      </c>
      <c r="E41">
        <v>0</v>
      </c>
      <c r="F41">
        <v>0</v>
      </c>
      <c r="G41">
        <v>43.411619999999999</v>
      </c>
      <c r="H41">
        <v>40</v>
      </c>
      <c r="I41">
        <v>1</v>
      </c>
      <c r="J41">
        <v>1</v>
      </c>
      <c r="K41">
        <v>2</v>
      </c>
      <c r="L41">
        <v>55</v>
      </c>
      <c r="M41">
        <v>0</v>
      </c>
      <c r="O41" s="3" t="s">
        <v>39</v>
      </c>
      <c r="P41" s="4">
        <v>0</v>
      </c>
      <c r="Q41" s="4">
        <v>1</v>
      </c>
      <c r="R41" s="4">
        <v>0</v>
      </c>
      <c r="S41" s="4">
        <v>0</v>
      </c>
      <c r="T41" s="4">
        <v>0</v>
      </c>
      <c r="U41" s="4">
        <v>53.58325</v>
      </c>
      <c r="V41" s="4">
        <v>120</v>
      </c>
      <c r="W41" s="4">
        <v>1</v>
      </c>
      <c r="X41" s="4">
        <v>1</v>
      </c>
      <c r="Y41" s="4">
        <v>3</v>
      </c>
      <c r="Z41" s="4">
        <v>68</v>
      </c>
      <c r="AA41" s="5">
        <v>0</v>
      </c>
    </row>
    <row r="42" spans="1:27" x14ac:dyDescent="0.25">
      <c r="A42" t="s">
        <v>39</v>
      </c>
      <c r="B42">
        <v>1</v>
      </c>
      <c r="C42">
        <v>1</v>
      </c>
      <c r="D42">
        <v>0</v>
      </c>
      <c r="E42">
        <v>0</v>
      </c>
      <c r="F42">
        <v>0</v>
      </c>
      <c r="G42">
        <v>63.623779999999996</v>
      </c>
      <c r="H42">
        <v>400</v>
      </c>
      <c r="I42">
        <v>2</v>
      </c>
      <c r="J42">
        <v>2</v>
      </c>
      <c r="K42">
        <v>6</v>
      </c>
      <c r="L42">
        <v>53</v>
      </c>
      <c r="M42">
        <v>0</v>
      </c>
      <c r="O42" s="6" t="s">
        <v>39</v>
      </c>
      <c r="P42" s="7">
        <v>1</v>
      </c>
      <c r="Q42" s="7">
        <v>1</v>
      </c>
      <c r="R42" s="7">
        <v>0</v>
      </c>
      <c r="S42" s="7">
        <v>0</v>
      </c>
      <c r="T42" s="7">
        <v>0</v>
      </c>
      <c r="U42" s="7">
        <v>45.767090000000003</v>
      </c>
      <c r="V42" s="7">
        <v>200</v>
      </c>
      <c r="W42" s="7">
        <v>2</v>
      </c>
      <c r="X42" s="7">
        <v>2</v>
      </c>
      <c r="Y42" s="7">
        <v>4</v>
      </c>
      <c r="Z42" s="7">
        <v>50</v>
      </c>
      <c r="AA42" s="8">
        <v>0</v>
      </c>
    </row>
    <row r="43" spans="1:27" x14ac:dyDescent="0.25">
      <c r="A43" t="s">
        <v>39</v>
      </c>
      <c r="B43">
        <v>0</v>
      </c>
      <c r="C43">
        <v>1</v>
      </c>
      <c r="D43">
        <v>0</v>
      </c>
      <c r="E43">
        <v>0</v>
      </c>
      <c r="F43">
        <v>0</v>
      </c>
      <c r="G43">
        <v>45.416499999999999</v>
      </c>
      <c r="H43">
        <v>40</v>
      </c>
      <c r="I43">
        <v>1</v>
      </c>
      <c r="J43">
        <v>1</v>
      </c>
      <c r="K43">
        <v>1</v>
      </c>
      <c r="L43">
        <v>45</v>
      </c>
      <c r="M43">
        <v>0</v>
      </c>
      <c r="O43" s="3" t="s">
        <v>39</v>
      </c>
      <c r="P43" s="4">
        <v>0</v>
      </c>
      <c r="Q43" s="4">
        <v>1</v>
      </c>
      <c r="R43" s="4">
        <v>0</v>
      </c>
      <c r="S43" s="4">
        <v>0</v>
      </c>
      <c r="T43" s="4">
        <v>0</v>
      </c>
      <c r="U43" s="4">
        <v>43.411619999999999</v>
      </c>
      <c r="V43" s="4">
        <v>40</v>
      </c>
      <c r="W43" s="4">
        <v>1</v>
      </c>
      <c r="X43" s="4">
        <v>1</v>
      </c>
      <c r="Y43" s="4">
        <v>2</v>
      </c>
      <c r="Z43" s="4">
        <v>55</v>
      </c>
      <c r="AA43" s="5">
        <v>0</v>
      </c>
    </row>
    <row r="44" spans="1:27" x14ac:dyDescent="0.25">
      <c r="A44" t="s">
        <v>39</v>
      </c>
      <c r="B44">
        <v>1</v>
      </c>
      <c r="C44">
        <v>1</v>
      </c>
      <c r="D44">
        <v>0</v>
      </c>
      <c r="E44">
        <v>0</v>
      </c>
      <c r="F44">
        <v>0</v>
      </c>
      <c r="G44">
        <v>76.104249999999993</v>
      </c>
      <c r="H44">
        <v>360</v>
      </c>
      <c r="I44">
        <v>2</v>
      </c>
      <c r="J44">
        <v>2</v>
      </c>
      <c r="K44">
        <v>8</v>
      </c>
      <c r="L44">
        <v>76</v>
      </c>
      <c r="M44">
        <v>0</v>
      </c>
      <c r="O44" s="6" t="s">
        <v>39</v>
      </c>
      <c r="P44" s="7">
        <v>1</v>
      </c>
      <c r="Q44" s="7">
        <v>1</v>
      </c>
      <c r="R44" s="7">
        <v>0</v>
      </c>
      <c r="S44" s="7">
        <v>0</v>
      </c>
      <c r="T44" s="7">
        <v>0</v>
      </c>
      <c r="U44" s="7">
        <v>63.623779999999996</v>
      </c>
      <c r="V44" s="7">
        <v>400</v>
      </c>
      <c r="W44" s="7">
        <v>2</v>
      </c>
      <c r="X44" s="7">
        <v>2</v>
      </c>
      <c r="Y44" s="7">
        <v>6</v>
      </c>
      <c r="Z44" s="7">
        <v>53</v>
      </c>
      <c r="AA44" s="8">
        <v>0</v>
      </c>
    </row>
    <row r="45" spans="1:27" x14ac:dyDescent="0.25">
      <c r="A45" t="s">
        <v>39</v>
      </c>
      <c r="B45">
        <v>0</v>
      </c>
      <c r="C45">
        <v>1</v>
      </c>
      <c r="D45">
        <v>0</v>
      </c>
      <c r="E45">
        <v>0</v>
      </c>
      <c r="F45">
        <v>0</v>
      </c>
      <c r="G45">
        <v>55.7395</v>
      </c>
      <c r="H45">
        <v>120</v>
      </c>
      <c r="I45">
        <v>1</v>
      </c>
      <c r="J45">
        <v>1</v>
      </c>
      <c r="K45">
        <v>2</v>
      </c>
      <c r="L45">
        <v>41</v>
      </c>
      <c r="M45">
        <v>0</v>
      </c>
      <c r="O45" s="3" t="s">
        <v>39</v>
      </c>
      <c r="P45" s="4">
        <v>0</v>
      </c>
      <c r="Q45" s="4">
        <v>1</v>
      </c>
      <c r="R45" s="4">
        <v>0</v>
      </c>
      <c r="S45" s="4">
        <v>0</v>
      </c>
      <c r="T45" s="4">
        <v>0</v>
      </c>
      <c r="U45" s="4">
        <v>45.416499999999999</v>
      </c>
      <c r="V45" s="4">
        <v>40</v>
      </c>
      <c r="W45" s="4">
        <v>1</v>
      </c>
      <c r="X45" s="4">
        <v>1</v>
      </c>
      <c r="Y45" s="4">
        <v>1</v>
      </c>
      <c r="Z45" s="4">
        <v>45</v>
      </c>
      <c r="AA45" s="5">
        <v>0</v>
      </c>
    </row>
    <row r="46" spans="1:27" x14ac:dyDescent="0.25">
      <c r="A46" t="s">
        <v>39</v>
      </c>
      <c r="B46">
        <v>0</v>
      </c>
      <c r="C46">
        <v>1</v>
      </c>
      <c r="D46">
        <v>0</v>
      </c>
      <c r="E46">
        <v>0</v>
      </c>
      <c r="F46">
        <v>0</v>
      </c>
      <c r="G46">
        <v>40.280029999999996</v>
      </c>
      <c r="H46">
        <v>160</v>
      </c>
      <c r="I46">
        <v>1</v>
      </c>
      <c r="J46">
        <v>1</v>
      </c>
      <c r="K46">
        <v>2</v>
      </c>
      <c r="L46">
        <v>42</v>
      </c>
      <c r="M46">
        <v>0</v>
      </c>
      <c r="O46" s="6" t="s">
        <v>39</v>
      </c>
      <c r="P46" s="7">
        <v>1</v>
      </c>
      <c r="Q46" s="7">
        <v>1</v>
      </c>
      <c r="R46" s="7">
        <v>0</v>
      </c>
      <c r="S46" s="7">
        <v>0</v>
      </c>
      <c r="T46" s="7">
        <v>0</v>
      </c>
      <c r="U46" s="7">
        <v>76.104249999999993</v>
      </c>
      <c r="V46" s="7">
        <v>360</v>
      </c>
      <c r="W46" s="7">
        <v>2</v>
      </c>
      <c r="X46" s="7">
        <v>2</v>
      </c>
      <c r="Y46" s="7">
        <v>8</v>
      </c>
      <c r="Z46" s="7">
        <v>76</v>
      </c>
      <c r="AA46" s="8">
        <v>0</v>
      </c>
    </row>
    <row r="47" spans="1:27" x14ac:dyDescent="0.25">
      <c r="A47" t="s">
        <v>39</v>
      </c>
      <c r="B47">
        <v>0</v>
      </c>
      <c r="C47">
        <v>1</v>
      </c>
      <c r="D47">
        <v>0</v>
      </c>
      <c r="E47">
        <v>0</v>
      </c>
      <c r="F47">
        <v>0</v>
      </c>
      <c r="G47">
        <v>34.877929999999999</v>
      </c>
      <c r="H47">
        <v>80</v>
      </c>
      <c r="I47">
        <v>1</v>
      </c>
      <c r="J47">
        <v>1</v>
      </c>
      <c r="K47">
        <v>2</v>
      </c>
      <c r="L47">
        <v>46</v>
      </c>
      <c r="M47">
        <v>0</v>
      </c>
      <c r="O47" s="3" t="s">
        <v>39</v>
      </c>
      <c r="P47" s="4">
        <v>0</v>
      </c>
      <c r="Q47" s="4">
        <v>1</v>
      </c>
      <c r="R47" s="4">
        <v>0</v>
      </c>
      <c r="S47" s="4">
        <v>0</v>
      </c>
      <c r="T47" s="4">
        <v>0</v>
      </c>
      <c r="U47" s="4">
        <v>55.7395</v>
      </c>
      <c r="V47" s="4">
        <v>120</v>
      </c>
      <c r="W47" s="4">
        <v>1</v>
      </c>
      <c r="X47" s="4">
        <v>1</v>
      </c>
      <c r="Y47" s="4">
        <v>2</v>
      </c>
      <c r="Z47" s="4">
        <v>41</v>
      </c>
      <c r="AA47" s="5">
        <v>0</v>
      </c>
    </row>
    <row r="48" spans="1:27" x14ac:dyDescent="0.25">
      <c r="A48" t="s">
        <v>39</v>
      </c>
      <c r="B48">
        <v>0</v>
      </c>
      <c r="C48">
        <v>1</v>
      </c>
      <c r="D48">
        <v>0</v>
      </c>
      <c r="E48">
        <v>0</v>
      </c>
      <c r="F48">
        <v>0</v>
      </c>
      <c r="G48">
        <v>64.110349999999997</v>
      </c>
      <c r="H48">
        <v>178</v>
      </c>
      <c r="I48">
        <v>1</v>
      </c>
      <c r="J48">
        <v>1</v>
      </c>
      <c r="K48">
        <v>4</v>
      </c>
      <c r="L48">
        <v>36</v>
      </c>
      <c r="M48">
        <v>0</v>
      </c>
      <c r="O48" s="6" t="s">
        <v>39</v>
      </c>
      <c r="P48" s="7">
        <v>0</v>
      </c>
      <c r="Q48" s="7">
        <v>1</v>
      </c>
      <c r="R48" s="7">
        <v>0</v>
      </c>
      <c r="S48" s="7">
        <v>0</v>
      </c>
      <c r="T48" s="7">
        <v>0</v>
      </c>
      <c r="U48" s="7">
        <v>40.280029999999996</v>
      </c>
      <c r="V48" s="7">
        <v>160</v>
      </c>
      <c r="W48" s="7">
        <v>1</v>
      </c>
      <c r="X48" s="7">
        <v>1</v>
      </c>
      <c r="Y48" s="7">
        <v>2</v>
      </c>
      <c r="Z48" s="7">
        <v>42</v>
      </c>
      <c r="AA48" s="8">
        <v>0</v>
      </c>
    </row>
    <row r="49" spans="1:27" x14ac:dyDescent="0.25">
      <c r="A49" t="s">
        <v>39</v>
      </c>
      <c r="B49">
        <v>3</v>
      </c>
      <c r="C49">
        <v>2</v>
      </c>
      <c r="D49">
        <v>0</v>
      </c>
      <c r="E49">
        <v>0</v>
      </c>
      <c r="F49">
        <v>0</v>
      </c>
      <c r="G49">
        <v>206.18950000000001</v>
      </c>
      <c r="H49">
        <v>800</v>
      </c>
      <c r="I49">
        <v>4</v>
      </c>
      <c r="J49">
        <v>5</v>
      </c>
      <c r="K49">
        <v>10</v>
      </c>
      <c r="L49">
        <v>147</v>
      </c>
      <c r="M49">
        <v>0</v>
      </c>
      <c r="O49" s="3" t="s">
        <v>39</v>
      </c>
      <c r="P49" s="4">
        <v>0</v>
      </c>
      <c r="Q49" s="4">
        <v>1</v>
      </c>
      <c r="R49" s="4">
        <v>0</v>
      </c>
      <c r="S49" s="4">
        <v>0</v>
      </c>
      <c r="T49" s="4">
        <v>0</v>
      </c>
      <c r="U49" s="4">
        <v>34.877929999999999</v>
      </c>
      <c r="V49" s="4">
        <v>80</v>
      </c>
      <c r="W49" s="4">
        <v>1</v>
      </c>
      <c r="X49" s="4">
        <v>1</v>
      </c>
      <c r="Y49" s="4">
        <v>2</v>
      </c>
      <c r="Z49" s="4">
        <v>46</v>
      </c>
      <c r="AA49" s="5">
        <v>0</v>
      </c>
    </row>
    <row r="50" spans="1:27" x14ac:dyDescent="0.25">
      <c r="A50" t="s">
        <v>40</v>
      </c>
      <c r="B50">
        <v>6</v>
      </c>
      <c r="C50">
        <v>1</v>
      </c>
      <c r="D50">
        <v>0</v>
      </c>
      <c r="E50">
        <v>1</v>
      </c>
      <c r="F50">
        <v>5</v>
      </c>
      <c r="G50">
        <v>241.1491</v>
      </c>
      <c r="H50">
        <v>1080</v>
      </c>
      <c r="I50">
        <v>2</v>
      </c>
      <c r="J50">
        <v>6</v>
      </c>
      <c r="K50">
        <v>20</v>
      </c>
      <c r="L50">
        <v>245</v>
      </c>
      <c r="M50">
        <v>14</v>
      </c>
      <c r="O50" s="6" t="s">
        <v>39</v>
      </c>
      <c r="P50" s="7">
        <v>0</v>
      </c>
      <c r="Q50" s="7">
        <v>1</v>
      </c>
      <c r="R50" s="7">
        <v>0</v>
      </c>
      <c r="S50" s="7">
        <v>0</v>
      </c>
      <c r="T50" s="7">
        <v>0</v>
      </c>
      <c r="U50" s="7">
        <v>64.110349999999997</v>
      </c>
      <c r="V50" s="7">
        <v>178</v>
      </c>
      <c r="W50" s="7">
        <v>1</v>
      </c>
      <c r="X50" s="7">
        <v>1</v>
      </c>
      <c r="Y50" s="7">
        <v>4</v>
      </c>
      <c r="Z50" s="7">
        <v>36</v>
      </c>
      <c r="AA50" s="8">
        <v>0</v>
      </c>
    </row>
    <row r="51" spans="1:27" x14ac:dyDescent="0.25">
      <c r="A51" t="s">
        <v>40</v>
      </c>
      <c r="B51">
        <v>1</v>
      </c>
      <c r="C51">
        <v>1</v>
      </c>
      <c r="D51">
        <v>1</v>
      </c>
      <c r="E51">
        <v>0</v>
      </c>
      <c r="F51">
        <v>0</v>
      </c>
      <c r="G51">
        <v>33.208620000000003</v>
      </c>
      <c r="H51">
        <v>120</v>
      </c>
      <c r="I51">
        <v>1</v>
      </c>
      <c r="J51">
        <v>1</v>
      </c>
      <c r="K51">
        <v>3</v>
      </c>
      <c r="L51">
        <v>40</v>
      </c>
      <c r="M51">
        <v>0</v>
      </c>
      <c r="O51" s="3" t="s">
        <v>39</v>
      </c>
      <c r="P51" s="4">
        <v>3</v>
      </c>
      <c r="Q51" s="4">
        <v>2</v>
      </c>
      <c r="R51" s="4">
        <v>0</v>
      </c>
      <c r="S51" s="4">
        <v>0</v>
      </c>
      <c r="T51" s="4">
        <v>0</v>
      </c>
      <c r="U51" s="4">
        <v>206.18950000000001</v>
      </c>
      <c r="V51" s="4">
        <v>800</v>
      </c>
      <c r="W51" s="4">
        <v>4</v>
      </c>
      <c r="X51" s="4">
        <v>5</v>
      </c>
      <c r="Y51" s="4">
        <v>10</v>
      </c>
      <c r="Z51" s="4">
        <v>147</v>
      </c>
      <c r="AA51" s="5">
        <v>0</v>
      </c>
    </row>
    <row r="52" spans="1:27" x14ac:dyDescent="0.25">
      <c r="A52" t="s">
        <v>40</v>
      </c>
      <c r="B52">
        <v>0</v>
      </c>
      <c r="C52">
        <v>1</v>
      </c>
      <c r="D52">
        <v>0</v>
      </c>
      <c r="E52">
        <v>0</v>
      </c>
      <c r="F52">
        <v>0</v>
      </c>
      <c r="G52">
        <v>39.480289999999997</v>
      </c>
      <c r="H52">
        <v>40</v>
      </c>
      <c r="I52">
        <v>1</v>
      </c>
      <c r="J52">
        <v>1</v>
      </c>
      <c r="K52">
        <v>1</v>
      </c>
      <c r="L52">
        <v>62</v>
      </c>
      <c r="M52">
        <v>0</v>
      </c>
      <c r="O52" s="10" t="s">
        <v>12</v>
      </c>
      <c r="P52" s="9">
        <f t="shared" ref="P52:AA52" si="1">AVERAGE(P28:P51)</f>
        <v>1.3333333333333333</v>
      </c>
      <c r="Q52" s="9">
        <f t="shared" si="1"/>
        <v>1.125</v>
      </c>
      <c r="R52" s="9">
        <f t="shared" si="1"/>
        <v>0</v>
      </c>
      <c r="S52" s="9">
        <f t="shared" si="1"/>
        <v>5</v>
      </c>
      <c r="T52" s="9">
        <f t="shared" si="1"/>
        <v>20.791666666666668</v>
      </c>
      <c r="U52" s="9">
        <f t="shared" si="1"/>
        <v>88.421627916666679</v>
      </c>
      <c r="V52" s="9">
        <f t="shared" si="1"/>
        <v>322.41666666666669</v>
      </c>
      <c r="W52" s="9">
        <f t="shared" si="1"/>
        <v>1.4166666666666667</v>
      </c>
      <c r="X52" s="9">
        <f t="shared" si="1"/>
        <v>2.2916666666666665</v>
      </c>
      <c r="Y52" s="9">
        <f t="shared" si="1"/>
        <v>4.416666666666667</v>
      </c>
      <c r="Z52" s="9">
        <f t="shared" si="1"/>
        <v>87.583333333333329</v>
      </c>
      <c r="AA52" s="9">
        <f t="shared" si="1"/>
        <v>11.333333333333334</v>
      </c>
    </row>
    <row r="53" spans="1:27" x14ac:dyDescent="0.25">
      <c r="A53" t="s">
        <v>40</v>
      </c>
      <c r="B53">
        <v>0</v>
      </c>
      <c r="C53">
        <v>1</v>
      </c>
      <c r="D53">
        <v>0</v>
      </c>
      <c r="E53">
        <v>0</v>
      </c>
      <c r="F53">
        <v>0</v>
      </c>
      <c r="G53">
        <v>38.981140000000003</v>
      </c>
      <c r="H53">
        <v>160</v>
      </c>
      <c r="I53">
        <v>1</v>
      </c>
      <c r="J53">
        <v>1</v>
      </c>
      <c r="K53">
        <v>2</v>
      </c>
      <c r="L53">
        <v>55</v>
      </c>
      <c r="M53">
        <v>0</v>
      </c>
    </row>
    <row r="54" spans="1:27" x14ac:dyDescent="0.25">
      <c r="A54" t="s">
        <v>40</v>
      </c>
      <c r="B54">
        <v>0</v>
      </c>
      <c r="C54">
        <v>1</v>
      </c>
      <c r="D54">
        <v>0</v>
      </c>
      <c r="E54">
        <v>0</v>
      </c>
      <c r="F54">
        <v>0</v>
      </c>
      <c r="G54">
        <v>35.390929999999997</v>
      </c>
      <c r="H54">
        <v>80</v>
      </c>
      <c r="I54">
        <v>1</v>
      </c>
      <c r="J54">
        <v>1</v>
      </c>
      <c r="K54">
        <v>1</v>
      </c>
      <c r="L54">
        <v>39</v>
      </c>
      <c r="M54">
        <v>0</v>
      </c>
      <c r="O54" s="6" t="s">
        <v>40</v>
      </c>
      <c r="P54" s="7">
        <v>6</v>
      </c>
      <c r="Q54" s="7">
        <v>1</v>
      </c>
      <c r="R54" s="7">
        <v>0</v>
      </c>
      <c r="S54" s="7">
        <v>1</v>
      </c>
      <c r="T54" s="7">
        <v>5</v>
      </c>
      <c r="U54" s="7">
        <v>241.1491</v>
      </c>
      <c r="V54" s="7">
        <v>1080</v>
      </c>
      <c r="W54" s="7">
        <v>2</v>
      </c>
      <c r="X54" s="7">
        <v>6</v>
      </c>
      <c r="Y54" s="7">
        <v>20</v>
      </c>
      <c r="Z54" s="7">
        <v>245</v>
      </c>
      <c r="AA54" s="8">
        <v>14</v>
      </c>
    </row>
    <row r="55" spans="1:27" x14ac:dyDescent="0.25">
      <c r="A55" t="s">
        <v>40</v>
      </c>
      <c r="B55">
        <v>0</v>
      </c>
      <c r="C55">
        <v>1</v>
      </c>
      <c r="D55">
        <v>0</v>
      </c>
      <c r="E55">
        <v>0</v>
      </c>
      <c r="F55">
        <v>0</v>
      </c>
      <c r="G55">
        <v>40.907870000000003</v>
      </c>
      <c r="H55">
        <v>0</v>
      </c>
      <c r="I55">
        <v>1</v>
      </c>
      <c r="J55">
        <v>1</v>
      </c>
      <c r="K55">
        <v>0</v>
      </c>
      <c r="L55">
        <v>55</v>
      </c>
      <c r="M55">
        <v>0</v>
      </c>
      <c r="O55" s="3" t="s">
        <v>40</v>
      </c>
      <c r="P55" s="4">
        <v>1</v>
      </c>
      <c r="Q55" s="4">
        <v>1</v>
      </c>
      <c r="R55" s="4">
        <v>1</v>
      </c>
      <c r="S55" s="4">
        <v>0</v>
      </c>
      <c r="T55" s="4">
        <v>0</v>
      </c>
      <c r="U55" s="4">
        <v>33.208620000000003</v>
      </c>
      <c r="V55" s="4">
        <v>120</v>
      </c>
      <c r="W55" s="4">
        <v>1</v>
      </c>
      <c r="X55" s="4">
        <v>1</v>
      </c>
      <c r="Y55" s="4">
        <v>3</v>
      </c>
      <c r="Z55" s="4">
        <v>40</v>
      </c>
      <c r="AA55" s="5">
        <v>0</v>
      </c>
    </row>
    <row r="56" spans="1:27" x14ac:dyDescent="0.25">
      <c r="A56" t="s">
        <v>40</v>
      </c>
      <c r="B56">
        <v>2</v>
      </c>
      <c r="C56">
        <v>1</v>
      </c>
      <c r="D56">
        <v>0</v>
      </c>
      <c r="E56">
        <v>0</v>
      </c>
      <c r="F56">
        <v>0</v>
      </c>
      <c r="G56">
        <v>89.512699999999995</v>
      </c>
      <c r="H56">
        <v>400</v>
      </c>
      <c r="I56">
        <v>3</v>
      </c>
      <c r="J56">
        <v>3</v>
      </c>
      <c r="K56">
        <v>6</v>
      </c>
      <c r="L56">
        <v>131</v>
      </c>
      <c r="M56">
        <v>1</v>
      </c>
      <c r="O56" s="6" t="s">
        <v>40</v>
      </c>
      <c r="P56" s="7">
        <v>0</v>
      </c>
      <c r="Q56" s="7">
        <v>1</v>
      </c>
      <c r="R56" s="7">
        <v>0</v>
      </c>
      <c r="S56" s="7">
        <v>0</v>
      </c>
      <c r="T56" s="7">
        <v>0</v>
      </c>
      <c r="U56" s="7">
        <v>39.480289999999997</v>
      </c>
      <c r="V56" s="7">
        <v>40</v>
      </c>
      <c r="W56" s="7">
        <v>1</v>
      </c>
      <c r="X56" s="7">
        <v>1</v>
      </c>
      <c r="Y56" s="7">
        <v>1</v>
      </c>
      <c r="Z56" s="7">
        <v>62</v>
      </c>
      <c r="AA56" s="8">
        <v>0</v>
      </c>
    </row>
    <row r="57" spans="1:27" x14ac:dyDescent="0.25">
      <c r="A57" t="s">
        <v>40</v>
      </c>
      <c r="B57">
        <v>0</v>
      </c>
      <c r="C57">
        <v>1</v>
      </c>
      <c r="D57">
        <v>0</v>
      </c>
      <c r="E57">
        <v>0</v>
      </c>
      <c r="F57">
        <v>0</v>
      </c>
      <c r="G57">
        <v>71.457700000000003</v>
      </c>
      <c r="H57">
        <v>80</v>
      </c>
      <c r="I57">
        <v>1</v>
      </c>
      <c r="J57">
        <v>1</v>
      </c>
      <c r="K57">
        <v>2</v>
      </c>
      <c r="L57">
        <v>107</v>
      </c>
      <c r="M57">
        <v>0</v>
      </c>
      <c r="O57" s="3" t="s">
        <v>40</v>
      </c>
      <c r="P57" s="4">
        <v>0</v>
      </c>
      <c r="Q57" s="4">
        <v>1</v>
      </c>
      <c r="R57" s="4">
        <v>0</v>
      </c>
      <c r="S57" s="4">
        <v>0</v>
      </c>
      <c r="T57" s="4">
        <v>0</v>
      </c>
      <c r="U57" s="4">
        <v>38.981140000000003</v>
      </c>
      <c r="V57" s="4">
        <v>160</v>
      </c>
      <c r="W57" s="4">
        <v>1</v>
      </c>
      <c r="X57" s="4">
        <v>1</v>
      </c>
      <c r="Y57" s="4">
        <v>2</v>
      </c>
      <c r="Z57" s="4">
        <v>55</v>
      </c>
      <c r="AA57" s="5">
        <v>0</v>
      </c>
    </row>
    <row r="58" spans="1:27" x14ac:dyDescent="0.25">
      <c r="A58" t="s">
        <v>40</v>
      </c>
      <c r="B58">
        <v>1</v>
      </c>
      <c r="C58">
        <v>1</v>
      </c>
      <c r="D58">
        <v>0</v>
      </c>
      <c r="E58">
        <v>0</v>
      </c>
      <c r="F58">
        <v>0</v>
      </c>
      <c r="G58">
        <v>64.251339999999999</v>
      </c>
      <c r="H58">
        <v>320</v>
      </c>
      <c r="I58">
        <v>2</v>
      </c>
      <c r="J58">
        <v>2</v>
      </c>
      <c r="K58">
        <v>5</v>
      </c>
      <c r="L58">
        <v>70</v>
      </c>
      <c r="M58">
        <v>0</v>
      </c>
      <c r="O58" s="6" t="s">
        <v>40</v>
      </c>
      <c r="P58" s="7">
        <v>0</v>
      </c>
      <c r="Q58" s="7">
        <v>1</v>
      </c>
      <c r="R58" s="7">
        <v>0</v>
      </c>
      <c r="S58" s="7">
        <v>0</v>
      </c>
      <c r="T58" s="7">
        <v>0</v>
      </c>
      <c r="U58" s="7">
        <v>35.390929999999997</v>
      </c>
      <c r="V58" s="7">
        <v>80</v>
      </c>
      <c r="W58" s="7">
        <v>1</v>
      </c>
      <c r="X58" s="7">
        <v>1</v>
      </c>
      <c r="Y58" s="7">
        <v>1</v>
      </c>
      <c r="Z58" s="7">
        <v>39</v>
      </c>
      <c r="AA58" s="8">
        <v>0</v>
      </c>
    </row>
    <row r="59" spans="1:27" x14ac:dyDescent="0.25">
      <c r="A59" t="s">
        <v>40</v>
      </c>
      <c r="B59">
        <v>0</v>
      </c>
      <c r="C59">
        <v>1</v>
      </c>
      <c r="D59">
        <v>0</v>
      </c>
      <c r="E59">
        <v>0</v>
      </c>
      <c r="F59">
        <v>0</v>
      </c>
      <c r="G59">
        <v>47.073549999999997</v>
      </c>
      <c r="H59">
        <v>120</v>
      </c>
      <c r="I59">
        <v>1</v>
      </c>
      <c r="J59">
        <v>1</v>
      </c>
      <c r="K59">
        <v>2</v>
      </c>
      <c r="L59">
        <v>56</v>
      </c>
      <c r="M59">
        <v>0</v>
      </c>
      <c r="O59" s="3" t="s">
        <v>40</v>
      </c>
      <c r="P59" s="4">
        <v>0</v>
      </c>
      <c r="Q59" s="4">
        <v>1</v>
      </c>
      <c r="R59" s="4">
        <v>0</v>
      </c>
      <c r="S59" s="4">
        <v>0</v>
      </c>
      <c r="T59" s="4">
        <v>0</v>
      </c>
      <c r="U59" s="4">
        <v>40.907870000000003</v>
      </c>
      <c r="V59" s="4">
        <v>0</v>
      </c>
      <c r="W59" s="4">
        <v>1</v>
      </c>
      <c r="X59" s="4">
        <v>1</v>
      </c>
      <c r="Y59" s="4">
        <v>0</v>
      </c>
      <c r="Z59" s="4">
        <v>55</v>
      </c>
      <c r="AA59" s="5">
        <v>0</v>
      </c>
    </row>
    <row r="60" spans="1:27" x14ac:dyDescent="0.25">
      <c r="A60" t="s">
        <v>40</v>
      </c>
      <c r="B60">
        <v>0</v>
      </c>
      <c r="C60">
        <v>1</v>
      </c>
      <c r="D60">
        <v>0</v>
      </c>
      <c r="E60">
        <v>0</v>
      </c>
      <c r="F60">
        <v>0</v>
      </c>
      <c r="G60">
        <v>49.891419999999997</v>
      </c>
      <c r="H60">
        <v>120</v>
      </c>
      <c r="I60">
        <v>1</v>
      </c>
      <c r="J60">
        <v>1</v>
      </c>
      <c r="K60">
        <v>2</v>
      </c>
      <c r="L60">
        <v>79</v>
      </c>
      <c r="M60">
        <v>0</v>
      </c>
      <c r="O60" s="6" t="s">
        <v>40</v>
      </c>
      <c r="P60" s="7">
        <v>2</v>
      </c>
      <c r="Q60" s="7">
        <v>1</v>
      </c>
      <c r="R60" s="7">
        <v>0</v>
      </c>
      <c r="S60" s="7">
        <v>0</v>
      </c>
      <c r="T60" s="7">
        <v>0</v>
      </c>
      <c r="U60" s="7">
        <v>89.512699999999995</v>
      </c>
      <c r="V60" s="7">
        <v>400</v>
      </c>
      <c r="W60" s="7">
        <v>3</v>
      </c>
      <c r="X60" s="7">
        <v>3</v>
      </c>
      <c r="Y60" s="7">
        <v>6</v>
      </c>
      <c r="Z60" s="7">
        <v>131</v>
      </c>
      <c r="AA60" s="8">
        <v>1</v>
      </c>
    </row>
    <row r="61" spans="1:27" x14ac:dyDescent="0.25">
      <c r="A61" t="s">
        <v>40</v>
      </c>
      <c r="B61">
        <v>0</v>
      </c>
      <c r="C61">
        <v>1</v>
      </c>
      <c r="D61">
        <v>0</v>
      </c>
      <c r="E61">
        <v>0</v>
      </c>
      <c r="F61">
        <v>0</v>
      </c>
      <c r="G61">
        <v>58.084290000000003</v>
      </c>
      <c r="H61">
        <v>0</v>
      </c>
      <c r="I61">
        <v>1</v>
      </c>
      <c r="J61">
        <v>3</v>
      </c>
      <c r="K61">
        <v>0</v>
      </c>
      <c r="L61">
        <v>107</v>
      </c>
      <c r="M61">
        <v>0</v>
      </c>
      <c r="O61" s="3" t="s">
        <v>40</v>
      </c>
      <c r="P61" s="4">
        <v>0</v>
      </c>
      <c r="Q61" s="4">
        <v>1</v>
      </c>
      <c r="R61" s="4">
        <v>0</v>
      </c>
      <c r="S61" s="4">
        <v>0</v>
      </c>
      <c r="T61" s="4">
        <v>0</v>
      </c>
      <c r="U61" s="4">
        <v>71.457700000000003</v>
      </c>
      <c r="V61" s="4">
        <v>80</v>
      </c>
      <c r="W61" s="4">
        <v>1</v>
      </c>
      <c r="X61" s="4">
        <v>1</v>
      </c>
      <c r="Y61" s="4">
        <v>2</v>
      </c>
      <c r="Z61" s="4">
        <v>107</v>
      </c>
      <c r="AA61" s="5">
        <v>0</v>
      </c>
    </row>
    <row r="62" spans="1:27" x14ac:dyDescent="0.25">
      <c r="A62" t="s">
        <v>40</v>
      </c>
      <c r="B62">
        <v>0</v>
      </c>
      <c r="C62">
        <v>1</v>
      </c>
      <c r="D62">
        <v>0</v>
      </c>
      <c r="E62">
        <v>0</v>
      </c>
      <c r="F62">
        <v>0</v>
      </c>
      <c r="G62">
        <v>33.354190000000003</v>
      </c>
      <c r="H62">
        <v>160</v>
      </c>
      <c r="I62">
        <v>1</v>
      </c>
      <c r="J62">
        <v>1</v>
      </c>
      <c r="K62">
        <v>4</v>
      </c>
      <c r="L62">
        <v>42</v>
      </c>
      <c r="M62">
        <v>0</v>
      </c>
      <c r="O62" s="6" t="s">
        <v>40</v>
      </c>
      <c r="P62" s="7">
        <v>1</v>
      </c>
      <c r="Q62" s="7">
        <v>1</v>
      </c>
      <c r="R62" s="7">
        <v>0</v>
      </c>
      <c r="S62" s="7">
        <v>0</v>
      </c>
      <c r="T62" s="7">
        <v>0</v>
      </c>
      <c r="U62" s="7">
        <v>64.251339999999999</v>
      </c>
      <c r="V62" s="7">
        <v>320</v>
      </c>
      <c r="W62" s="7">
        <v>2</v>
      </c>
      <c r="X62" s="7">
        <v>2</v>
      </c>
      <c r="Y62" s="7">
        <v>5</v>
      </c>
      <c r="Z62" s="7">
        <v>70</v>
      </c>
      <c r="AA62" s="8">
        <v>0</v>
      </c>
    </row>
    <row r="63" spans="1:27" x14ac:dyDescent="0.25">
      <c r="A63" t="s">
        <v>40</v>
      </c>
      <c r="B63">
        <v>1</v>
      </c>
      <c r="C63">
        <v>1</v>
      </c>
      <c r="D63">
        <v>0</v>
      </c>
      <c r="E63">
        <v>0</v>
      </c>
      <c r="F63">
        <v>0</v>
      </c>
      <c r="G63">
        <v>60.050420000000003</v>
      </c>
      <c r="H63">
        <v>280</v>
      </c>
      <c r="I63">
        <v>1</v>
      </c>
      <c r="J63">
        <v>2</v>
      </c>
      <c r="K63">
        <v>4</v>
      </c>
      <c r="L63">
        <v>97</v>
      </c>
      <c r="M63">
        <v>0</v>
      </c>
      <c r="O63" s="3" t="s">
        <v>40</v>
      </c>
      <c r="P63" s="4">
        <v>0</v>
      </c>
      <c r="Q63" s="4">
        <v>1</v>
      </c>
      <c r="R63" s="4">
        <v>0</v>
      </c>
      <c r="S63" s="4">
        <v>0</v>
      </c>
      <c r="T63" s="4">
        <v>0</v>
      </c>
      <c r="U63" s="4">
        <v>47.073549999999997</v>
      </c>
      <c r="V63" s="4">
        <v>120</v>
      </c>
      <c r="W63" s="4">
        <v>1</v>
      </c>
      <c r="X63" s="4">
        <v>1</v>
      </c>
      <c r="Y63" s="4">
        <v>2</v>
      </c>
      <c r="Z63" s="4">
        <v>56</v>
      </c>
      <c r="AA63" s="5">
        <v>0</v>
      </c>
    </row>
    <row r="64" spans="1:27" x14ac:dyDescent="0.25">
      <c r="A64" t="s">
        <v>40</v>
      </c>
      <c r="B64">
        <v>1</v>
      </c>
      <c r="C64">
        <v>4</v>
      </c>
      <c r="D64">
        <v>0</v>
      </c>
      <c r="E64">
        <v>0</v>
      </c>
      <c r="F64">
        <v>0</v>
      </c>
      <c r="G64">
        <v>32.363160000000001</v>
      </c>
      <c r="H64">
        <v>120</v>
      </c>
      <c r="I64">
        <v>2</v>
      </c>
      <c r="J64">
        <v>2</v>
      </c>
      <c r="K64">
        <v>1</v>
      </c>
      <c r="L64">
        <v>73</v>
      </c>
      <c r="M64">
        <v>0</v>
      </c>
      <c r="O64" s="6" t="s">
        <v>40</v>
      </c>
      <c r="P64" s="7">
        <v>0</v>
      </c>
      <c r="Q64" s="7">
        <v>1</v>
      </c>
      <c r="R64" s="7">
        <v>0</v>
      </c>
      <c r="S64" s="7">
        <v>0</v>
      </c>
      <c r="T64" s="7">
        <v>0</v>
      </c>
      <c r="U64" s="7">
        <v>49.891419999999997</v>
      </c>
      <c r="V64" s="7">
        <v>120</v>
      </c>
      <c r="W64" s="7">
        <v>1</v>
      </c>
      <c r="X64" s="7">
        <v>1</v>
      </c>
      <c r="Y64" s="7">
        <v>2</v>
      </c>
      <c r="Z64" s="7">
        <v>79</v>
      </c>
      <c r="AA64" s="8">
        <v>0</v>
      </c>
    </row>
    <row r="65" spans="1:27" x14ac:dyDescent="0.25">
      <c r="A65" t="s">
        <v>40</v>
      </c>
      <c r="B65">
        <v>0</v>
      </c>
      <c r="C65">
        <v>1</v>
      </c>
      <c r="D65">
        <v>0</v>
      </c>
      <c r="E65">
        <v>0</v>
      </c>
      <c r="F65">
        <v>0</v>
      </c>
      <c r="G65">
        <v>39.348750000000003</v>
      </c>
      <c r="H65">
        <v>40</v>
      </c>
      <c r="I65">
        <v>1</v>
      </c>
      <c r="J65">
        <v>1</v>
      </c>
      <c r="K65">
        <v>0</v>
      </c>
      <c r="L65">
        <v>57</v>
      </c>
      <c r="M65">
        <v>0</v>
      </c>
      <c r="O65" s="3" t="s">
        <v>40</v>
      </c>
      <c r="P65" s="4">
        <v>0</v>
      </c>
      <c r="Q65" s="4">
        <v>1</v>
      </c>
      <c r="R65" s="4">
        <v>0</v>
      </c>
      <c r="S65" s="4">
        <v>0</v>
      </c>
      <c r="T65" s="4">
        <v>0</v>
      </c>
      <c r="U65" s="4">
        <v>58.084290000000003</v>
      </c>
      <c r="V65" s="4">
        <v>0</v>
      </c>
      <c r="W65" s="4">
        <v>1</v>
      </c>
      <c r="X65" s="4">
        <v>3</v>
      </c>
      <c r="Y65" s="4">
        <v>0</v>
      </c>
      <c r="Z65" s="4">
        <v>107</v>
      </c>
      <c r="AA65" s="5">
        <v>0</v>
      </c>
    </row>
    <row r="66" spans="1:27" x14ac:dyDescent="0.25">
      <c r="A66" t="s">
        <v>40</v>
      </c>
      <c r="B66">
        <v>2</v>
      </c>
      <c r="C66">
        <v>2</v>
      </c>
      <c r="D66">
        <v>0</v>
      </c>
      <c r="E66">
        <v>0</v>
      </c>
      <c r="F66">
        <v>0</v>
      </c>
      <c r="G66">
        <v>98.222049999999996</v>
      </c>
      <c r="H66">
        <v>480</v>
      </c>
      <c r="I66">
        <v>3</v>
      </c>
      <c r="J66">
        <v>3</v>
      </c>
      <c r="K66">
        <v>6</v>
      </c>
      <c r="L66">
        <v>183</v>
      </c>
      <c r="M66">
        <v>0</v>
      </c>
      <c r="O66" s="6" t="s">
        <v>40</v>
      </c>
      <c r="P66" s="7">
        <v>0</v>
      </c>
      <c r="Q66" s="7">
        <v>1</v>
      </c>
      <c r="R66" s="7">
        <v>0</v>
      </c>
      <c r="S66" s="7">
        <v>0</v>
      </c>
      <c r="T66" s="7">
        <v>0</v>
      </c>
      <c r="U66" s="7">
        <v>33.354190000000003</v>
      </c>
      <c r="V66" s="7">
        <v>160</v>
      </c>
      <c r="W66" s="7">
        <v>1</v>
      </c>
      <c r="X66" s="7">
        <v>1</v>
      </c>
      <c r="Y66" s="7">
        <v>4</v>
      </c>
      <c r="Z66" s="7">
        <v>42</v>
      </c>
      <c r="AA66" s="8">
        <v>0</v>
      </c>
    </row>
    <row r="67" spans="1:27" x14ac:dyDescent="0.25">
      <c r="A67" t="s">
        <v>40</v>
      </c>
      <c r="B67">
        <v>0</v>
      </c>
      <c r="C67">
        <v>3</v>
      </c>
      <c r="D67">
        <v>0</v>
      </c>
      <c r="E67">
        <v>0</v>
      </c>
      <c r="F67">
        <v>0</v>
      </c>
      <c r="G67">
        <v>69.224490000000003</v>
      </c>
      <c r="H67">
        <v>0</v>
      </c>
      <c r="I67">
        <v>1</v>
      </c>
      <c r="J67">
        <v>1</v>
      </c>
      <c r="K67">
        <v>0</v>
      </c>
      <c r="L67">
        <v>63</v>
      </c>
      <c r="M67">
        <v>0</v>
      </c>
      <c r="O67" s="3" t="s">
        <v>40</v>
      </c>
      <c r="P67" s="4">
        <v>1</v>
      </c>
      <c r="Q67" s="4">
        <v>1</v>
      </c>
      <c r="R67" s="4">
        <v>0</v>
      </c>
      <c r="S67" s="4">
        <v>0</v>
      </c>
      <c r="T67" s="4">
        <v>0</v>
      </c>
      <c r="U67" s="4">
        <v>60.050420000000003</v>
      </c>
      <c r="V67" s="4">
        <v>280</v>
      </c>
      <c r="W67" s="4">
        <v>1</v>
      </c>
      <c r="X67" s="4">
        <v>2</v>
      </c>
      <c r="Y67" s="4">
        <v>4</v>
      </c>
      <c r="Z67" s="4">
        <v>97</v>
      </c>
      <c r="AA67" s="5">
        <v>0</v>
      </c>
    </row>
    <row r="68" spans="1:27" x14ac:dyDescent="0.25">
      <c r="A68" t="s">
        <v>40</v>
      </c>
      <c r="B68">
        <v>2</v>
      </c>
      <c r="C68">
        <v>1</v>
      </c>
      <c r="D68">
        <v>0</v>
      </c>
      <c r="E68">
        <v>0</v>
      </c>
      <c r="F68">
        <v>0</v>
      </c>
      <c r="G68">
        <v>72.783810000000003</v>
      </c>
      <c r="H68">
        <v>360</v>
      </c>
      <c r="I68">
        <v>3</v>
      </c>
      <c r="J68">
        <v>3</v>
      </c>
      <c r="K68">
        <v>3</v>
      </c>
      <c r="L68">
        <v>113</v>
      </c>
      <c r="M68">
        <v>0</v>
      </c>
      <c r="O68" s="6" t="s">
        <v>40</v>
      </c>
      <c r="P68" s="7">
        <v>1</v>
      </c>
      <c r="Q68" s="7">
        <v>4</v>
      </c>
      <c r="R68" s="7">
        <v>0</v>
      </c>
      <c r="S68" s="7">
        <v>0</v>
      </c>
      <c r="T68" s="7">
        <v>0</v>
      </c>
      <c r="U68" s="7">
        <v>32.363160000000001</v>
      </c>
      <c r="V68" s="7">
        <v>120</v>
      </c>
      <c r="W68" s="7">
        <v>2</v>
      </c>
      <c r="X68" s="7">
        <v>2</v>
      </c>
      <c r="Y68" s="7">
        <v>1</v>
      </c>
      <c r="Z68" s="7">
        <v>73</v>
      </c>
      <c r="AA68" s="8">
        <v>0</v>
      </c>
    </row>
    <row r="69" spans="1:27" x14ac:dyDescent="0.25">
      <c r="A69" t="s">
        <v>40</v>
      </c>
      <c r="B69">
        <v>0</v>
      </c>
      <c r="C69">
        <v>1</v>
      </c>
      <c r="D69">
        <v>0</v>
      </c>
      <c r="E69">
        <v>0</v>
      </c>
      <c r="F69">
        <v>0</v>
      </c>
      <c r="G69">
        <v>43.363160000000001</v>
      </c>
      <c r="H69">
        <v>80</v>
      </c>
      <c r="I69">
        <v>1</v>
      </c>
      <c r="J69">
        <v>1</v>
      </c>
      <c r="K69">
        <v>3</v>
      </c>
      <c r="L69">
        <v>55</v>
      </c>
      <c r="M69">
        <v>0</v>
      </c>
      <c r="O69" s="3" t="s">
        <v>40</v>
      </c>
      <c r="P69" s="4">
        <v>0</v>
      </c>
      <c r="Q69" s="4">
        <v>1</v>
      </c>
      <c r="R69" s="4">
        <v>0</v>
      </c>
      <c r="S69" s="4">
        <v>0</v>
      </c>
      <c r="T69" s="4">
        <v>0</v>
      </c>
      <c r="U69" s="4">
        <v>39.348750000000003</v>
      </c>
      <c r="V69" s="4">
        <v>40</v>
      </c>
      <c r="W69" s="4">
        <v>1</v>
      </c>
      <c r="X69" s="4">
        <v>1</v>
      </c>
      <c r="Y69" s="4">
        <v>0</v>
      </c>
      <c r="Z69" s="4">
        <v>57</v>
      </c>
      <c r="AA69" s="5">
        <v>0</v>
      </c>
    </row>
    <row r="70" spans="1:27" x14ac:dyDescent="0.25">
      <c r="A70" t="s">
        <v>40</v>
      </c>
      <c r="B70">
        <v>0</v>
      </c>
      <c r="C70">
        <v>1</v>
      </c>
      <c r="D70">
        <v>0</v>
      </c>
      <c r="E70">
        <v>0</v>
      </c>
      <c r="F70">
        <v>0</v>
      </c>
      <c r="G70">
        <v>29.779910000000001</v>
      </c>
      <c r="H70">
        <v>80</v>
      </c>
      <c r="I70">
        <v>1</v>
      </c>
      <c r="J70">
        <v>1</v>
      </c>
      <c r="K70">
        <v>2</v>
      </c>
      <c r="L70">
        <v>53</v>
      </c>
      <c r="M70">
        <v>0</v>
      </c>
      <c r="O70" s="6" t="s">
        <v>40</v>
      </c>
      <c r="P70" s="7">
        <v>2</v>
      </c>
      <c r="Q70" s="7">
        <v>2</v>
      </c>
      <c r="R70" s="7">
        <v>0</v>
      </c>
      <c r="S70" s="7">
        <v>0</v>
      </c>
      <c r="T70" s="7">
        <v>0</v>
      </c>
      <c r="U70" s="7">
        <v>98.222049999999996</v>
      </c>
      <c r="V70" s="7">
        <v>480</v>
      </c>
      <c r="W70" s="7">
        <v>3</v>
      </c>
      <c r="X70" s="7">
        <v>3</v>
      </c>
      <c r="Y70" s="7">
        <v>6</v>
      </c>
      <c r="Z70" s="7">
        <v>183</v>
      </c>
      <c r="AA70" s="8">
        <v>0</v>
      </c>
    </row>
    <row r="71" spans="1:27" x14ac:dyDescent="0.25">
      <c r="A71" t="s">
        <v>40</v>
      </c>
      <c r="B71">
        <v>0</v>
      </c>
      <c r="C71">
        <v>4</v>
      </c>
      <c r="D71">
        <v>0</v>
      </c>
      <c r="E71">
        <v>0</v>
      </c>
      <c r="F71">
        <v>0</v>
      </c>
      <c r="G71">
        <v>33.601680000000002</v>
      </c>
      <c r="H71">
        <v>0</v>
      </c>
      <c r="I71">
        <v>1</v>
      </c>
      <c r="J71">
        <v>1</v>
      </c>
      <c r="K71">
        <v>0</v>
      </c>
      <c r="L71">
        <v>115</v>
      </c>
      <c r="M71">
        <v>0</v>
      </c>
      <c r="O71" s="3" t="s">
        <v>40</v>
      </c>
      <c r="P71" s="4">
        <v>0</v>
      </c>
      <c r="Q71" s="4">
        <v>3</v>
      </c>
      <c r="R71" s="4">
        <v>0</v>
      </c>
      <c r="S71" s="4">
        <v>0</v>
      </c>
      <c r="T71" s="4">
        <v>0</v>
      </c>
      <c r="U71" s="4">
        <v>69.224490000000003</v>
      </c>
      <c r="V71" s="4">
        <v>0</v>
      </c>
      <c r="W71" s="4">
        <v>1</v>
      </c>
      <c r="X71" s="4">
        <v>1</v>
      </c>
      <c r="Y71" s="4">
        <v>0</v>
      </c>
      <c r="Z71" s="4">
        <v>63</v>
      </c>
      <c r="AA71" s="5">
        <v>0</v>
      </c>
    </row>
    <row r="72" spans="1:27" x14ac:dyDescent="0.25">
      <c r="A72" t="s">
        <v>40</v>
      </c>
      <c r="B72">
        <v>0</v>
      </c>
      <c r="C72">
        <v>2</v>
      </c>
      <c r="D72">
        <v>0</v>
      </c>
      <c r="E72">
        <v>0</v>
      </c>
      <c r="F72">
        <v>0</v>
      </c>
      <c r="G72">
        <v>34.184690000000003</v>
      </c>
      <c r="H72">
        <v>123</v>
      </c>
      <c r="I72">
        <v>1</v>
      </c>
      <c r="J72">
        <v>1</v>
      </c>
      <c r="K72">
        <v>3</v>
      </c>
      <c r="L72">
        <v>77</v>
      </c>
      <c r="M72">
        <v>0</v>
      </c>
      <c r="O72" s="6" t="s">
        <v>40</v>
      </c>
      <c r="P72" s="7">
        <v>2</v>
      </c>
      <c r="Q72" s="7">
        <v>1</v>
      </c>
      <c r="R72" s="7">
        <v>0</v>
      </c>
      <c r="S72" s="7">
        <v>0</v>
      </c>
      <c r="T72" s="7">
        <v>0</v>
      </c>
      <c r="U72" s="7">
        <v>72.783810000000003</v>
      </c>
      <c r="V72" s="7">
        <v>360</v>
      </c>
      <c r="W72" s="7">
        <v>3</v>
      </c>
      <c r="X72" s="7">
        <v>3</v>
      </c>
      <c r="Y72" s="7">
        <v>3</v>
      </c>
      <c r="Z72" s="7">
        <v>113</v>
      </c>
      <c r="AA72" s="8">
        <v>0</v>
      </c>
    </row>
    <row r="73" spans="1:27" x14ac:dyDescent="0.25">
      <c r="A73" t="s">
        <v>40</v>
      </c>
      <c r="B73">
        <v>1</v>
      </c>
      <c r="C73">
        <v>3</v>
      </c>
      <c r="D73">
        <v>0</v>
      </c>
      <c r="E73">
        <v>0</v>
      </c>
      <c r="F73">
        <v>0</v>
      </c>
      <c r="G73">
        <v>119.11020000000001</v>
      </c>
      <c r="H73">
        <v>400</v>
      </c>
      <c r="I73">
        <v>2</v>
      </c>
      <c r="J73">
        <v>2</v>
      </c>
      <c r="K73">
        <v>9</v>
      </c>
      <c r="L73">
        <v>271</v>
      </c>
      <c r="M73">
        <v>0</v>
      </c>
      <c r="O73" s="3" t="s">
        <v>40</v>
      </c>
      <c r="P73" s="4">
        <v>0</v>
      </c>
      <c r="Q73" s="4">
        <v>1</v>
      </c>
      <c r="R73" s="4">
        <v>0</v>
      </c>
      <c r="S73" s="4">
        <v>0</v>
      </c>
      <c r="T73" s="4">
        <v>0</v>
      </c>
      <c r="U73" s="4">
        <v>43.363160000000001</v>
      </c>
      <c r="V73" s="4">
        <v>80</v>
      </c>
      <c r="W73" s="4">
        <v>1</v>
      </c>
      <c r="X73" s="4">
        <v>1</v>
      </c>
      <c r="Y73" s="4">
        <v>3</v>
      </c>
      <c r="Z73" s="4">
        <v>55</v>
      </c>
      <c r="AA73" s="5">
        <v>0</v>
      </c>
    </row>
    <row r="74" spans="1:27" x14ac:dyDescent="0.25">
      <c r="A74" t="s">
        <v>41</v>
      </c>
      <c r="B74">
        <v>10</v>
      </c>
      <c r="C74">
        <v>4</v>
      </c>
      <c r="D74">
        <v>1</v>
      </c>
      <c r="E74">
        <v>10</v>
      </c>
      <c r="F74">
        <v>305</v>
      </c>
      <c r="G74">
        <v>262.41419999999999</v>
      </c>
      <c r="H74">
        <v>1320</v>
      </c>
      <c r="I74">
        <v>0</v>
      </c>
      <c r="J74">
        <v>10</v>
      </c>
      <c r="K74">
        <v>5</v>
      </c>
      <c r="L74">
        <v>242</v>
      </c>
      <c r="M74">
        <v>12</v>
      </c>
      <c r="O74" s="6" t="s">
        <v>40</v>
      </c>
      <c r="P74" s="7">
        <v>0</v>
      </c>
      <c r="Q74" s="7">
        <v>1</v>
      </c>
      <c r="R74" s="7">
        <v>0</v>
      </c>
      <c r="S74" s="7">
        <v>0</v>
      </c>
      <c r="T74" s="7">
        <v>0</v>
      </c>
      <c r="U74" s="7">
        <v>29.779910000000001</v>
      </c>
      <c r="V74" s="7">
        <v>80</v>
      </c>
      <c r="W74" s="7">
        <v>1</v>
      </c>
      <c r="X74" s="7">
        <v>1</v>
      </c>
      <c r="Y74" s="7">
        <v>2</v>
      </c>
      <c r="Z74" s="7">
        <v>53</v>
      </c>
      <c r="AA74" s="8">
        <v>0</v>
      </c>
    </row>
    <row r="75" spans="1:27" x14ac:dyDescent="0.25">
      <c r="A75" t="s">
        <v>41</v>
      </c>
      <c r="B75">
        <v>1</v>
      </c>
      <c r="C75">
        <v>1</v>
      </c>
      <c r="D75">
        <v>0</v>
      </c>
      <c r="E75">
        <v>8</v>
      </c>
      <c r="F75">
        <v>62</v>
      </c>
      <c r="G75">
        <v>114.64230000000001</v>
      </c>
      <c r="H75">
        <v>240</v>
      </c>
      <c r="I75">
        <v>0</v>
      </c>
      <c r="J75">
        <v>2</v>
      </c>
      <c r="K75">
        <v>7</v>
      </c>
      <c r="L75">
        <v>142</v>
      </c>
      <c r="M75">
        <v>1</v>
      </c>
      <c r="O75" s="3" t="s">
        <v>40</v>
      </c>
      <c r="P75" s="4">
        <v>0</v>
      </c>
      <c r="Q75" s="4">
        <v>4</v>
      </c>
      <c r="R75" s="4">
        <v>0</v>
      </c>
      <c r="S75" s="4">
        <v>0</v>
      </c>
      <c r="T75" s="4">
        <v>0</v>
      </c>
      <c r="U75" s="4">
        <v>33.601680000000002</v>
      </c>
      <c r="V75" s="4">
        <v>0</v>
      </c>
      <c r="W75" s="4">
        <v>1</v>
      </c>
      <c r="X75" s="4">
        <v>1</v>
      </c>
      <c r="Y75" s="4">
        <v>0</v>
      </c>
      <c r="Z75" s="4">
        <v>115</v>
      </c>
      <c r="AA75" s="5">
        <v>0</v>
      </c>
    </row>
    <row r="76" spans="1:27" x14ac:dyDescent="0.25">
      <c r="A76" t="s">
        <v>41</v>
      </c>
      <c r="B76">
        <v>0</v>
      </c>
      <c r="C76">
        <v>1</v>
      </c>
      <c r="D76">
        <v>0</v>
      </c>
      <c r="E76">
        <v>0</v>
      </c>
      <c r="F76">
        <v>0</v>
      </c>
      <c r="G76">
        <v>66.429929999999999</v>
      </c>
      <c r="H76">
        <v>160</v>
      </c>
      <c r="I76">
        <v>0</v>
      </c>
      <c r="J76">
        <v>1</v>
      </c>
      <c r="K76">
        <v>2</v>
      </c>
      <c r="L76">
        <v>146</v>
      </c>
      <c r="M76">
        <v>0</v>
      </c>
      <c r="O76" s="6" t="s">
        <v>40</v>
      </c>
      <c r="P76" s="7">
        <v>0</v>
      </c>
      <c r="Q76" s="7">
        <v>2</v>
      </c>
      <c r="R76" s="7">
        <v>0</v>
      </c>
      <c r="S76" s="7">
        <v>0</v>
      </c>
      <c r="T76" s="7">
        <v>0</v>
      </c>
      <c r="U76" s="7">
        <v>34.184690000000003</v>
      </c>
      <c r="V76" s="7">
        <v>123</v>
      </c>
      <c r="W76" s="7">
        <v>1</v>
      </c>
      <c r="X76" s="7">
        <v>1</v>
      </c>
      <c r="Y76" s="7">
        <v>3</v>
      </c>
      <c r="Z76" s="7">
        <v>77</v>
      </c>
      <c r="AA76" s="8">
        <v>0</v>
      </c>
    </row>
    <row r="77" spans="1:27" x14ac:dyDescent="0.25">
      <c r="A77" t="s">
        <v>41</v>
      </c>
      <c r="B77">
        <v>1</v>
      </c>
      <c r="C77">
        <v>2</v>
      </c>
      <c r="D77">
        <v>0</v>
      </c>
      <c r="E77">
        <v>0</v>
      </c>
      <c r="F77">
        <v>0</v>
      </c>
      <c r="G77">
        <v>73.44623</v>
      </c>
      <c r="H77">
        <v>280</v>
      </c>
      <c r="I77">
        <v>0</v>
      </c>
      <c r="J77">
        <v>2</v>
      </c>
      <c r="K77">
        <v>3</v>
      </c>
      <c r="L77">
        <v>173</v>
      </c>
      <c r="M77">
        <v>0</v>
      </c>
      <c r="O77" s="3" t="s">
        <v>40</v>
      </c>
      <c r="P77" s="4">
        <v>1</v>
      </c>
      <c r="Q77" s="4">
        <v>3</v>
      </c>
      <c r="R77" s="4">
        <v>0</v>
      </c>
      <c r="S77" s="4">
        <v>0</v>
      </c>
      <c r="T77" s="4">
        <v>0</v>
      </c>
      <c r="U77" s="4">
        <v>119.11020000000001</v>
      </c>
      <c r="V77" s="4">
        <v>400</v>
      </c>
      <c r="W77" s="4">
        <v>2</v>
      </c>
      <c r="X77" s="4">
        <v>2</v>
      </c>
      <c r="Y77" s="4">
        <v>9</v>
      </c>
      <c r="Z77" s="4">
        <v>271</v>
      </c>
      <c r="AA77" s="5">
        <v>0</v>
      </c>
    </row>
    <row r="78" spans="1:27" x14ac:dyDescent="0.25">
      <c r="A78" t="s">
        <v>41</v>
      </c>
      <c r="B78">
        <v>0</v>
      </c>
      <c r="C78">
        <v>1</v>
      </c>
      <c r="D78">
        <v>0</v>
      </c>
      <c r="E78">
        <v>0</v>
      </c>
      <c r="F78">
        <v>0</v>
      </c>
      <c r="G78">
        <v>14.327819999999999</v>
      </c>
      <c r="H78">
        <v>0</v>
      </c>
      <c r="I78">
        <v>0</v>
      </c>
      <c r="J78">
        <v>1</v>
      </c>
      <c r="K78">
        <v>0</v>
      </c>
      <c r="L78">
        <v>35</v>
      </c>
      <c r="M78">
        <v>0</v>
      </c>
      <c r="O78" s="10" t="s">
        <v>12</v>
      </c>
      <c r="P78" s="9">
        <f t="shared" ref="P78:AA78" si="2">AVERAGE(P54:P77)</f>
        <v>0.70833333333333337</v>
      </c>
      <c r="Q78" s="9">
        <f t="shared" si="2"/>
        <v>1.5</v>
      </c>
      <c r="R78" s="9">
        <f t="shared" si="2"/>
        <v>4.1666666666666664E-2</v>
      </c>
      <c r="S78" s="9">
        <f t="shared" si="2"/>
        <v>4.1666666666666664E-2</v>
      </c>
      <c r="T78" s="9">
        <f t="shared" si="2"/>
        <v>0.20833333333333334</v>
      </c>
      <c r="U78" s="9">
        <f t="shared" si="2"/>
        <v>61.448977500000012</v>
      </c>
      <c r="V78" s="9">
        <f t="shared" si="2"/>
        <v>193.45833333333334</v>
      </c>
      <c r="W78" s="9">
        <f t="shared" si="2"/>
        <v>1.4166666666666667</v>
      </c>
      <c r="X78" s="9">
        <f t="shared" si="2"/>
        <v>1.7083333333333333</v>
      </c>
      <c r="Y78" s="9">
        <f t="shared" si="2"/>
        <v>3.2916666666666665</v>
      </c>
      <c r="Z78" s="9">
        <f t="shared" si="2"/>
        <v>93.541666666666671</v>
      </c>
      <c r="AA78" s="9">
        <f t="shared" si="2"/>
        <v>0.625</v>
      </c>
    </row>
    <row r="79" spans="1:27" x14ac:dyDescent="0.25">
      <c r="A79" t="s">
        <v>41</v>
      </c>
      <c r="B79">
        <v>0</v>
      </c>
      <c r="C79">
        <v>2</v>
      </c>
      <c r="D79">
        <v>0</v>
      </c>
      <c r="E79">
        <v>0</v>
      </c>
      <c r="F79">
        <v>0</v>
      </c>
      <c r="G79">
        <v>50.96857</v>
      </c>
      <c r="H79">
        <v>160</v>
      </c>
      <c r="I79">
        <v>0</v>
      </c>
      <c r="J79">
        <v>1</v>
      </c>
      <c r="K79">
        <v>4</v>
      </c>
      <c r="L79">
        <v>133</v>
      </c>
      <c r="M79">
        <v>0</v>
      </c>
    </row>
    <row r="80" spans="1:27" x14ac:dyDescent="0.25">
      <c r="A80" t="s">
        <v>41</v>
      </c>
      <c r="B80">
        <v>4</v>
      </c>
      <c r="C80">
        <v>3</v>
      </c>
      <c r="D80">
        <v>0</v>
      </c>
      <c r="E80">
        <v>11</v>
      </c>
      <c r="F80">
        <v>104</v>
      </c>
      <c r="G80">
        <v>182.69489999999999</v>
      </c>
      <c r="H80">
        <v>880</v>
      </c>
      <c r="I80">
        <v>0</v>
      </c>
      <c r="J80">
        <v>5</v>
      </c>
      <c r="K80">
        <v>10</v>
      </c>
      <c r="L80">
        <v>357</v>
      </c>
      <c r="M80">
        <v>0</v>
      </c>
      <c r="O80" s="6" t="s">
        <v>41</v>
      </c>
      <c r="P80" s="7">
        <v>10</v>
      </c>
      <c r="Q80" s="7">
        <v>4</v>
      </c>
      <c r="R80" s="7">
        <v>1</v>
      </c>
      <c r="S80" s="7">
        <v>10</v>
      </c>
      <c r="T80" s="7">
        <v>305</v>
      </c>
      <c r="U80" s="7">
        <v>262.41419999999999</v>
      </c>
      <c r="V80" s="7">
        <v>1320</v>
      </c>
      <c r="W80" s="7">
        <v>0</v>
      </c>
      <c r="X80" s="7">
        <v>10</v>
      </c>
      <c r="Y80" s="7">
        <v>5</v>
      </c>
      <c r="Z80" s="7">
        <v>242</v>
      </c>
      <c r="AA80" s="8">
        <v>12</v>
      </c>
    </row>
    <row r="81" spans="1:27" x14ac:dyDescent="0.25">
      <c r="A81" t="s">
        <v>41</v>
      </c>
      <c r="B81">
        <v>7</v>
      </c>
      <c r="C81">
        <v>3</v>
      </c>
      <c r="D81">
        <v>0</v>
      </c>
      <c r="E81">
        <v>18</v>
      </c>
      <c r="F81">
        <v>107</v>
      </c>
      <c r="G81">
        <v>235.19479999999999</v>
      </c>
      <c r="H81">
        <v>1320</v>
      </c>
      <c r="I81">
        <v>0</v>
      </c>
      <c r="J81">
        <v>8</v>
      </c>
      <c r="K81">
        <v>16</v>
      </c>
      <c r="L81">
        <v>367</v>
      </c>
      <c r="M81">
        <v>1</v>
      </c>
      <c r="O81" s="3" t="s">
        <v>41</v>
      </c>
      <c r="P81" s="4">
        <v>1</v>
      </c>
      <c r="Q81" s="4">
        <v>1</v>
      </c>
      <c r="R81" s="4">
        <v>0</v>
      </c>
      <c r="S81" s="4">
        <v>8</v>
      </c>
      <c r="T81" s="4">
        <v>62</v>
      </c>
      <c r="U81" s="4">
        <v>114.64230000000001</v>
      </c>
      <c r="V81" s="4">
        <v>240</v>
      </c>
      <c r="W81" s="4">
        <v>0</v>
      </c>
      <c r="X81" s="4">
        <v>2</v>
      </c>
      <c r="Y81" s="4">
        <v>7</v>
      </c>
      <c r="Z81" s="4">
        <v>142</v>
      </c>
      <c r="AA81" s="5">
        <v>1</v>
      </c>
    </row>
    <row r="82" spans="1:27" x14ac:dyDescent="0.25">
      <c r="A82" t="s">
        <v>41</v>
      </c>
      <c r="B82">
        <v>1</v>
      </c>
      <c r="C82">
        <v>3</v>
      </c>
      <c r="D82">
        <v>0</v>
      </c>
      <c r="E82">
        <v>0</v>
      </c>
      <c r="F82">
        <v>0</v>
      </c>
      <c r="G82">
        <v>85.941770000000005</v>
      </c>
      <c r="H82">
        <v>400</v>
      </c>
      <c r="I82">
        <v>0</v>
      </c>
      <c r="J82">
        <v>2</v>
      </c>
      <c r="K82">
        <v>7</v>
      </c>
      <c r="L82">
        <v>195</v>
      </c>
      <c r="M82">
        <v>0</v>
      </c>
      <c r="O82" s="6" t="s">
        <v>41</v>
      </c>
      <c r="P82" s="7">
        <v>0</v>
      </c>
      <c r="Q82" s="7">
        <v>1</v>
      </c>
      <c r="R82" s="7">
        <v>0</v>
      </c>
      <c r="S82" s="7">
        <v>0</v>
      </c>
      <c r="T82" s="7">
        <v>0</v>
      </c>
      <c r="U82" s="7">
        <v>66.429929999999999</v>
      </c>
      <c r="V82" s="7">
        <v>160</v>
      </c>
      <c r="W82" s="7">
        <v>0</v>
      </c>
      <c r="X82" s="7">
        <v>1</v>
      </c>
      <c r="Y82" s="7">
        <v>2</v>
      </c>
      <c r="Z82" s="7">
        <v>146</v>
      </c>
      <c r="AA82" s="8">
        <v>0</v>
      </c>
    </row>
    <row r="83" spans="1:27" x14ac:dyDescent="0.25">
      <c r="A83" t="s">
        <v>41</v>
      </c>
      <c r="B83">
        <v>3</v>
      </c>
      <c r="C83">
        <v>2</v>
      </c>
      <c r="D83">
        <v>0</v>
      </c>
      <c r="E83">
        <v>0</v>
      </c>
      <c r="F83">
        <v>83</v>
      </c>
      <c r="G83">
        <v>153.64230000000001</v>
      </c>
      <c r="H83">
        <v>560</v>
      </c>
      <c r="I83">
        <v>0</v>
      </c>
      <c r="J83">
        <v>5</v>
      </c>
      <c r="K83">
        <v>5</v>
      </c>
      <c r="L83">
        <v>264</v>
      </c>
      <c r="M83">
        <v>27</v>
      </c>
      <c r="O83" s="3" t="s">
        <v>41</v>
      </c>
      <c r="P83" s="4">
        <v>1</v>
      </c>
      <c r="Q83" s="4">
        <v>2</v>
      </c>
      <c r="R83" s="4">
        <v>0</v>
      </c>
      <c r="S83" s="4">
        <v>0</v>
      </c>
      <c r="T83" s="4">
        <v>0</v>
      </c>
      <c r="U83" s="4">
        <v>73.44623</v>
      </c>
      <c r="V83" s="4">
        <v>280</v>
      </c>
      <c r="W83" s="4">
        <v>0</v>
      </c>
      <c r="X83" s="4">
        <v>2</v>
      </c>
      <c r="Y83" s="4">
        <v>3</v>
      </c>
      <c r="Z83" s="4">
        <v>173</v>
      </c>
      <c r="AA83" s="5">
        <v>0</v>
      </c>
    </row>
    <row r="84" spans="1:27" x14ac:dyDescent="0.25">
      <c r="A84" t="s">
        <v>41</v>
      </c>
      <c r="B84">
        <v>8</v>
      </c>
      <c r="C84">
        <v>4</v>
      </c>
      <c r="D84">
        <v>0</v>
      </c>
      <c r="E84">
        <v>0</v>
      </c>
      <c r="F84">
        <v>0</v>
      </c>
      <c r="G84">
        <v>279.00209999999998</v>
      </c>
      <c r="H84">
        <v>1480</v>
      </c>
      <c r="I84">
        <v>0</v>
      </c>
      <c r="J84">
        <v>9</v>
      </c>
      <c r="K84">
        <v>20</v>
      </c>
      <c r="L84">
        <v>469</v>
      </c>
      <c r="M84">
        <v>45</v>
      </c>
      <c r="O84" s="6" t="s">
        <v>41</v>
      </c>
      <c r="P84" s="7">
        <v>0</v>
      </c>
      <c r="Q84" s="7">
        <v>1</v>
      </c>
      <c r="R84" s="7">
        <v>0</v>
      </c>
      <c r="S84" s="7">
        <v>0</v>
      </c>
      <c r="T84" s="7">
        <v>0</v>
      </c>
      <c r="U84" s="7">
        <v>14.327819999999999</v>
      </c>
      <c r="V84" s="7">
        <v>0</v>
      </c>
      <c r="W84" s="7">
        <v>0</v>
      </c>
      <c r="X84" s="7">
        <v>1</v>
      </c>
      <c r="Y84" s="7">
        <v>0</v>
      </c>
      <c r="Z84" s="7">
        <v>35</v>
      </c>
      <c r="AA84" s="8">
        <v>0</v>
      </c>
    </row>
    <row r="85" spans="1:27" x14ac:dyDescent="0.25">
      <c r="A85" t="s">
        <v>41</v>
      </c>
      <c r="B85">
        <v>0</v>
      </c>
      <c r="C85">
        <v>1</v>
      </c>
      <c r="D85">
        <v>1</v>
      </c>
      <c r="E85">
        <v>0</v>
      </c>
      <c r="F85">
        <v>0</v>
      </c>
      <c r="G85">
        <v>212.55590000000001</v>
      </c>
      <c r="H85">
        <v>0</v>
      </c>
      <c r="I85">
        <v>12</v>
      </c>
      <c r="J85">
        <v>4</v>
      </c>
      <c r="K85">
        <v>0</v>
      </c>
      <c r="L85">
        <v>342</v>
      </c>
      <c r="M85">
        <v>4</v>
      </c>
      <c r="O85" s="3" t="s">
        <v>41</v>
      </c>
      <c r="P85" s="4">
        <v>0</v>
      </c>
      <c r="Q85" s="4">
        <v>2</v>
      </c>
      <c r="R85" s="4">
        <v>0</v>
      </c>
      <c r="S85" s="4">
        <v>0</v>
      </c>
      <c r="T85" s="4">
        <v>0</v>
      </c>
      <c r="U85" s="4">
        <v>50.96857</v>
      </c>
      <c r="V85" s="4">
        <v>160</v>
      </c>
      <c r="W85" s="4">
        <v>0</v>
      </c>
      <c r="X85" s="4">
        <v>1</v>
      </c>
      <c r="Y85" s="4">
        <v>4</v>
      </c>
      <c r="Z85" s="4">
        <v>133</v>
      </c>
      <c r="AA85" s="5">
        <v>0</v>
      </c>
    </row>
    <row r="86" spans="1:27" x14ac:dyDescent="0.25">
      <c r="A86" t="s">
        <v>41</v>
      </c>
      <c r="B86">
        <v>2</v>
      </c>
      <c r="C86">
        <v>2</v>
      </c>
      <c r="D86">
        <v>0</v>
      </c>
      <c r="E86">
        <v>0</v>
      </c>
      <c r="F86">
        <v>46</v>
      </c>
      <c r="G86">
        <v>72.036249999999995</v>
      </c>
      <c r="H86">
        <v>440</v>
      </c>
      <c r="I86">
        <v>2</v>
      </c>
      <c r="J86">
        <v>2</v>
      </c>
      <c r="K86">
        <v>5</v>
      </c>
      <c r="L86">
        <v>92</v>
      </c>
      <c r="M86">
        <v>0</v>
      </c>
      <c r="O86" s="6" t="s">
        <v>41</v>
      </c>
      <c r="P86" s="7">
        <v>4</v>
      </c>
      <c r="Q86" s="7">
        <v>3</v>
      </c>
      <c r="R86" s="7">
        <v>0</v>
      </c>
      <c r="S86" s="7">
        <v>11</v>
      </c>
      <c r="T86" s="7">
        <v>104</v>
      </c>
      <c r="U86" s="7">
        <v>182.69489999999999</v>
      </c>
      <c r="V86" s="7">
        <v>880</v>
      </c>
      <c r="W86" s="7">
        <v>0</v>
      </c>
      <c r="X86" s="7">
        <v>5</v>
      </c>
      <c r="Y86" s="7">
        <v>10</v>
      </c>
      <c r="Z86" s="7">
        <v>357</v>
      </c>
      <c r="AA86" s="8">
        <v>0</v>
      </c>
    </row>
    <row r="87" spans="1:27" x14ac:dyDescent="0.25">
      <c r="A87" t="s">
        <v>41</v>
      </c>
      <c r="B87">
        <v>0</v>
      </c>
      <c r="C87">
        <v>1</v>
      </c>
      <c r="D87">
        <v>0</v>
      </c>
      <c r="E87">
        <v>0</v>
      </c>
      <c r="F87">
        <v>0</v>
      </c>
      <c r="G87">
        <v>51.859859999999998</v>
      </c>
      <c r="H87">
        <v>80</v>
      </c>
      <c r="I87">
        <v>1</v>
      </c>
      <c r="J87">
        <v>1</v>
      </c>
      <c r="K87">
        <v>2</v>
      </c>
      <c r="L87">
        <v>106</v>
      </c>
      <c r="M87">
        <v>0</v>
      </c>
      <c r="O87" s="3" t="s">
        <v>41</v>
      </c>
      <c r="P87" s="4">
        <v>7</v>
      </c>
      <c r="Q87" s="4">
        <v>3</v>
      </c>
      <c r="R87" s="4">
        <v>0</v>
      </c>
      <c r="S87" s="4">
        <v>18</v>
      </c>
      <c r="T87" s="4">
        <v>107</v>
      </c>
      <c r="U87" s="4">
        <v>235.19479999999999</v>
      </c>
      <c r="V87" s="4">
        <v>1320</v>
      </c>
      <c r="W87" s="4">
        <v>0</v>
      </c>
      <c r="X87" s="4">
        <v>8</v>
      </c>
      <c r="Y87" s="4">
        <v>16</v>
      </c>
      <c r="Z87" s="4">
        <v>367</v>
      </c>
      <c r="AA87" s="5">
        <v>1</v>
      </c>
    </row>
    <row r="88" spans="1:27" x14ac:dyDescent="0.25">
      <c r="A88" t="s">
        <v>41</v>
      </c>
      <c r="B88">
        <v>0</v>
      </c>
      <c r="C88">
        <v>1</v>
      </c>
      <c r="D88">
        <v>0</v>
      </c>
      <c r="E88">
        <v>0</v>
      </c>
      <c r="F88">
        <v>0</v>
      </c>
      <c r="G88">
        <v>33.08325</v>
      </c>
      <c r="H88">
        <v>120</v>
      </c>
      <c r="I88">
        <v>0</v>
      </c>
      <c r="J88">
        <v>1</v>
      </c>
      <c r="K88">
        <v>3</v>
      </c>
      <c r="L88">
        <v>65</v>
      </c>
      <c r="M88">
        <v>0</v>
      </c>
      <c r="O88" s="6" t="s">
        <v>41</v>
      </c>
      <c r="P88" s="7">
        <v>1</v>
      </c>
      <c r="Q88" s="7">
        <v>3</v>
      </c>
      <c r="R88" s="7">
        <v>0</v>
      </c>
      <c r="S88" s="7">
        <v>0</v>
      </c>
      <c r="T88" s="7">
        <v>0</v>
      </c>
      <c r="U88" s="7">
        <v>85.941770000000005</v>
      </c>
      <c r="V88" s="7">
        <v>400</v>
      </c>
      <c r="W88" s="7">
        <v>0</v>
      </c>
      <c r="X88" s="7">
        <v>2</v>
      </c>
      <c r="Y88" s="7">
        <v>7</v>
      </c>
      <c r="Z88" s="7">
        <v>195</v>
      </c>
      <c r="AA88" s="8">
        <v>0</v>
      </c>
    </row>
    <row r="89" spans="1:27" x14ac:dyDescent="0.25">
      <c r="A89" t="s">
        <v>41</v>
      </c>
      <c r="B89">
        <v>0</v>
      </c>
      <c r="C89">
        <v>1</v>
      </c>
      <c r="D89">
        <v>0</v>
      </c>
      <c r="E89">
        <v>1</v>
      </c>
      <c r="F89">
        <v>34</v>
      </c>
      <c r="G89">
        <v>41.251220000000004</v>
      </c>
      <c r="H89">
        <v>140</v>
      </c>
      <c r="I89">
        <v>1</v>
      </c>
      <c r="J89">
        <v>1</v>
      </c>
      <c r="K89">
        <v>4</v>
      </c>
      <c r="L89">
        <v>100</v>
      </c>
      <c r="M89">
        <v>0</v>
      </c>
      <c r="O89" s="3" t="s">
        <v>41</v>
      </c>
      <c r="P89" s="4">
        <v>3</v>
      </c>
      <c r="Q89" s="4">
        <v>2</v>
      </c>
      <c r="R89" s="4">
        <v>0</v>
      </c>
      <c r="S89" s="4">
        <v>0</v>
      </c>
      <c r="T89" s="4">
        <v>83</v>
      </c>
      <c r="U89" s="4">
        <v>153.64230000000001</v>
      </c>
      <c r="V89" s="4">
        <v>560</v>
      </c>
      <c r="W89" s="4">
        <v>0</v>
      </c>
      <c r="X89" s="4">
        <v>5</v>
      </c>
      <c r="Y89" s="4">
        <v>5</v>
      </c>
      <c r="Z89" s="4">
        <v>264</v>
      </c>
      <c r="AA89" s="5">
        <v>27</v>
      </c>
    </row>
    <row r="90" spans="1:27" x14ac:dyDescent="0.25">
      <c r="A90" t="s">
        <v>41</v>
      </c>
      <c r="B90">
        <v>2</v>
      </c>
      <c r="C90">
        <v>2</v>
      </c>
      <c r="D90">
        <v>0</v>
      </c>
      <c r="E90">
        <v>0</v>
      </c>
      <c r="F90">
        <v>18</v>
      </c>
      <c r="G90">
        <v>98.839110000000005</v>
      </c>
      <c r="H90">
        <v>480</v>
      </c>
      <c r="I90">
        <v>4</v>
      </c>
      <c r="J90">
        <v>3</v>
      </c>
      <c r="K90">
        <v>15</v>
      </c>
      <c r="L90">
        <v>166</v>
      </c>
      <c r="M90">
        <v>0</v>
      </c>
      <c r="O90" s="6" t="s">
        <v>41</v>
      </c>
      <c r="P90" s="7">
        <v>8</v>
      </c>
      <c r="Q90" s="7">
        <v>4</v>
      </c>
      <c r="R90" s="7">
        <v>0</v>
      </c>
      <c r="S90" s="7">
        <v>0</v>
      </c>
      <c r="T90" s="7">
        <v>0</v>
      </c>
      <c r="U90" s="7">
        <v>279.00209999999998</v>
      </c>
      <c r="V90" s="7">
        <v>1480</v>
      </c>
      <c r="W90" s="7">
        <v>0</v>
      </c>
      <c r="X90" s="7">
        <v>9</v>
      </c>
      <c r="Y90" s="7">
        <v>20</v>
      </c>
      <c r="Z90" s="7">
        <v>469</v>
      </c>
      <c r="AA90" s="8">
        <v>45</v>
      </c>
    </row>
    <row r="91" spans="1:27" x14ac:dyDescent="0.25">
      <c r="A91" t="s">
        <v>41</v>
      </c>
      <c r="B91">
        <v>0</v>
      </c>
      <c r="C91">
        <v>1</v>
      </c>
      <c r="D91">
        <v>0</v>
      </c>
      <c r="E91">
        <v>0</v>
      </c>
      <c r="F91">
        <v>55</v>
      </c>
      <c r="G91">
        <v>49.626950000000001</v>
      </c>
      <c r="H91">
        <v>160</v>
      </c>
      <c r="I91">
        <v>3</v>
      </c>
      <c r="J91">
        <v>1</v>
      </c>
      <c r="K91">
        <v>4</v>
      </c>
      <c r="L91">
        <v>107</v>
      </c>
      <c r="M91">
        <v>0</v>
      </c>
      <c r="O91" s="3" t="s">
        <v>41</v>
      </c>
      <c r="P91" s="4">
        <v>0</v>
      </c>
      <c r="Q91" s="4">
        <v>1</v>
      </c>
      <c r="R91" s="4">
        <v>1</v>
      </c>
      <c r="S91" s="4">
        <v>0</v>
      </c>
      <c r="T91" s="4">
        <v>0</v>
      </c>
      <c r="U91" s="4">
        <v>212.55590000000001</v>
      </c>
      <c r="V91" s="4">
        <v>0</v>
      </c>
      <c r="W91" s="4">
        <v>12</v>
      </c>
      <c r="X91" s="4">
        <v>4</v>
      </c>
      <c r="Y91" s="4">
        <v>0</v>
      </c>
      <c r="Z91" s="4">
        <v>342</v>
      </c>
      <c r="AA91" s="5">
        <v>4</v>
      </c>
    </row>
    <row r="92" spans="1:27" x14ac:dyDescent="0.25">
      <c r="A92" t="s">
        <v>41</v>
      </c>
      <c r="B92">
        <v>0</v>
      </c>
      <c r="C92">
        <v>2</v>
      </c>
      <c r="D92">
        <v>0</v>
      </c>
      <c r="E92">
        <v>2</v>
      </c>
      <c r="F92">
        <v>70</v>
      </c>
      <c r="G92">
        <v>47.75562</v>
      </c>
      <c r="H92">
        <v>280</v>
      </c>
      <c r="I92">
        <v>1</v>
      </c>
      <c r="J92">
        <v>1</v>
      </c>
      <c r="K92">
        <v>7</v>
      </c>
      <c r="L92">
        <v>79</v>
      </c>
      <c r="M92">
        <v>0</v>
      </c>
      <c r="O92" s="6" t="s">
        <v>41</v>
      </c>
      <c r="P92" s="7">
        <v>2</v>
      </c>
      <c r="Q92" s="7">
        <v>2</v>
      </c>
      <c r="R92" s="7">
        <v>0</v>
      </c>
      <c r="S92" s="7">
        <v>0</v>
      </c>
      <c r="T92" s="7">
        <v>46</v>
      </c>
      <c r="U92" s="7">
        <v>72.036249999999995</v>
      </c>
      <c r="V92" s="7">
        <v>440</v>
      </c>
      <c r="W92" s="7">
        <v>2</v>
      </c>
      <c r="X92" s="7">
        <v>2</v>
      </c>
      <c r="Y92" s="7">
        <v>5</v>
      </c>
      <c r="Z92" s="7">
        <v>92</v>
      </c>
      <c r="AA92" s="8">
        <v>0</v>
      </c>
    </row>
    <row r="93" spans="1:27" x14ac:dyDescent="0.25">
      <c r="A93" t="s">
        <v>41</v>
      </c>
      <c r="B93">
        <v>0</v>
      </c>
      <c r="C93">
        <v>2</v>
      </c>
      <c r="D93">
        <v>0</v>
      </c>
      <c r="E93">
        <v>0</v>
      </c>
      <c r="F93">
        <v>15</v>
      </c>
      <c r="G93">
        <v>31.38062</v>
      </c>
      <c r="H93">
        <v>80</v>
      </c>
      <c r="I93">
        <v>1</v>
      </c>
      <c r="J93">
        <v>1</v>
      </c>
      <c r="K93">
        <v>2</v>
      </c>
      <c r="L93">
        <v>70</v>
      </c>
      <c r="M93">
        <v>0</v>
      </c>
      <c r="O93" s="3" t="s">
        <v>41</v>
      </c>
      <c r="P93" s="4">
        <v>0</v>
      </c>
      <c r="Q93" s="4">
        <v>1</v>
      </c>
      <c r="R93" s="4">
        <v>0</v>
      </c>
      <c r="S93" s="4">
        <v>0</v>
      </c>
      <c r="T93" s="4">
        <v>0</v>
      </c>
      <c r="U93" s="4">
        <v>51.859859999999998</v>
      </c>
      <c r="V93" s="4">
        <v>80</v>
      </c>
      <c r="W93" s="4">
        <v>1</v>
      </c>
      <c r="X93" s="4">
        <v>1</v>
      </c>
      <c r="Y93" s="4">
        <v>2</v>
      </c>
      <c r="Z93" s="4">
        <v>106</v>
      </c>
      <c r="AA93" s="5">
        <v>0</v>
      </c>
    </row>
    <row r="94" spans="1:27" x14ac:dyDescent="0.25">
      <c r="A94" t="s">
        <v>41</v>
      </c>
      <c r="B94">
        <v>0</v>
      </c>
      <c r="C94">
        <v>1</v>
      </c>
      <c r="D94">
        <v>0</v>
      </c>
      <c r="E94">
        <v>0</v>
      </c>
      <c r="F94">
        <v>19</v>
      </c>
      <c r="G94">
        <v>29.026610000000002</v>
      </c>
      <c r="H94">
        <v>80</v>
      </c>
      <c r="I94">
        <v>1</v>
      </c>
      <c r="J94">
        <v>1</v>
      </c>
      <c r="K94">
        <v>2</v>
      </c>
      <c r="L94">
        <v>60</v>
      </c>
      <c r="M94">
        <v>0</v>
      </c>
      <c r="O94" s="6" t="s">
        <v>41</v>
      </c>
      <c r="P94" s="7">
        <v>0</v>
      </c>
      <c r="Q94" s="7">
        <v>1</v>
      </c>
      <c r="R94" s="7">
        <v>0</v>
      </c>
      <c r="S94" s="7">
        <v>0</v>
      </c>
      <c r="T94" s="7">
        <v>0</v>
      </c>
      <c r="U94" s="7">
        <v>33.08325</v>
      </c>
      <c r="V94" s="7">
        <v>120</v>
      </c>
      <c r="W94" s="7">
        <v>0</v>
      </c>
      <c r="X94" s="7">
        <v>1</v>
      </c>
      <c r="Y94" s="7">
        <v>3</v>
      </c>
      <c r="Z94" s="7">
        <v>65</v>
      </c>
      <c r="AA94" s="8">
        <v>0</v>
      </c>
    </row>
    <row r="95" spans="1:27" x14ac:dyDescent="0.25">
      <c r="A95" t="s">
        <v>41</v>
      </c>
      <c r="B95">
        <v>0</v>
      </c>
      <c r="C95">
        <v>1</v>
      </c>
      <c r="D95">
        <v>0</v>
      </c>
      <c r="E95">
        <v>0</v>
      </c>
      <c r="F95">
        <v>0</v>
      </c>
      <c r="G95">
        <v>27.787839999999999</v>
      </c>
      <c r="H95">
        <v>0</v>
      </c>
      <c r="I95">
        <v>1</v>
      </c>
      <c r="J95">
        <v>1</v>
      </c>
      <c r="K95">
        <v>0</v>
      </c>
      <c r="L95">
        <v>89</v>
      </c>
      <c r="M95">
        <v>0</v>
      </c>
      <c r="O95" s="3" t="s">
        <v>41</v>
      </c>
      <c r="P95" s="4">
        <v>0</v>
      </c>
      <c r="Q95" s="4">
        <v>1</v>
      </c>
      <c r="R95" s="4">
        <v>0</v>
      </c>
      <c r="S95" s="4">
        <v>1</v>
      </c>
      <c r="T95" s="4">
        <v>34</v>
      </c>
      <c r="U95" s="4">
        <v>41.251220000000004</v>
      </c>
      <c r="V95" s="4">
        <v>140</v>
      </c>
      <c r="W95" s="4">
        <v>1</v>
      </c>
      <c r="X95" s="4">
        <v>1</v>
      </c>
      <c r="Y95" s="4">
        <v>4</v>
      </c>
      <c r="Z95" s="4">
        <v>100</v>
      </c>
      <c r="AA95" s="5">
        <v>0</v>
      </c>
    </row>
    <row r="96" spans="1:27" x14ac:dyDescent="0.25">
      <c r="A96" t="s">
        <v>41</v>
      </c>
      <c r="B96">
        <v>4</v>
      </c>
      <c r="C96">
        <v>4</v>
      </c>
      <c r="D96">
        <v>1</v>
      </c>
      <c r="E96">
        <v>0</v>
      </c>
      <c r="F96">
        <v>0</v>
      </c>
      <c r="G96">
        <v>105.23099999999999</v>
      </c>
      <c r="H96">
        <v>634</v>
      </c>
      <c r="I96">
        <v>3</v>
      </c>
      <c r="J96">
        <v>4</v>
      </c>
      <c r="K96">
        <v>11</v>
      </c>
      <c r="L96">
        <v>138</v>
      </c>
      <c r="M96">
        <v>0</v>
      </c>
      <c r="O96" s="6" t="s">
        <v>41</v>
      </c>
      <c r="P96" s="7">
        <v>2</v>
      </c>
      <c r="Q96" s="7">
        <v>2</v>
      </c>
      <c r="R96" s="7">
        <v>0</v>
      </c>
      <c r="S96" s="7">
        <v>0</v>
      </c>
      <c r="T96" s="7">
        <v>18</v>
      </c>
      <c r="U96" s="7">
        <v>98.839110000000005</v>
      </c>
      <c r="V96" s="7">
        <v>480</v>
      </c>
      <c r="W96" s="7">
        <v>4</v>
      </c>
      <c r="X96" s="7">
        <v>3</v>
      </c>
      <c r="Y96" s="7">
        <v>15</v>
      </c>
      <c r="Z96" s="7">
        <v>166</v>
      </c>
      <c r="AA96" s="8">
        <v>0</v>
      </c>
    </row>
    <row r="97" spans="1:27" x14ac:dyDescent="0.25">
      <c r="A97" t="s">
        <v>41</v>
      </c>
      <c r="B97">
        <v>3</v>
      </c>
      <c r="C97">
        <v>4</v>
      </c>
      <c r="D97">
        <v>0</v>
      </c>
      <c r="E97">
        <v>3</v>
      </c>
      <c r="F97">
        <v>62</v>
      </c>
      <c r="G97">
        <v>192.2961</v>
      </c>
      <c r="H97">
        <v>800</v>
      </c>
      <c r="I97">
        <v>2</v>
      </c>
      <c r="J97">
        <v>4</v>
      </c>
      <c r="K97">
        <v>13</v>
      </c>
      <c r="L97">
        <v>283</v>
      </c>
      <c r="M97">
        <v>45</v>
      </c>
      <c r="O97" s="3" t="s">
        <v>41</v>
      </c>
      <c r="P97" s="4">
        <v>0</v>
      </c>
      <c r="Q97" s="4">
        <v>1</v>
      </c>
      <c r="R97" s="4">
        <v>0</v>
      </c>
      <c r="S97" s="4">
        <v>0</v>
      </c>
      <c r="T97" s="4">
        <v>55</v>
      </c>
      <c r="U97" s="4">
        <v>49.626950000000001</v>
      </c>
      <c r="V97" s="4">
        <v>160</v>
      </c>
      <c r="W97" s="4">
        <v>3</v>
      </c>
      <c r="X97" s="4">
        <v>1</v>
      </c>
      <c r="Y97" s="4">
        <v>4</v>
      </c>
      <c r="Z97" s="4">
        <v>107</v>
      </c>
      <c r="AA97" s="5">
        <v>0</v>
      </c>
    </row>
    <row r="98" spans="1:27" x14ac:dyDescent="0.25">
      <c r="A98" t="s">
        <v>42</v>
      </c>
      <c r="B98">
        <v>2</v>
      </c>
      <c r="C98">
        <v>2</v>
      </c>
      <c r="D98">
        <v>0</v>
      </c>
      <c r="E98">
        <v>0</v>
      </c>
      <c r="F98">
        <v>28</v>
      </c>
      <c r="G98">
        <v>81.502560000000003</v>
      </c>
      <c r="H98">
        <v>440</v>
      </c>
      <c r="I98">
        <v>0</v>
      </c>
      <c r="J98">
        <v>2</v>
      </c>
      <c r="K98">
        <v>4</v>
      </c>
      <c r="L98">
        <v>158</v>
      </c>
      <c r="M98">
        <v>1</v>
      </c>
      <c r="O98" s="6" t="s">
        <v>41</v>
      </c>
      <c r="P98" s="7">
        <v>0</v>
      </c>
      <c r="Q98" s="7">
        <v>2</v>
      </c>
      <c r="R98" s="7">
        <v>0</v>
      </c>
      <c r="S98" s="7">
        <v>2</v>
      </c>
      <c r="T98" s="7">
        <v>70</v>
      </c>
      <c r="U98" s="7">
        <v>47.75562</v>
      </c>
      <c r="V98" s="7">
        <v>280</v>
      </c>
      <c r="W98" s="7">
        <v>1</v>
      </c>
      <c r="X98" s="7">
        <v>1</v>
      </c>
      <c r="Y98" s="7">
        <v>7</v>
      </c>
      <c r="Z98" s="7">
        <v>79</v>
      </c>
      <c r="AA98" s="8">
        <v>0</v>
      </c>
    </row>
    <row r="99" spans="1:27" x14ac:dyDescent="0.25">
      <c r="A99" t="s">
        <v>42</v>
      </c>
      <c r="B99">
        <v>11</v>
      </c>
      <c r="C99">
        <v>4</v>
      </c>
      <c r="D99">
        <v>1</v>
      </c>
      <c r="E99">
        <v>0</v>
      </c>
      <c r="F99">
        <v>0</v>
      </c>
      <c r="G99">
        <v>189.07769999999999</v>
      </c>
      <c r="H99">
        <v>880</v>
      </c>
      <c r="I99">
        <v>0</v>
      </c>
      <c r="J99">
        <v>11</v>
      </c>
      <c r="K99">
        <v>0</v>
      </c>
      <c r="L99">
        <v>65</v>
      </c>
      <c r="M99">
        <v>40</v>
      </c>
      <c r="O99" s="3" t="s">
        <v>41</v>
      </c>
      <c r="P99" s="4">
        <v>0</v>
      </c>
      <c r="Q99" s="4">
        <v>2</v>
      </c>
      <c r="R99" s="4">
        <v>0</v>
      </c>
      <c r="S99" s="4">
        <v>0</v>
      </c>
      <c r="T99" s="4">
        <v>15</v>
      </c>
      <c r="U99" s="4">
        <v>31.38062</v>
      </c>
      <c r="V99" s="4">
        <v>80</v>
      </c>
      <c r="W99" s="4">
        <v>1</v>
      </c>
      <c r="X99" s="4">
        <v>1</v>
      </c>
      <c r="Y99" s="4">
        <v>2</v>
      </c>
      <c r="Z99" s="4">
        <v>70</v>
      </c>
      <c r="AA99" s="5">
        <v>0</v>
      </c>
    </row>
    <row r="100" spans="1:27" x14ac:dyDescent="0.25">
      <c r="A100" t="s">
        <v>42</v>
      </c>
      <c r="B100">
        <v>5</v>
      </c>
      <c r="C100">
        <v>4</v>
      </c>
      <c r="D100">
        <v>1</v>
      </c>
      <c r="E100">
        <v>1</v>
      </c>
      <c r="F100">
        <v>151</v>
      </c>
      <c r="G100">
        <v>129.83760000000001</v>
      </c>
      <c r="H100">
        <v>600</v>
      </c>
      <c r="I100">
        <v>4</v>
      </c>
      <c r="J100">
        <v>5</v>
      </c>
      <c r="K100">
        <v>0</v>
      </c>
      <c r="L100">
        <v>92</v>
      </c>
      <c r="M100">
        <v>14</v>
      </c>
      <c r="O100" s="6" t="s">
        <v>41</v>
      </c>
      <c r="P100" s="7">
        <v>0</v>
      </c>
      <c r="Q100" s="7">
        <v>1</v>
      </c>
      <c r="R100" s="7">
        <v>0</v>
      </c>
      <c r="S100" s="7">
        <v>0</v>
      </c>
      <c r="T100" s="7">
        <v>19</v>
      </c>
      <c r="U100" s="7">
        <v>29.026610000000002</v>
      </c>
      <c r="V100" s="7">
        <v>80</v>
      </c>
      <c r="W100" s="7">
        <v>1</v>
      </c>
      <c r="X100" s="7">
        <v>1</v>
      </c>
      <c r="Y100" s="7">
        <v>2</v>
      </c>
      <c r="Z100" s="7">
        <v>60</v>
      </c>
      <c r="AA100" s="8">
        <v>0</v>
      </c>
    </row>
    <row r="101" spans="1:27" x14ac:dyDescent="0.25">
      <c r="A101" t="s">
        <v>42</v>
      </c>
      <c r="B101">
        <v>4</v>
      </c>
      <c r="C101">
        <v>3</v>
      </c>
      <c r="D101">
        <v>1</v>
      </c>
      <c r="E101">
        <v>5</v>
      </c>
      <c r="F101">
        <v>42</v>
      </c>
      <c r="G101">
        <v>137.75120000000001</v>
      </c>
      <c r="H101">
        <v>480</v>
      </c>
      <c r="I101">
        <v>1</v>
      </c>
      <c r="J101">
        <v>7</v>
      </c>
      <c r="K101">
        <v>0</v>
      </c>
      <c r="L101">
        <v>90</v>
      </c>
      <c r="M101">
        <v>15</v>
      </c>
      <c r="O101" s="3" t="s">
        <v>41</v>
      </c>
      <c r="P101" s="4">
        <v>0</v>
      </c>
      <c r="Q101" s="4">
        <v>1</v>
      </c>
      <c r="R101" s="4">
        <v>0</v>
      </c>
      <c r="S101" s="4">
        <v>0</v>
      </c>
      <c r="T101" s="4">
        <v>0</v>
      </c>
      <c r="U101" s="4">
        <v>27.787839999999999</v>
      </c>
      <c r="V101" s="4">
        <v>0</v>
      </c>
      <c r="W101" s="4">
        <v>1</v>
      </c>
      <c r="X101" s="4">
        <v>1</v>
      </c>
      <c r="Y101" s="4">
        <v>0</v>
      </c>
      <c r="Z101" s="4">
        <v>89</v>
      </c>
      <c r="AA101" s="5">
        <v>0</v>
      </c>
    </row>
    <row r="102" spans="1:27" x14ac:dyDescent="0.25">
      <c r="A102" t="s">
        <v>42</v>
      </c>
      <c r="B102">
        <v>0</v>
      </c>
      <c r="C102">
        <v>1</v>
      </c>
      <c r="D102">
        <v>0</v>
      </c>
      <c r="E102">
        <v>0</v>
      </c>
      <c r="F102">
        <v>0</v>
      </c>
      <c r="G102">
        <v>24.992799999999999</v>
      </c>
      <c r="H102">
        <v>40</v>
      </c>
      <c r="I102">
        <v>0</v>
      </c>
      <c r="J102">
        <v>1</v>
      </c>
      <c r="K102">
        <v>0</v>
      </c>
      <c r="L102">
        <v>24</v>
      </c>
      <c r="M102">
        <v>5</v>
      </c>
      <c r="O102" s="6" t="s">
        <v>41</v>
      </c>
      <c r="P102" s="7">
        <v>4</v>
      </c>
      <c r="Q102" s="7">
        <v>4</v>
      </c>
      <c r="R102" s="7">
        <v>1</v>
      </c>
      <c r="S102" s="7">
        <v>0</v>
      </c>
      <c r="T102" s="7">
        <v>0</v>
      </c>
      <c r="U102" s="7">
        <v>105.23099999999999</v>
      </c>
      <c r="V102" s="7">
        <v>634</v>
      </c>
      <c r="W102" s="7">
        <v>3</v>
      </c>
      <c r="X102" s="7">
        <v>4</v>
      </c>
      <c r="Y102" s="7">
        <v>11</v>
      </c>
      <c r="Z102" s="7">
        <v>138</v>
      </c>
      <c r="AA102" s="8">
        <v>0</v>
      </c>
    </row>
    <row r="103" spans="1:27" x14ac:dyDescent="0.25">
      <c r="A103" t="s">
        <v>42</v>
      </c>
      <c r="B103">
        <v>2</v>
      </c>
      <c r="C103">
        <v>4</v>
      </c>
      <c r="D103">
        <v>1</v>
      </c>
      <c r="E103">
        <v>0</v>
      </c>
      <c r="F103">
        <v>0</v>
      </c>
      <c r="G103">
        <v>45.712040000000002</v>
      </c>
      <c r="H103">
        <v>240</v>
      </c>
      <c r="I103">
        <v>0</v>
      </c>
      <c r="J103">
        <v>2</v>
      </c>
      <c r="K103">
        <v>0</v>
      </c>
      <c r="L103">
        <v>52</v>
      </c>
      <c r="M103">
        <v>11</v>
      </c>
      <c r="O103" s="3" t="s">
        <v>41</v>
      </c>
      <c r="P103" s="4">
        <v>3</v>
      </c>
      <c r="Q103" s="4">
        <v>4</v>
      </c>
      <c r="R103" s="4">
        <v>0</v>
      </c>
      <c r="S103" s="4">
        <v>3</v>
      </c>
      <c r="T103" s="4">
        <v>62</v>
      </c>
      <c r="U103" s="4">
        <v>192.2961</v>
      </c>
      <c r="V103" s="4">
        <v>800</v>
      </c>
      <c r="W103" s="4">
        <v>2</v>
      </c>
      <c r="X103" s="4">
        <v>4</v>
      </c>
      <c r="Y103" s="4">
        <v>13</v>
      </c>
      <c r="Z103" s="4">
        <v>283</v>
      </c>
      <c r="AA103" s="5">
        <v>45</v>
      </c>
    </row>
    <row r="104" spans="1:27" x14ac:dyDescent="0.25">
      <c r="A104" t="s">
        <v>42</v>
      </c>
      <c r="B104">
        <v>2</v>
      </c>
      <c r="C104">
        <v>4</v>
      </c>
      <c r="D104">
        <v>1</v>
      </c>
      <c r="E104">
        <v>0</v>
      </c>
      <c r="F104">
        <v>0</v>
      </c>
      <c r="G104">
        <v>51.373469999999998</v>
      </c>
      <c r="H104">
        <v>320</v>
      </c>
      <c r="I104">
        <v>0</v>
      </c>
      <c r="J104">
        <v>3</v>
      </c>
      <c r="K104">
        <v>0</v>
      </c>
      <c r="L104">
        <v>7</v>
      </c>
      <c r="M104">
        <v>9</v>
      </c>
      <c r="O104" s="10" t="s">
        <v>12</v>
      </c>
      <c r="P104" s="9">
        <f t="shared" ref="P104:AA104" si="3">AVERAGE(P80:P103)</f>
        <v>1.9166666666666667</v>
      </c>
      <c r="Q104" s="9">
        <f t="shared" si="3"/>
        <v>2.0416666666666665</v>
      </c>
      <c r="R104" s="9">
        <f t="shared" si="3"/>
        <v>0.125</v>
      </c>
      <c r="S104" s="9">
        <f t="shared" si="3"/>
        <v>2.2083333333333335</v>
      </c>
      <c r="T104" s="9">
        <f t="shared" si="3"/>
        <v>40.833333333333336</v>
      </c>
      <c r="U104" s="9">
        <f t="shared" si="3"/>
        <v>104.64313541666667</v>
      </c>
      <c r="V104" s="9">
        <f t="shared" si="3"/>
        <v>420.58333333333331</v>
      </c>
      <c r="W104" s="9">
        <f t="shared" si="3"/>
        <v>1.3333333333333333</v>
      </c>
      <c r="X104" s="9">
        <f t="shared" si="3"/>
        <v>2.9583333333333335</v>
      </c>
      <c r="Y104" s="9">
        <f t="shared" si="3"/>
        <v>6.125</v>
      </c>
      <c r="Z104" s="9">
        <f t="shared" si="3"/>
        <v>175.83333333333334</v>
      </c>
      <c r="AA104" s="9">
        <f t="shared" si="3"/>
        <v>5.625</v>
      </c>
    </row>
    <row r="105" spans="1:27" x14ac:dyDescent="0.25">
      <c r="A105" t="s">
        <v>42</v>
      </c>
      <c r="B105">
        <v>1</v>
      </c>
      <c r="C105">
        <v>4</v>
      </c>
      <c r="D105">
        <v>1</v>
      </c>
      <c r="E105">
        <v>0</v>
      </c>
      <c r="F105">
        <v>0</v>
      </c>
      <c r="G105">
        <v>31.669370000000001</v>
      </c>
      <c r="H105">
        <v>200</v>
      </c>
      <c r="I105">
        <v>0</v>
      </c>
      <c r="J105">
        <v>2</v>
      </c>
      <c r="K105">
        <v>0</v>
      </c>
      <c r="L105">
        <v>30</v>
      </c>
      <c r="M105">
        <v>8</v>
      </c>
      <c r="O105" s="6" t="s">
        <v>42</v>
      </c>
      <c r="P105" s="7">
        <v>2</v>
      </c>
      <c r="Q105" s="7">
        <v>2</v>
      </c>
      <c r="R105" s="7">
        <v>0</v>
      </c>
      <c r="S105" s="7">
        <v>0</v>
      </c>
      <c r="T105" s="7">
        <v>28</v>
      </c>
      <c r="U105" s="7">
        <v>81.502560000000003</v>
      </c>
      <c r="V105" s="7">
        <v>440</v>
      </c>
      <c r="W105" s="7">
        <v>0</v>
      </c>
      <c r="X105" s="7">
        <v>2</v>
      </c>
      <c r="Y105" s="7">
        <v>4</v>
      </c>
      <c r="Z105" s="7">
        <v>158</v>
      </c>
      <c r="AA105" s="8">
        <v>1</v>
      </c>
    </row>
    <row r="106" spans="1:27" x14ac:dyDescent="0.25">
      <c r="A106" t="s">
        <v>42</v>
      </c>
      <c r="B106">
        <v>2</v>
      </c>
      <c r="C106">
        <v>3</v>
      </c>
      <c r="D106">
        <v>1</v>
      </c>
      <c r="E106">
        <v>0</v>
      </c>
      <c r="F106">
        <v>0</v>
      </c>
      <c r="G106">
        <v>54.98462</v>
      </c>
      <c r="H106">
        <v>240</v>
      </c>
      <c r="I106">
        <v>0</v>
      </c>
      <c r="J106">
        <v>2</v>
      </c>
      <c r="K106">
        <v>0</v>
      </c>
      <c r="L106">
        <v>70</v>
      </c>
      <c r="M106">
        <v>16</v>
      </c>
      <c r="O106" s="3" t="s">
        <v>42</v>
      </c>
      <c r="P106" s="4">
        <v>11</v>
      </c>
      <c r="Q106" s="4">
        <v>4</v>
      </c>
      <c r="R106" s="4">
        <v>1</v>
      </c>
      <c r="S106" s="4">
        <v>0</v>
      </c>
      <c r="T106" s="4">
        <v>0</v>
      </c>
      <c r="U106" s="4">
        <v>189.07769999999999</v>
      </c>
      <c r="V106" s="4">
        <v>880</v>
      </c>
      <c r="W106" s="4">
        <v>0</v>
      </c>
      <c r="X106" s="4">
        <v>11</v>
      </c>
      <c r="Y106" s="4">
        <v>0</v>
      </c>
      <c r="Z106" s="4">
        <v>65</v>
      </c>
      <c r="AA106" s="5">
        <v>40</v>
      </c>
    </row>
    <row r="107" spans="1:27" x14ac:dyDescent="0.25">
      <c r="A107" t="s">
        <v>42</v>
      </c>
      <c r="B107">
        <v>1</v>
      </c>
      <c r="C107">
        <v>3</v>
      </c>
      <c r="D107">
        <v>1</v>
      </c>
      <c r="E107">
        <v>0</v>
      </c>
      <c r="F107">
        <v>0</v>
      </c>
      <c r="G107">
        <v>14.62903</v>
      </c>
      <c r="H107">
        <v>120</v>
      </c>
      <c r="I107">
        <v>0</v>
      </c>
      <c r="J107">
        <v>1</v>
      </c>
      <c r="K107">
        <v>0</v>
      </c>
      <c r="L107">
        <v>13</v>
      </c>
      <c r="M107">
        <v>3</v>
      </c>
      <c r="O107" s="6" t="s">
        <v>42</v>
      </c>
      <c r="P107" s="7">
        <v>5</v>
      </c>
      <c r="Q107" s="7">
        <v>4</v>
      </c>
      <c r="R107" s="7">
        <v>1</v>
      </c>
      <c r="S107" s="7">
        <v>1</v>
      </c>
      <c r="T107" s="7">
        <v>151</v>
      </c>
      <c r="U107" s="7">
        <v>129.83760000000001</v>
      </c>
      <c r="V107" s="7">
        <v>600</v>
      </c>
      <c r="W107" s="7">
        <v>4</v>
      </c>
      <c r="X107" s="7">
        <v>5</v>
      </c>
      <c r="Y107" s="7">
        <v>0</v>
      </c>
      <c r="Z107" s="7">
        <v>92</v>
      </c>
      <c r="AA107" s="8">
        <v>14</v>
      </c>
    </row>
    <row r="108" spans="1:27" x14ac:dyDescent="0.25">
      <c r="A108" t="s">
        <v>42</v>
      </c>
      <c r="B108">
        <v>1</v>
      </c>
      <c r="C108">
        <v>2</v>
      </c>
      <c r="D108">
        <v>1</v>
      </c>
      <c r="E108">
        <v>0</v>
      </c>
      <c r="F108">
        <v>0</v>
      </c>
      <c r="G108">
        <v>44.227229999999999</v>
      </c>
      <c r="H108">
        <v>200</v>
      </c>
      <c r="I108">
        <v>0</v>
      </c>
      <c r="J108">
        <v>2</v>
      </c>
      <c r="K108">
        <v>0</v>
      </c>
      <c r="L108">
        <v>100</v>
      </c>
      <c r="M108">
        <v>2</v>
      </c>
      <c r="O108" s="3" t="s">
        <v>42</v>
      </c>
      <c r="P108" s="4">
        <v>4</v>
      </c>
      <c r="Q108" s="4">
        <v>3</v>
      </c>
      <c r="R108" s="4">
        <v>1</v>
      </c>
      <c r="S108" s="4">
        <v>5</v>
      </c>
      <c r="T108" s="4">
        <v>42</v>
      </c>
      <c r="U108" s="4">
        <v>137.75120000000001</v>
      </c>
      <c r="V108" s="4">
        <v>480</v>
      </c>
      <c r="W108" s="4">
        <v>1</v>
      </c>
      <c r="X108" s="4">
        <v>7</v>
      </c>
      <c r="Y108" s="4">
        <v>0</v>
      </c>
      <c r="Z108" s="4">
        <v>90</v>
      </c>
      <c r="AA108" s="5">
        <v>15</v>
      </c>
    </row>
    <row r="109" spans="1:27" x14ac:dyDescent="0.25">
      <c r="A109" t="s">
        <v>42</v>
      </c>
      <c r="B109">
        <v>0</v>
      </c>
      <c r="C109">
        <v>1</v>
      </c>
      <c r="D109">
        <v>0</v>
      </c>
      <c r="E109">
        <v>0</v>
      </c>
      <c r="F109">
        <v>0</v>
      </c>
      <c r="G109">
        <v>51.050049999999999</v>
      </c>
      <c r="H109">
        <v>0</v>
      </c>
      <c r="I109">
        <v>0</v>
      </c>
      <c r="J109">
        <v>2</v>
      </c>
      <c r="K109">
        <v>0</v>
      </c>
      <c r="L109">
        <v>156</v>
      </c>
      <c r="M109">
        <v>0</v>
      </c>
      <c r="O109" s="6" t="s">
        <v>42</v>
      </c>
      <c r="P109" s="7">
        <v>0</v>
      </c>
      <c r="Q109" s="7">
        <v>1</v>
      </c>
      <c r="R109" s="7">
        <v>0</v>
      </c>
      <c r="S109" s="7">
        <v>0</v>
      </c>
      <c r="T109" s="7">
        <v>0</v>
      </c>
      <c r="U109" s="7">
        <v>24.992799999999999</v>
      </c>
      <c r="V109" s="7">
        <v>40</v>
      </c>
      <c r="W109" s="7">
        <v>0</v>
      </c>
      <c r="X109" s="7">
        <v>1</v>
      </c>
      <c r="Y109" s="7">
        <v>0</v>
      </c>
      <c r="Z109" s="7">
        <v>24</v>
      </c>
      <c r="AA109" s="8">
        <v>5</v>
      </c>
    </row>
    <row r="110" spans="1:27" x14ac:dyDescent="0.25">
      <c r="A110" t="s">
        <v>42</v>
      </c>
      <c r="B110">
        <v>2</v>
      </c>
      <c r="C110">
        <v>4</v>
      </c>
      <c r="D110">
        <v>1</v>
      </c>
      <c r="E110">
        <v>0</v>
      </c>
      <c r="F110">
        <v>0</v>
      </c>
      <c r="G110">
        <v>26.27216</v>
      </c>
      <c r="H110">
        <v>240</v>
      </c>
      <c r="I110">
        <v>0</v>
      </c>
      <c r="J110">
        <v>2</v>
      </c>
      <c r="K110">
        <v>0</v>
      </c>
      <c r="L110">
        <v>49</v>
      </c>
      <c r="M110">
        <v>2</v>
      </c>
      <c r="O110" s="3" t="s">
        <v>42</v>
      </c>
      <c r="P110" s="4">
        <v>2</v>
      </c>
      <c r="Q110" s="4">
        <v>4</v>
      </c>
      <c r="R110" s="4">
        <v>1</v>
      </c>
      <c r="S110" s="4">
        <v>0</v>
      </c>
      <c r="T110" s="4">
        <v>0</v>
      </c>
      <c r="U110" s="4">
        <v>45.712040000000002</v>
      </c>
      <c r="V110" s="4">
        <v>240</v>
      </c>
      <c r="W110" s="4">
        <v>0</v>
      </c>
      <c r="X110" s="4">
        <v>2</v>
      </c>
      <c r="Y110" s="4">
        <v>0</v>
      </c>
      <c r="Z110" s="4">
        <v>52</v>
      </c>
      <c r="AA110" s="5">
        <v>11</v>
      </c>
    </row>
    <row r="111" spans="1:27" x14ac:dyDescent="0.25">
      <c r="A111" t="s">
        <v>42</v>
      </c>
      <c r="B111">
        <v>1</v>
      </c>
      <c r="C111">
        <v>4</v>
      </c>
      <c r="D111">
        <v>1</v>
      </c>
      <c r="E111">
        <v>0</v>
      </c>
      <c r="F111">
        <v>0</v>
      </c>
      <c r="G111">
        <v>36.200130000000001</v>
      </c>
      <c r="H111">
        <v>120</v>
      </c>
      <c r="I111">
        <v>0</v>
      </c>
      <c r="J111">
        <v>1</v>
      </c>
      <c r="K111">
        <v>0</v>
      </c>
      <c r="L111">
        <v>37</v>
      </c>
      <c r="M111">
        <v>8</v>
      </c>
      <c r="O111" s="6" t="s">
        <v>42</v>
      </c>
      <c r="P111" s="7">
        <v>2</v>
      </c>
      <c r="Q111" s="7">
        <v>4</v>
      </c>
      <c r="R111" s="7">
        <v>1</v>
      </c>
      <c r="S111" s="7">
        <v>0</v>
      </c>
      <c r="T111" s="7">
        <v>0</v>
      </c>
      <c r="U111" s="7">
        <v>51.373469999999998</v>
      </c>
      <c r="V111" s="7">
        <v>320</v>
      </c>
      <c r="W111" s="7">
        <v>0</v>
      </c>
      <c r="X111" s="7">
        <v>3</v>
      </c>
      <c r="Y111" s="7">
        <v>0</v>
      </c>
      <c r="Z111" s="7">
        <v>7</v>
      </c>
      <c r="AA111" s="8">
        <v>9</v>
      </c>
    </row>
    <row r="112" spans="1:27" x14ac:dyDescent="0.25">
      <c r="A112" t="s">
        <v>42</v>
      </c>
      <c r="B112">
        <v>2</v>
      </c>
      <c r="C112">
        <v>3</v>
      </c>
      <c r="D112">
        <v>1</v>
      </c>
      <c r="E112">
        <v>0</v>
      </c>
      <c r="F112">
        <v>0</v>
      </c>
      <c r="G112">
        <v>60.023249999999997</v>
      </c>
      <c r="H112">
        <v>320</v>
      </c>
      <c r="I112">
        <v>0</v>
      </c>
      <c r="J112">
        <v>3</v>
      </c>
      <c r="K112">
        <v>0</v>
      </c>
      <c r="L112">
        <v>43</v>
      </c>
      <c r="M112">
        <v>20</v>
      </c>
      <c r="O112" s="3" t="s">
        <v>42</v>
      </c>
      <c r="P112" s="4">
        <v>1</v>
      </c>
      <c r="Q112" s="4">
        <v>4</v>
      </c>
      <c r="R112" s="4">
        <v>1</v>
      </c>
      <c r="S112" s="4">
        <v>0</v>
      </c>
      <c r="T112" s="4">
        <v>0</v>
      </c>
      <c r="U112" s="4">
        <v>31.669370000000001</v>
      </c>
      <c r="V112" s="4">
        <v>200</v>
      </c>
      <c r="W112" s="4">
        <v>0</v>
      </c>
      <c r="X112" s="4">
        <v>2</v>
      </c>
      <c r="Y112" s="4">
        <v>0</v>
      </c>
      <c r="Z112" s="4">
        <v>30</v>
      </c>
      <c r="AA112" s="5">
        <v>8</v>
      </c>
    </row>
    <row r="113" spans="1:27" x14ac:dyDescent="0.25">
      <c r="A113" t="s">
        <v>42</v>
      </c>
      <c r="B113">
        <v>1</v>
      </c>
      <c r="C113">
        <v>3</v>
      </c>
      <c r="D113">
        <v>1</v>
      </c>
      <c r="E113">
        <v>0</v>
      </c>
      <c r="F113">
        <v>0</v>
      </c>
      <c r="G113">
        <v>35.764040000000001</v>
      </c>
      <c r="H113">
        <v>100</v>
      </c>
      <c r="I113">
        <v>0</v>
      </c>
      <c r="J113">
        <v>1</v>
      </c>
      <c r="K113">
        <v>0</v>
      </c>
      <c r="L113">
        <v>11</v>
      </c>
      <c r="M113">
        <v>10</v>
      </c>
      <c r="O113" s="6" t="s">
        <v>42</v>
      </c>
      <c r="P113" s="7">
        <v>2</v>
      </c>
      <c r="Q113" s="7">
        <v>3</v>
      </c>
      <c r="R113" s="7">
        <v>1</v>
      </c>
      <c r="S113" s="7">
        <v>0</v>
      </c>
      <c r="T113" s="7">
        <v>0</v>
      </c>
      <c r="U113" s="7">
        <v>54.98462</v>
      </c>
      <c r="V113" s="7">
        <v>240</v>
      </c>
      <c r="W113" s="7">
        <v>0</v>
      </c>
      <c r="X113" s="7">
        <v>2</v>
      </c>
      <c r="Y113" s="7">
        <v>0</v>
      </c>
      <c r="Z113" s="7">
        <v>70</v>
      </c>
      <c r="AA113" s="8">
        <v>16</v>
      </c>
    </row>
    <row r="114" spans="1:27" x14ac:dyDescent="0.25">
      <c r="A114" t="s">
        <v>42</v>
      </c>
      <c r="B114">
        <v>0</v>
      </c>
      <c r="C114">
        <v>4</v>
      </c>
      <c r="D114">
        <v>1</v>
      </c>
      <c r="E114">
        <v>0</v>
      </c>
      <c r="F114">
        <v>0</v>
      </c>
      <c r="G114">
        <v>18.891719999999999</v>
      </c>
      <c r="H114">
        <v>80</v>
      </c>
      <c r="I114">
        <v>0</v>
      </c>
      <c r="J114">
        <v>1</v>
      </c>
      <c r="K114">
        <v>0</v>
      </c>
      <c r="L114">
        <v>5</v>
      </c>
      <c r="M114">
        <v>5</v>
      </c>
      <c r="O114" s="3" t="s">
        <v>42</v>
      </c>
      <c r="P114" s="4">
        <v>1</v>
      </c>
      <c r="Q114" s="4">
        <v>3</v>
      </c>
      <c r="R114" s="4">
        <v>1</v>
      </c>
      <c r="S114" s="4">
        <v>0</v>
      </c>
      <c r="T114" s="4">
        <v>0</v>
      </c>
      <c r="U114" s="4">
        <v>14.62903</v>
      </c>
      <c r="V114" s="4">
        <v>120</v>
      </c>
      <c r="W114" s="4">
        <v>0</v>
      </c>
      <c r="X114" s="4">
        <v>1</v>
      </c>
      <c r="Y114" s="4">
        <v>0</v>
      </c>
      <c r="Z114" s="4">
        <v>13</v>
      </c>
      <c r="AA114" s="5">
        <v>3</v>
      </c>
    </row>
    <row r="115" spans="1:27" x14ac:dyDescent="0.25">
      <c r="A115" t="s">
        <v>42</v>
      </c>
      <c r="B115">
        <v>1</v>
      </c>
      <c r="C115">
        <v>3</v>
      </c>
      <c r="D115">
        <v>1</v>
      </c>
      <c r="E115">
        <v>0</v>
      </c>
      <c r="F115">
        <v>0</v>
      </c>
      <c r="G115">
        <v>53.104370000000003</v>
      </c>
      <c r="H115">
        <v>120</v>
      </c>
      <c r="I115">
        <v>0</v>
      </c>
      <c r="J115">
        <v>1</v>
      </c>
      <c r="K115">
        <v>0</v>
      </c>
      <c r="L115">
        <v>50</v>
      </c>
      <c r="M115">
        <v>5</v>
      </c>
      <c r="O115" s="6" t="s">
        <v>42</v>
      </c>
      <c r="P115" s="7">
        <v>1</v>
      </c>
      <c r="Q115" s="7">
        <v>2</v>
      </c>
      <c r="R115" s="7">
        <v>1</v>
      </c>
      <c r="S115" s="7">
        <v>0</v>
      </c>
      <c r="T115" s="7">
        <v>0</v>
      </c>
      <c r="U115" s="7">
        <v>44.227229999999999</v>
      </c>
      <c r="V115" s="7">
        <v>200</v>
      </c>
      <c r="W115" s="7">
        <v>0</v>
      </c>
      <c r="X115" s="7">
        <v>2</v>
      </c>
      <c r="Y115" s="7">
        <v>0</v>
      </c>
      <c r="Z115" s="7">
        <v>100</v>
      </c>
      <c r="AA115" s="8">
        <v>2</v>
      </c>
    </row>
    <row r="116" spans="1:27" x14ac:dyDescent="0.25">
      <c r="A116" t="s">
        <v>42</v>
      </c>
      <c r="B116">
        <v>1</v>
      </c>
      <c r="C116">
        <v>3</v>
      </c>
      <c r="D116">
        <v>1</v>
      </c>
      <c r="E116">
        <v>0</v>
      </c>
      <c r="F116">
        <v>0</v>
      </c>
      <c r="G116">
        <v>24.749389999999998</v>
      </c>
      <c r="H116">
        <v>120</v>
      </c>
      <c r="I116">
        <v>0</v>
      </c>
      <c r="J116">
        <v>1</v>
      </c>
      <c r="K116">
        <v>0</v>
      </c>
      <c r="L116">
        <v>41</v>
      </c>
      <c r="M116">
        <v>2</v>
      </c>
      <c r="O116" s="3" t="s">
        <v>42</v>
      </c>
      <c r="P116" s="4">
        <v>0</v>
      </c>
      <c r="Q116" s="4">
        <v>1</v>
      </c>
      <c r="R116" s="4">
        <v>0</v>
      </c>
      <c r="S116" s="4">
        <v>0</v>
      </c>
      <c r="T116" s="4">
        <v>0</v>
      </c>
      <c r="U116" s="4">
        <v>51.050049999999999</v>
      </c>
      <c r="V116" s="4">
        <v>0</v>
      </c>
      <c r="W116" s="4">
        <v>0</v>
      </c>
      <c r="X116" s="4">
        <v>2</v>
      </c>
      <c r="Y116" s="4">
        <v>0</v>
      </c>
      <c r="Z116" s="4">
        <v>156</v>
      </c>
      <c r="AA116" s="5">
        <v>0</v>
      </c>
    </row>
    <row r="117" spans="1:27" x14ac:dyDescent="0.25">
      <c r="A117" t="s">
        <v>42</v>
      </c>
      <c r="B117">
        <v>1</v>
      </c>
      <c r="C117">
        <v>3</v>
      </c>
      <c r="D117">
        <v>1</v>
      </c>
      <c r="E117">
        <v>0</v>
      </c>
      <c r="F117">
        <v>0</v>
      </c>
      <c r="G117">
        <v>48.326540000000001</v>
      </c>
      <c r="H117">
        <v>120</v>
      </c>
      <c r="I117">
        <v>0</v>
      </c>
      <c r="J117">
        <v>1</v>
      </c>
      <c r="K117">
        <v>0</v>
      </c>
      <c r="L117">
        <v>46</v>
      </c>
      <c r="M117">
        <v>12</v>
      </c>
      <c r="O117" s="6" t="s">
        <v>42</v>
      </c>
      <c r="P117" s="7">
        <v>2</v>
      </c>
      <c r="Q117" s="7">
        <v>4</v>
      </c>
      <c r="R117" s="7">
        <v>1</v>
      </c>
      <c r="S117" s="7">
        <v>0</v>
      </c>
      <c r="T117" s="7">
        <v>0</v>
      </c>
      <c r="U117" s="7">
        <v>26.27216</v>
      </c>
      <c r="V117" s="7">
        <v>240</v>
      </c>
      <c r="W117" s="7">
        <v>0</v>
      </c>
      <c r="X117" s="7">
        <v>2</v>
      </c>
      <c r="Y117" s="7">
        <v>0</v>
      </c>
      <c r="Z117" s="7">
        <v>49</v>
      </c>
      <c r="AA117" s="8">
        <v>2</v>
      </c>
    </row>
    <row r="118" spans="1:27" x14ac:dyDescent="0.25">
      <c r="A118" t="s">
        <v>42</v>
      </c>
      <c r="B118">
        <v>0</v>
      </c>
      <c r="C118">
        <v>3</v>
      </c>
      <c r="D118">
        <v>1</v>
      </c>
      <c r="E118">
        <v>0</v>
      </c>
      <c r="F118">
        <v>0</v>
      </c>
      <c r="G118">
        <v>24.002929999999999</v>
      </c>
      <c r="H118">
        <v>80</v>
      </c>
      <c r="I118">
        <v>0</v>
      </c>
      <c r="J118">
        <v>1</v>
      </c>
      <c r="K118">
        <v>0</v>
      </c>
      <c r="L118">
        <v>15</v>
      </c>
      <c r="M118">
        <v>6</v>
      </c>
      <c r="O118" s="3" t="s">
        <v>42</v>
      </c>
      <c r="P118" s="4">
        <v>1</v>
      </c>
      <c r="Q118" s="4">
        <v>4</v>
      </c>
      <c r="R118" s="4">
        <v>1</v>
      </c>
      <c r="S118" s="4">
        <v>0</v>
      </c>
      <c r="T118" s="4">
        <v>0</v>
      </c>
      <c r="U118" s="4">
        <v>36.200130000000001</v>
      </c>
      <c r="V118" s="4">
        <v>120</v>
      </c>
      <c r="W118" s="4">
        <v>0</v>
      </c>
      <c r="X118" s="4">
        <v>1</v>
      </c>
      <c r="Y118" s="4">
        <v>0</v>
      </c>
      <c r="Z118" s="4">
        <v>37</v>
      </c>
      <c r="AA118" s="5">
        <v>8</v>
      </c>
    </row>
    <row r="119" spans="1:27" x14ac:dyDescent="0.25">
      <c r="A119" t="s">
        <v>42</v>
      </c>
      <c r="B119">
        <v>0</v>
      </c>
      <c r="C119">
        <v>1</v>
      </c>
      <c r="D119">
        <v>0</v>
      </c>
      <c r="E119">
        <v>0</v>
      </c>
      <c r="F119">
        <v>0</v>
      </c>
      <c r="G119">
        <v>57.33032</v>
      </c>
      <c r="H119">
        <v>0</v>
      </c>
      <c r="I119">
        <v>0</v>
      </c>
      <c r="J119">
        <v>1</v>
      </c>
      <c r="K119">
        <v>0</v>
      </c>
      <c r="L119">
        <v>98</v>
      </c>
      <c r="M119">
        <v>4</v>
      </c>
      <c r="O119" s="6" t="s">
        <v>42</v>
      </c>
      <c r="P119" s="7">
        <v>2</v>
      </c>
      <c r="Q119" s="7">
        <v>3</v>
      </c>
      <c r="R119" s="7">
        <v>1</v>
      </c>
      <c r="S119" s="7">
        <v>0</v>
      </c>
      <c r="T119" s="7">
        <v>0</v>
      </c>
      <c r="U119" s="7">
        <v>60.023249999999997</v>
      </c>
      <c r="V119" s="7">
        <v>320</v>
      </c>
      <c r="W119" s="7">
        <v>0</v>
      </c>
      <c r="X119" s="7">
        <v>3</v>
      </c>
      <c r="Y119" s="7">
        <v>0</v>
      </c>
      <c r="Z119" s="7">
        <v>43</v>
      </c>
      <c r="AA119" s="8">
        <v>20</v>
      </c>
    </row>
    <row r="120" spans="1:27" x14ac:dyDescent="0.25">
      <c r="A120" t="s">
        <v>42</v>
      </c>
      <c r="B120">
        <v>1</v>
      </c>
      <c r="C120">
        <v>3</v>
      </c>
      <c r="D120">
        <v>1</v>
      </c>
      <c r="E120">
        <v>0</v>
      </c>
      <c r="F120">
        <v>0</v>
      </c>
      <c r="G120">
        <v>35.540529999999997</v>
      </c>
      <c r="H120">
        <v>105</v>
      </c>
      <c r="I120">
        <v>0</v>
      </c>
      <c r="J120">
        <v>2</v>
      </c>
      <c r="K120">
        <v>0</v>
      </c>
      <c r="L120">
        <v>73</v>
      </c>
      <c r="M120">
        <v>0</v>
      </c>
      <c r="O120" s="3" t="s">
        <v>42</v>
      </c>
      <c r="P120" s="4">
        <v>1</v>
      </c>
      <c r="Q120" s="4">
        <v>3</v>
      </c>
      <c r="R120" s="4">
        <v>1</v>
      </c>
      <c r="S120" s="4">
        <v>0</v>
      </c>
      <c r="T120" s="4">
        <v>0</v>
      </c>
      <c r="U120" s="4">
        <v>35.764040000000001</v>
      </c>
      <c r="V120" s="4">
        <v>100</v>
      </c>
      <c r="W120" s="4">
        <v>0</v>
      </c>
      <c r="X120" s="4">
        <v>1</v>
      </c>
      <c r="Y120" s="4">
        <v>0</v>
      </c>
      <c r="Z120" s="4">
        <v>11</v>
      </c>
      <c r="AA120" s="5">
        <v>10</v>
      </c>
    </row>
    <row r="121" spans="1:27" x14ac:dyDescent="0.25">
      <c r="A121" t="s">
        <v>42</v>
      </c>
      <c r="B121">
        <v>1</v>
      </c>
      <c r="C121">
        <v>4</v>
      </c>
      <c r="D121">
        <v>1</v>
      </c>
      <c r="E121">
        <v>0</v>
      </c>
      <c r="F121">
        <v>0</v>
      </c>
      <c r="G121">
        <v>15.161379999999999</v>
      </c>
      <c r="H121">
        <v>120</v>
      </c>
      <c r="I121">
        <v>0</v>
      </c>
      <c r="J121">
        <v>1</v>
      </c>
      <c r="K121">
        <v>0</v>
      </c>
      <c r="L121">
        <v>27</v>
      </c>
      <c r="M121">
        <v>3</v>
      </c>
      <c r="O121" s="6" t="s">
        <v>42</v>
      </c>
      <c r="P121" s="7">
        <v>0</v>
      </c>
      <c r="Q121" s="7">
        <v>4</v>
      </c>
      <c r="R121" s="7">
        <v>1</v>
      </c>
      <c r="S121" s="7">
        <v>0</v>
      </c>
      <c r="T121" s="7">
        <v>0</v>
      </c>
      <c r="U121" s="7">
        <v>18.891719999999999</v>
      </c>
      <c r="V121" s="7">
        <v>80</v>
      </c>
      <c r="W121" s="7">
        <v>0</v>
      </c>
      <c r="X121" s="7">
        <v>1</v>
      </c>
      <c r="Y121" s="7">
        <v>0</v>
      </c>
      <c r="Z121" s="7">
        <v>5</v>
      </c>
      <c r="AA121" s="8">
        <v>5</v>
      </c>
    </row>
    <row r="122" spans="1:27" x14ac:dyDescent="0.25">
      <c r="A122" t="s">
        <v>43</v>
      </c>
      <c r="B122">
        <v>6</v>
      </c>
      <c r="C122">
        <v>3</v>
      </c>
      <c r="D122">
        <v>0</v>
      </c>
      <c r="E122">
        <v>3</v>
      </c>
      <c r="F122">
        <v>101</v>
      </c>
      <c r="G122">
        <v>494.5702</v>
      </c>
      <c r="H122">
        <v>1440</v>
      </c>
      <c r="I122">
        <v>0</v>
      </c>
      <c r="J122">
        <v>8</v>
      </c>
      <c r="K122">
        <v>18</v>
      </c>
      <c r="L122">
        <v>175</v>
      </c>
      <c r="M122">
        <v>5</v>
      </c>
      <c r="O122" s="3" t="s">
        <v>42</v>
      </c>
      <c r="P122" s="4">
        <v>1</v>
      </c>
      <c r="Q122" s="4">
        <v>3</v>
      </c>
      <c r="R122" s="4">
        <v>1</v>
      </c>
      <c r="S122" s="4">
        <v>0</v>
      </c>
      <c r="T122" s="4">
        <v>0</v>
      </c>
      <c r="U122" s="4">
        <v>53.104370000000003</v>
      </c>
      <c r="V122" s="4">
        <v>120</v>
      </c>
      <c r="W122" s="4">
        <v>0</v>
      </c>
      <c r="X122" s="4">
        <v>1</v>
      </c>
      <c r="Y122" s="4">
        <v>0</v>
      </c>
      <c r="Z122" s="4">
        <v>50</v>
      </c>
      <c r="AA122" s="5">
        <v>5</v>
      </c>
    </row>
    <row r="123" spans="1:27" x14ac:dyDescent="0.25">
      <c r="A123" t="s">
        <v>43</v>
      </c>
      <c r="B123">
        <v>2</v>
      </c>
      <c r="C123">
        <v>4</v>
      </c>
      <c r="D123">
        <v>1</v>
      </c>
      <c r="E123">
        <v>0</v>
      </c>
      <c r="F123">
        <v>0</v>
      </c>
      <c r="G123">
        <v>81.0976</v>
      </c>
      <c r="H123">
        <v>240</v>
      </c>
      <c r="I123">
        <v>0</v>
      </c>
      <c r="J123">
        <v>2</v>
      </c>
      <c r="K123">
        <v>2</v>
      </c>
      <c r="L123">
        <v>17</v>
      </c>
      <c r="M123">
        <v>1</v>
      </c>
      <c r="O123" s="6" t="s">
        <v>42</v>
      </c>
      <c r="P123" s="7">
        <v>1</v>
      </c>
      <c r="Q123" s="7">
        <v>3</v>
      </c>
      <c r="R123" s="7">
        <v>1</v>
      </c>
      <c r="S123" s="7">
        <v>0</v>
      </c>
      <c r="T123" s="7">
        <v>0</v>
      </c>
      <c r="U123" s="7">
        <v>24.749389999999998</v>
      </c>
      <c r="V123" s="7">
        <v>120</v>
      </c>
      <c r="W123" s="7">
        <v>0</v>
      </c>
      <c r="X123" s="7">
        <v>1</v>
      </c>
      <c r="Y123" s="7">
        <v>0</v>
      </c>
      <c r="Z123" s="7">
        <v>41</v>
      </c>
      <c r="AA123" s="8">
        <v>2</v>
      </c>
    </row>
    <row r="124" spans="1:27" x14ac:dyDescent="0.25">
      <c r="A124" t="s">
        <v>43</v>
      </c>
      <c r="B124">
        <v>6</v>
      </c>
      <c r="C124">
        <v>4</v>
      </c>
      <c r="D124">
        <v>1</v>
      </c>
      <c r="E124">
        <v>0</v>
      </c>
      <c r="F124">
        <v>0</v>
      </c>
      <c r="G124">
        <v>239.97550000000001</v>
      </c>
      <c r="H124">
        <v>720</v>
      </c>
      <c r="I124">
        <v>0</v>
      </c>
      <c r="J124">
        <v>6</v>
      </c>
      <c r="K124">
        <v>0</v>
      </c>
      <c r="L124">
        <v>39</v>
      </c>
      <c r="M124">
        <v>2</v>
      </c>
      <c r="O124" s="3" t="s">
        <v>42</v>
      </c>
      <c r="P124" s="4">
        <v>1</v>
      </c>
      <c r="Q124" s="4">
        <v>3</v>
      </c>
      <c r="R124" s="4">
        <v>1</v>
      </c>
      <c r="S124" s="4">
        <v>0</v>
      </c>
      <c r="T124" s="4">
        <v>0</v>
      </c>
      <c r="U124" s="4">
        <v>48.326540000000001</v>
      </c>
      <c r="V124" s="4">
        <v>120</v>
      </c>
      <c r="W124" s="4">
        <v>0</v>
      </c>
      <c r="X124" s="4">
        <v>1</v>
      </c>
      <c r="Y124" s="4">
        <v>0</v>
      </c>
      <c r="Z124" s="4">
        <v>46</v>
      </c>
      <c r="AA124" s="5">
        <v>12</v>
      </c>
    </row>
    <row r="125" spans="1:27" x14ac:dyDescent="0.25">
      <c r="A125" t="s">
        <v>43</v>
      </c>
      <c r="B125">
        <v>8</v>
      </c>
      <c r="C125">
        <v>4</v>
      </c>
      <c r="D125">
        <v>1</v>
      </c>
      <c r="E125">
        <v>0</v>
      </c>
      <c r="F125">
        <v>0</v>
      </c>
      <c r="G125">
        <v>397.62540000000001</v>
      </c>
      <c r="H125">
        <v>1400</v>
      </c>
      <c r="I125">
        <v>0</v>
      </c>
      <c r="J125">
        <v>9</v>
      </c>
      <c r="K125">
        <v>11</v>
      </c>
      <c r="L125">
        <v>80</v>
      </c>
      <c r="M125">
        <v>2</v>
      </c>
      <c r="O125" s="6" t="s">
        <v>42</v>
      </c>
      <c r="P125" s="7">
        <v>0</v>
      </c>
      <c r="Q125" s="7">
        <v>3</v>
      </c>
      <c r="R125" s="7">
        <v>1</v>
      </c>
      <c r="S125" s="7">
        <v>0</v>
      </c>
      <c r="T125" s="7">
        <v>0</v>
      </c>
      <c r="U125" s="7">
        <v>24.002929999999999</v>
      </c>
      <c r="V125" s="7">
        <v>80</v>
      </c>
      <c r="W125" s="7">
        <v>0</v>
      </c>
      <c r="X125" s="7">
        <v>1</v>
      </c>
      <c r="Y125" s="7">
        <v>0</v>
      </c>
      <c r="Z125" s="7">
        <v>15</v>
      </c>
      <c r="AA125" s="8">
        <v>6</v>
      </c>
    </row>
    <row r="126" spans="1:27" x14ac:dyDescent="0.25">
      <c r="A126" t="s">
        <v>43</v>
      </c>
      <c r="B126">
        <v>0</v>
      </c>
      <c r="C126">
        <v>1</v>
      </c>
      <c r="D126">
        <v>0</v>
      </c>
      <c r="E126">
        <v>0</v>
      </c>
      <c r="F126">
        <v>0</v>
      </c>
      <c r="G126">
        <v>62.5426</v>
      </c>
      <c r="H126">
        <v>160</v>
      </c>
      <c r="I126">
        <v>0</v>
      </c>
      <c r="J126">
        <v>1</v>
      </c>
      <c r="K126">
        <v>3</v>
      </c>
      <c r="L126">
        <v>20</v>
      </c>
      <c r="M126">
        <v>0</v>
      </c>
      <c r="O126" s="3" t="s">
        <v>42</v>
      </c>
      <c r="P126" s="4">
        <v>0</v>
      </c>
      <c r="Q126" s="4">
        <v>1</v>
      </c>
      <c r="R126" s="4">
        <v>0</v>
      </c>
      <c r="S126" s="4">
        <v>0</v>
      </c>
      <c r="T126" s="4">
        <v>0</v>
      </c>
      <c r="U126" s="4">
        <v>57.33032</v>
      </c>
      <c r="V126" s="4">
        <v>0</v>
      </c>
      <c r="W126" s="4">
        <v>0</v>
      </c>
      <c r="X126" s="4">
        <v>1</v>
      </c>
      <c r="Y126" s="4">
        <v>0</v>
      </c>
      <c r="Z126" s="4">
        <v>98</v>
      </c>
      <c r="AA126" s="5">
        <v>4</v>
      </c>
    </row>
    <row r="127" spans="1:27" x14ac:dyDescent="0.25">
      <c r="A127" t="s">
        <v>43</v>
      </c>
      <c r="B127">
        <v>5</v>
      </c>
      <c r="C127">
        <v>3</v>
      </c>
      <c r="D127">
        <v>1</v>
      </c>
      <c r="E127">
        <v>5</v>
      </c>
      <c r="F127">
        <v>196</v>
      </c>
      <c r="G127">
        <v>244.63990000000001</v>
      </c>
      <c r="H127">
        <v>1240</v>
      </c>
      <c r="I127">
        <v>0</v>
      </c>
      <c r="J127">
        <v>6</v>
      </c>
      <c r="K127">
        <v>14</v>
      </c>
      <c r="L127">
        <v>70</v>
      </c>
      <c r="M127">
        <v>0</v>
      </c>
      <c r="O127" s="6" t="s">
        <v>42</v>
      </c>
      <c r="P127" s="7">
        <v>1</v>
      </c>
      <c r="Q127" s="7">
        <v>3</v>
      </c>
      <c r="R127" s="7">
        <v>1</v>
      </c>
      <c r="S127" s="7">
        <v>0</v>
      </c>
      <c r="T127" s="7">
        <v>0</v>
      </c>
      <c r="U127" s="7">
        <v>35.540529999999997</v>
      </c>
      <c r="V127" s="7">
        <v>105</v>
      </c>
      <c r="W127" s="7">
        <v>0</v>
      </c>
      <c r="X127" s="7">
        <v>2</v>
      </c>
      <c r="Y127" s="7">
        <v>0</v>
      </c>
      <c r="Z127" s="7">
        <v>73</v>
      </c>
      <c r="AA127" s="8">
        <v>0</v>
      </c>
    </row>
    <row r="128" spans="1:27" x14ac:dyDescent="0.25">
      <c r="A128" t="s">
        <v>43</v>
      </c>
      <c r="B128">
        <v>6</v>
      </c>
      <c r="C128">
        <v>4</v>
      </c>
      <c r="D128">
        <v>1</v>
      </c>
      <c r="E128">
        <v>13</v>
      </c>
      <c r="F128">
        <v>389</v>
      </c>
      <c r="G128">
        <v>275.69909999999999</v>
      </c>
      <c r="H128">
        <v>1200</v>
      </c>
      <c r="I128">
        <v>1</v>
      </c>
      <c r="J128">
        <v>7</v>
      </c>
      <c r="K128">
        <v>14</v>
      </c>
      <c r="L128">
        <v>74</v>
      </c>
      <c r="M128">
        <v>3</v>
      </c>
      <c r="O128" s="3" t="s">
        <v>42</v>
      </c>
      <c r="P128" s="4">
        <v>1</v>
      </c>
      <c r="Q128" s="4">
        <v>4</v>
      </c>
      <c r="R128" s="4">
        <v>1</v>
      </c>
      <c r="S128" s="4">
        <v>0</v>
      </c>
      <c r="T128" s="4">
        <v>0</v>
      </c>
      <c r="U128" s="4">
        <v>15.161379999999999</v>
      </c>
      <c r="V128" s="4">
        <v>120</v>
      </c>
      <c r="W128" s="4">
        <v>0</v>
      </c>
      <c r="X128" s="4">
        <v>1</v>
      </c>
      <c r="Y128" s="4">
        <v>0</v>
      </c>
      <c r="Z128" s="4">
        <v>27</v>
      </c>
      <c r="AA128" s="5">
        <v>3</v>
      </c>
    </row>
    <row r="129" spans="1:27" x14ac:dyDescent="0.25">
      <c r="A129" t="s">
        <v>43</v>
      </c>
      <c r="B129">
        <v>0</v>
      </c>
      <c r="C129">
        <v>1</v>
      </c>
      <c r="D129">
        <v>0</v>
      </c>
      <c r="E129">
        <v>0</v>
      </c>
      <c r="F129">
        <v>0</v>
      </c>
      <c r="G129">
        <v>96.171880000000002</v>
      </c>
      <c r="H129">
        <v>200</v>
      </c>
      <c r="I129">
        <v>0</v>
      </c>
      <c r="J129">
        <v>2</v>
      </c>
      <c r="K129">
        <v>4</v>
      </c>
      <c r="L129">
        <v>38</v>
      </c>
      <c r="M129">
        <v>0</v>
      </c>
      <c r="O129" s="10" t="s">
        <v>12</v>
      </c>
      <c r="P129" s="9">
        <f t="shared" ref="P129:AA129" si="4">AVERAGE(P105:P128)</f>
        <v>1.75</v>
      </c>
      <c r="Q129" s="9">
        <f t="shared" si="4"/>
        <v>3.0416666666666665</v>
      </c>
      <c r="R129" s="9">
        <f t="shared" si="4"/>
        <v>0.83333333333333337</v>
      </c>
      <c r="S129" s="9">
        <f t="shared" si="4"/>
        <v>0.25</v>
      </c>
      <c r="T129" s="9">
        <f t="shared" si="4"/>
        <v>9.2083333333333339</v>
      </c>
      <c r="U129" s="9">
        <f t="shared" si="4"/>
        <v>53.840601249999999</v>
      </c>
      <c r="V129" s="9">
        <f t="shared" si="4"/>
        <v>220.20833333333334</v>
      </c>
      <c r="W129" s="9">
        <f t="shared" si="4"/>
        <v>0.20833333333333334</v>
      </c>
      <c r="X129" s="9">
        <f t="shared" si="4"/>
        <v>2.3333333333333335</v>
      </c>
      <c r="Y129" s="9">
        <f t="shared" si="4"/>
        <v>0.16666666666666666</v>
      </c>
      <c r="Z129" s="9">
        <f t="shared" si="4"/>
        <v>56.333333333333336</v>
      </c>
      <c r="AA129" s="9">
        <f t="shared" si="4"/>
        <v>8.375</v>
      </c>
    </row>
    <row r="130" spans="1:27" x14ac:dyDescent="0.25">
      <c r="A130" t="s">
        <v>43</v>
      </c>
      <c r="B130">
        <v>1</v>
      </c>
      <c r="C130">
        <v>3</v>
      </c>
      <c r="D130">
        <v>1</v>
      </c>
      <c r="E130">
        <v>3</v>
      </c>
      <c r="F130">
        <v>154</v>
      </c>
      <c r="G130">
        <v>51.259889999999999</v>
      </c>
      <c r="H130">
        <v>400</v>
      </c>
      <c r="I130">
        <v>0</v>
      </c>
      <c r="J130">
        <v>2</v>
      </c>
      <c r="K130">
        <v>5</v>
      </c>
      <c r="L130">
        <v>12</v>
      </c>
      <c r="M130">
        <v>0</v>
      </c>
      <c r="O130" s="6" t="s">
        <v>43</v>
      </c>
      <c r="P130" s="7">
        <v>6</v>
      </c>
      <c r="Q130" s="7">
        <v>3</v>
      </c>
      <c r="R130" s="7">
        <v>0</v>
      </c>
      <c r="S130" s="7">
        <v>3</v>
      </c>
      <c r="T130" s="7">
        <v>101</v>
      </c>
      <c r="U130" s="7">
        <v>494.5702</v>
      </c>
      <c r="V130" s="7">
        <v>1440</v>
      </c>
      <c r="W130" s="7">
        <v>0</v>
      </c>
      <c r="X130" s="7">
        <v>8</v>
      </c>
      <c r="Y130" s="7">
        <v>18</v>
      </c>
      <c r="Z130" s="7">
        <v>175</v>
      </c>
      <c r="AA130" s="8">
        <v>5</v>
      </c>
    </row>
    <row r="131" spans="1:27" x14ac:dyDescent="0.25">
      <c r="A131" t="s">
        <v>43</v>
      </c>
      <c r="B131">
        <v>1</v>
      </c>
      <c r="C131">
        <v>1</v>
      </c>
      <c r="D131">
        <v>0</v>
      </c>
      <c r="E131">
        <v>1</v>
      </c>
      <c r="F131">
        <v>31</v>
      </c>
      <c r="G131">
        <v>185.50290000000001</v>
      </c>
      <c r="H131">
        <v>360</v>
      </c>
      <c r="I131">
        <v>0</v>
      </c>
      <c r="J131">
        <v>2</v>
      </c>
      <c r="K131">
        <v>5</v>
      </c>
      <c r="L131">
        <v>59</v>
      </c>
      <c r="M131">
        <v>1</v>
      </c>
      <c r="O131" s="3" t="s">
        <v>43</v>
      </c>
      <c r="P131" s="4">
        <v>2</v>
      </c>
      <c r="Q131" s="4">
        <v>4</v>
      </c>
      <c r="R131" s="4">
        <v>1</v>
      </c>
      <c r="S131" s="4">
        <v>0</v>
      </c>
      <c r="T131" s="4">
        <v>0</v>
      </c>
      <c r="U131" s="4">
        <v>81.0976</v>
      </c>
      <c r="V131" s="4">
        <v>240</v>
      </c>
      <c r="W131" s="4">
        <v>0</v>
      </c>
      <c r="X131" s="4">
        <v>2</v>
      </c>
      <c r="Y131" s="4">
        <v>2</v>
      </c>
      <c r="Z131" s="4">
        <v>17</v>
      </c>
      <c r="AA131" s="5">
        <v>1</v>
      </c>
    </row>
    <row r="132" spans="1:27" x14ac:dyDescent="0.25">
      <c r="A132" t="s">
        <v>43</v>
      </c>
      <c r="B132">
        <v>3</v>
      </c>
      <c r="C132">
        <v>4</v>
      </c>
      <c r="D132">
        <v>1</v>
      </c>
      <c r="E132">
        <v>2</v>
      </c>
      <c r="F132">
        <v>72</v>
      </c>
      <c r="G132">
        <v>148.99459999999999</v>
      </c>
      <c r="H132">
        <v>840</v>
      </c>
      <c r="I132">
        <v>0</v>
      </c>
      <c r="J132">
        <v>5</v>
      </c>
      <c r="K132">
        <v>9</v>
      </c>
      <c r="L132">
        <v>40</v>
      </c>
      <c r="M132">
        <v>0</v>
      </c>
      <c r="O132" s="6" t="s">
        <v>43</v>
      </c>
      <c r="P132" s="7">
        <v>6</v>
      </c>
      <c r="Q132" s="7">
        <v>4</v>
      </c>
      <c r="R132" s="7">
        <v>1</v>
      </c>
      <c r="S132" s="7">
        <v>0</v>
      </c>
      <c r="T132" s="7">
        <v>0</v>
      </c>
      <c r="U132" s="7">
        <v>239.97550000000001</v>
      </c>
      <c r="V132" s="7">
        <v>720</v>
      </c>
      <c r="W132" s="7">
        <v>0</v>
      </c>
      <c r="X132" s="7">
        <v>6</v>
      </c>
      <c r="Y132" s="7">
        <v>0</v>
      </c>
      <c r="Z132" s="7">
        <v>39</v>
      </c>
      <c r="AA132" s="8">
        <v>2</v>
      </c>
    </row>
    <row r="133" spans="1:27" x14ac:dyDescent="0.25">
      <c r="A133" t="s">
        <v>43</v>
      </c>
      <c r="B133">
        <v>0</v>
      </c>
      <c r="C133">
        <v>2</v>
      </c>
      <c r="D133">
        <v>0</v>
      </c>
      <c r="E133">
        <v>0</v>
      </c>
      <c r="F133">
        <v>0</v>
      </c>
      <c r="G133">
        <v>75.476320000000001</v>
      </c>
      <c r="H133">
        <v>0</v>
      </c>
      <c r="I133">
        <v>1</v>
      </c>
      <c r="J133">
        <v>2</v>
      </c>
      <c r="K133">
        <v>0</v>
      </c>
      <c r="L133">
        <v>34</v>
      </c>
      <c r="M133">
        <v>0</v>
      </c>
      <c r="O133" s="3" t="s">
        <v>43</v>
      </c>
      <c r="P133" s="4">
        <v>8</v>
      </c>
      <c r="Q133" s="4">
        <v>4</v>
      </c>
      <c r="R133" s="4">
        <v>1</v>
      </c>
      <c r="S133" s="4">
        <v>0</v>
      </c>
      <c r="T133" s="4">
        <v>0</v>
      </c>
      <c r="U133" s="4">
        <v>397.62540000000001</v>
      </c>
      <c r="V133" s="4">
        <v>1400</v>
      </c>
      <c r="W133" s="4">
        <v>0</v>
      </c>
      <c r="X133" s="4">
        <v>9</v>
      </c>
      <c r="Y133" s="4">
        <v>11</v>
      </c>
      <c r="Z133" s="4">
        <v>80</v>
      </c>
      <c r="AA133" s="5">
        <v>2</v>
      </c>
    </row>
    <row r="134" spans="1:27" x14ac:dyDescent="0.25">
      <c r="A134" t="s">
        <v>43</v>
      </c>
      <c r="B134">
        <v>4</v>
      </c>
      <c r="C134">
        <v>3</v>
      </c>
      <c r="D134">
        <v>1</v>
      </c>
      <c r="E134">
        <v>0</v>
      </c>
      <c r="F134">
        <v>0</v>
      </c>
      <c r="G134">
        <v>93.508300000000006</v>
      </c>
      <c r="H134">
        <v>560</v>
      </c>
      <c r="I134">
        <v>0</v>
      </c>
      <c r="J134">
        <v>5</v>
      </c>
      <c r="K134">
        <v>4</v>
      </c>
      <c r="L134">
        <v>23</v>
      </c>
      <c r="M134">
        <v>0</v>
      </c>
      <c r="O134" s="6" t="s">
        <v>43</v>
      </c>
      <c r="P134" s="7">
        <v>0</v>
      </c>
      <c r="Q134" s="7">
        <v>1</v>
      </c>
      <c r="R134" s="7">
        <v>0</v>
      </c>
      <c r="S134" s="7">
        <v>0</v>
      </c>
      <c r="T134" s="7">
        <v>0</v>
      </c>
      <c r="U134" s="7">
        <v>62.5426</v>
      </c>
      <c r="V134" s="7">
        <v>160</v>
      </c>
      <c r="W134" s="7">
        <v>0</v>
      </c>
      <c r="X134" s="7">
        <v>1</v>
      </c>
      <c r="Y134" s="7">
        <v>3</v>
      </c>
      <c r="Z134" s="7">
        <v>20</v>
      </c>
      <c r="AA134" s="8">
        <v>0</v>
      </c>
    </row>
    <row r="135" spans="1:27" x14ac:dyDescent="0.25">
      <c r="A135" t="s">
        <v>43</v>
      </c>
      <c r="B135">
        <v>2</v>
      </c>
      <c r="C135">
        <v>3</v>
      </c>
      <c r="D135">
        <v>1</v>
      </c>
      <c r="E135">
        <v>1</v>
      </c>
      <c r="F135">
        <v>23</v>
      </c>
      <c r="G135">
        <v>92.331540000000004</v>
      </c>
      <c r="H135">
        <v>360</v>
      </c>
      <c r="I135">
        <v>0</v>
      </c>
      <c r="J135">
        <v>3</v>
      </c>
      <c r="K135">
        <v>3</v>
      </c>
      <c r="L135">
        <v>18</v>
      </c>
      <c r="M135">
        <v>0</v>
      </c>
      <c r="O135" s="3" t="s">
        <v>43</v>
      </c>
      <c r="P135" s="4">
        <v>5</v>
      </c>
      <c r="Q135" s="4">
        <v>3</v>
      </c>
      <c r="R135" s="4">
        <v>1</v>
      </c>
      <c r="S135" s="4">
        <v>5</v>
      </c>
      <c r="T135" s="4">
        <v>196</v>
      </c>
      <c r="U135" s="4">
        <v>244.63990000000001</v>
      </c>
      <c r="V135" s="4">
        <v>1240</v>
      </c>
      <c r="W135" s="4">
        <v>0</v>
      </c>
      <c r="X135" s="4">
        <v>6</v>
      </c>
      <c r="Y135" s="4">
        <v>14</v>
      </c>
      <c r="Z135" s="4">
        <v>70</v>
      </c>
      <c r="AA135" s="5">
        <v>0</v>
      </c>
    </row>
    <row r="136" spans="1:27" x14ac:dyDescent="0.25">
      <c r="A136" t="s">
        <v>43</v>
      </c>
      <c r="B136">
        <v>1</v>
      </c>
      <c r="C136">
        <v>1</v>
      </c>
      <c r="D136">
        <v>0</v>
      </c>
      <c r="E136">
        <v>0</v>
      </c>
      <c r="F136">
        <v>0</v>
      </c>
      <c r="G136">
        <v>68.506100000000004</v>
      </c>
      <c r="H136">
        <v>160</v>
      </c>
      <c r="I136">
        <v>0</v>
      </c>
      <c r="J136">
        <v>2</v>
      </c>
      <c r="K136">
        <v>2</v>
      </c>
      <c r="L136">
        <v>16</v>
      </c>
      <c r="M136">
        <v>0</v>
      </c>
      <c r="O136" s="6" t="s">
        <v>43</v>
      </c>
      <c r="P136" s="7">
        <v>6</v>
      </c>
      <c r="Q136" s="7">
        <v>4</v>
      </c>
      <c r="R136" s="7">
        <v>1</v>
      </c>
      <c r="S136" s="7">
        <v>13</v>
      </c>
      <c r="T136" s="7">
        <v>389</v>
      </c>
      <c r="U136" s="7">
        <v>275.69909999999999</v>
      </c>
      <c r="V136" s="7">
        <v>1200</v>
      </c>
      <c r="W136" s="7">
        <v>1</v>
      </c>
      <c r="X136" s="7">
        <v>7</v>
      </c>
      <c r="Y136" s="7">
        <v>14</v>
      </c>
      <c r="Z136" s="7">
        <v>74</v>
      </c>
      <c r="AA136" s="8">
        <v>3</v>
      </c>
    </row>
    <row r="137" spans="1:27" x14ac:dyDescent="0.25">
      <c r="A137" t="s">
        <v>43</v>
      </c>
      <c r="B137">
        <v>0</v>
      </c>
      <c r="C137">
        <v>2</v>
      </c>
      <c r="D137">
        <v>0</v>
      </c>
      <c r="E137">
        <v>0</v>
      </c>
      <c r="F137">
        <v>0</v>
      </c>
      <c r="G137">
        <v>97.129149999999996</v>
      </c>
      <c r="H137">
        <v>160</v>
      </c>
      <c r="I137">
        <v>0</v>
      </c>
      <c r="J137">
        <v>1</v>
      </c>
      <c r="K137">
        <v>4</v>
      </c>
      <c r="L137">
        <v>35</v>
      </c>
      <c r="M137">
        <v>0</v>
      </c>
      <c r="O137" s="3" t="s">
        <v>43</v>
      </c>
      <c r="P137" s="4">
        <v>0</v>
      </c>
      <c r="Q137" s="4">
        <v>1</v>
      </c>
      <c r="R137" s="4">
        <v>0</v>
      </c>
      <c r="S137" s="4">
        <v>0</v>
      </c>
      <c r="T137" s="4">
        <v>0</v>
      </c>
      <c r="U137" s="4">
        <v>96.171880000000002</v>
      </c>
      <c r="V137" s="4">
        <v>200</v>
      </c>
      <c r="W137" s="4">
        <v>0</v>
      </c>
      <c r="X137" s="4">
        <v>2</v>
      </c>
      <c r="Y137" s="4">
        <v>4</v>
      </c>
      <c r="Z137" s="4">
        <v>38</v>
      </c>
      <c r="AA137" s="5">
        <v>0</v>
      </c>
    </row>
    <row r="138" spans="1:27" x14ac:dyDescent="0.25">
      <c r="A138" t="s">
        <v>43</v>
      </c>
      <c r="B138">
        <v>2</v>
      </c>
      <c r="C138">
        <v>3</v>
      </c>
      <c r="D138">
        <v>1</v>
      </c>
      <c r="E138">
        <v>0</v>
      </c>
      <c r="F138">
        <v>0</v>
      </c>
      <c r="G138">
        <v>72.760009999999994</v>
      </c>
      <c r="H138">
        <v>480</v>
      </c>
      <c r="I138">
        <v>0</v>
      </c>
      <c r="J138">
        <v>2</v>
      </c>
      <c r="K138">
        <v>12</v>
      </c>
      <c r="L138">
        <v>26</v>
      </c>
      <c r="M138">
        <v>0</v>
      </c>
      <c r="O138" s="6" t="s">
        <v>43</v>
      </c>
      <c r="P138" s="7">
        <v>1</v>
      </c>
      <c r="Q138" s="7">
        <v>3</v>
      </c>
      <c r="R138" s="7">
        <v>1</v>
      </c>
      <c r="S138" s="7">
        <v>3</v>
      </c>
      <c r="T138" s="7">
        <v>154</v>
      </c>
      <c r="U138" s="7">
        <v>51.259889999999999</v>
      </c>
      <c r="V138" s="7">
        <v>400</v>
      </c>
      <c r="W138" s="7">
        <v>0</v>
      </c>
      <c r="X138" s="7">
        <v>2</v>
      </c>
      <c r="Y138" s="7">
        <v>5</v>
      </c>
      <c r="Z138" s="7">
        <v>12</v>
      </c>
      <c r="AA138" s="8">
        <v>0</v>
      </c>
    </row>
    <row r="139" spans="1:27" x14ac:dyDescent="0.25">
      <c r="A139" t="s">
        <v>43</v>
      </c>
      <c r="B139">
        <v>1</v>
      </c>
      <c r="C139">
        <v>2</v>
      </c>
      <c r="D139">
        <v>0</v>
      </c>
      <c r="E139">
        <v>0</v>
      </c>
      <c r="F139">
        <v>0</v>
      </c>
      <c r="G139">
        <v>176.8579</v>
      </c>
      <c r="H139">
        <v>600</v>
      </c>
      <c r="I139">
        <v>0</v>
      </c>
      <c r="J139">
        <v>2</v>
      </c>
      <c r="K139">
        <v>10</v>
      </c>
      <c r="L139">
        <v>47</v>
      </c>
      <c r="M139">
        <v>0</v>
      </c>
      <c r="O139" s="3" t="s">
        <v>43</v>
      </c>
      <c r="P139" s="4">
        <v>1</v>
      </c>
      <c r="Q139" s="4">
        <v>1</v>
      </c>
      <c r="R139" s="4">
        <v>0</v>
      </c>
      <c r="S139" s="4">
        <v>1</v>
      </c>
      <c r="T139" s="4">
        <v>31</v>
      </c>
      <c r="U139" s="4">
        <v>185.50290000000001</v>
      </c>
      <c r="V139" s="4">
        <v>360</v>
      </c>
      <c r="W139" s="4">
        <v>0</v>
      </c>
      <c r="X139" s="4">
        <v>2</v>
      </c>
      <c r="Y139" s="4">
        <v>5</v>
      </c>
      <c r="Z139" s="4">
        <v>59</v>
      </c>
      <c r="AA139" s="5">
        <v>1</v>
      </c>
    </row>
    <row r="140" spans="1:27" x14ac:dyDescent="0.25">
      <c r="A140" t="s">
        <v>43</v>
      </c>
      <c r="B140">
        <v>3</v>
      </c>
      <c r="C140">
        <v>4</v>
      </c>
      <c r="D140">
        <v>1</v>
      </c>
      <c r="E140">
        <v>0</v>
      </c>
      <c r="F140">
        <v>0</v>
      </c>
      <c r="G140">
        <v>39.94312</v>
      </c>
      <c r="H140">
        <v>360</v>
      </c>
      <c r="I140">
        <v>0</v>
      </c>
      <c r="J140">
        <v>4</v>
      </c>
      <c r="K140">
        <v>1</v>
      </c>
      <c r="L140">
        <v>11</v>
      </c>
      <c r="M140">
        <v>1</v>
      </c>
      <c r="O140" s="6" t="s">
        <v>43</v>
      </c>
      <c r="P140" s="7">
        <v>3</v>
      </c>
      <c r="Q140" s="7">
        <v>4</v>
      </c>
      <c r="R140" s="7">
        <v>1</v>
      </c>
      <c r="S140" s="7">
        <v>2</v>
      </c>
      <c r="T140" s="7">
        <v>72</v>
      </c>
      <c r="U140" s="7">
        <v>148.99459999999999</v>
      </c>
      <c r="V140" s="7">
        <v>840</v>
      </c>
      <c r="W140" s="7">
        <v>0</v>
      </c>
      <c r="X140" s="7">
        <v>5</v>
      </c>
      <c r="Y140" s="7">
        <v>9</v>
      </c>
      <c r="Z140" s="7">
        <v>40</v>
      </c>
      <c r="AA140" s="8">
        <v>0</v>
      </c>
    </row>
    <row r="141" spans="1:27" x14ac:dyDescent="0.25">
      <c r="A141" t="s">
        <v>43</v>
      </c>
      <c r="B141">
        <v>2</v>
      </c>
      <c r="C141">
        <v>3</v>
      </c>
      <c r="D141">
        <v>1</v>
      </c>
      <c r="E141">
        <v>0</v>
      </c>
      <c r="F141">
        <v>0</v>
      </c>
      <c r="G141">
        <v>65.186279999999996</v>
      </c>
      <c r="H141">
        <v>320</v>
      </c>
      <c r="I141">
        <v>0</v>
      </c>
      <c r="J141">
        <v>2</v>
      </c>
      <c r="K141">
        <v>3</v>
      </c>
      <c r="L141">
        <v>10</v>
      </c>
      <c r="M141">
        <v>0</v>
      </c>
      <c r="O141" s="3" t="s">
        <v>43</v>
      </c>
      <c r="P141" s="4">
        <v>0</v>
      </c>
      <c r="Q141" s="4">
        <v>2</v>
      </c>
      <c r="R141" s="4">
        <v>0</v>
      </c>
      <c r="S141" s="4">
        <v>0</v>
      </c>
      <c r="T141" s="4">
        <v>0</v>
      </c>
      <c r="U141" s="4">
        <v>75.476320000000001</v>
      </c>
      <c r="V141" s="4">
        <v>0</v>
      </c>
      <c r="W141" s="4">
        <v>1</v>
      </c>
      <c r="X141" s="4">
        <v>2</v>
      </c>
      <c r="Y141" s="4">
        <v>0</v>
      </c>
      <c r="Z141" s="4">
        <v>34</v>
      </c>
      <c r="AA141" s="5">
        <v>0</v>
      </c>
    </row>
    <row r="142" spans="1:27" x14ac:dyDescent="0.25">
      <c r="A142" t="s">
        <v>43</v>
      </c>
      <c r="B142">
        <v>4</v>
      </c>
      <c r="C142">
        <v>4</v>
      </c>
      <c r="D142">
        <v>1</v>
      </c>
      <c r="E142">
        <v>4</v>
      </c>
      <c r="F142">
        <v>173</v>
      </c>
      <c r="G142">
        <v>243.4211</v>
      </c>
      <c r="H142">
        <v>920</v>
      </c>
      <c r="I142">
        <v>0</v>
      </c>
      <c r="J142">
        <v>4</v>
      </c>
      <c r="K142">
        <v>13</v>
      </c>
      <c r="L142">
        <v>50</v>
      </c>
      <c r="M142">
        <v>1</v>
      </c>
      <c r="O142" s="6" t="s">
        <v>43</v>
      </c>
      <c r="P142" s="7">
        <v>4</v>
      </c>
      <c r="Q142" s="7">
        <v>3</v>
      </c>
      <c r="R142" s="7">
        <v>1</v>
      </c>
      <c r="S142" s="7">
        <v>0</v>
      </c>
      <c r="T142" s="7">
        <v>0</v>
      </c>
      <c r="U142" s="7">
        <v>93.508300000000006</v>
      </c>
      <c r="V142" s="7">
        <v>560</v>
      </c>
      <c r="W142" s="7">
        <v>0</v>
      </c>
      <c r="X142" s="7">
        <v>5</v>
      </c>
      <c r="Y142" s="7">
        <v>4</v>
      </c>
      <c r="Z142" s="7">
        <v>23</v>
      </c>
      <c r="AA142" s="8">
        <v>0</v>
      </c>
    </row>
    <row r="143" spans="1:27" x14ac:dyDescent="0.25">
      <c r="A143" t="s">
        <v>43</v>
      </c>
      <c r="B143">
        <v>0</v>
      </c>
      <c r="C143">
        <v>2</v>
      </c>
      <c r="D143">
        <v>0</v>
      </c>
      <c r="E143">
        <v>2</v>
      </c>
      <c r="F143">
        <v>76</v>
      </c>
      <c r="G143">
        <v>84.302000000000007</v>
      </c>
      <c r="H143">
        <v>160</v>
      </c>
      <c r="I143">
        <v>0</v>
      </c>
      <c r="J143">
        <v>1</v>
      </c>
      <c r="K143">
        <v>4</v>
      </c>
      <c r="L143">
        <v>32</v>
      </c>
      <c r="M143">
        <v>0</v>
      </c>
      <c r="O143" s="3" t="s">
        <v>43</v>
      </c>
      <c r="P143" s="4">
        <v>2</v>
      </c>
      <c r="Q143" s="4">
        <v>3</v>
      </c>
      <c r="R143" s="4">
        <v>1</v>
      </c>
      <c r="S143" s="4">
        <v>1</v>
      </c>
      <c r="T143" s="4">
        <v>23</v>
      </c>
      <c r="U143" s="4">
        <v>92.331540000000004</v>
      </c>
      <c r="V143" s="4">
        <v>360</v>
      </c>
      <c r="W143" s="4">
        <v>0</v>
      </c>
      <c r="X143" s="4">
        <v>3</v>
      </c>
      <c r="Y143" s="4">
        <v>3</v>
      </c>
      <c r="Z143" s="4">
        <v>18</v>
      </c>
      <c r="AA143" s="5">
        <v>0</v>
      </c>
    </row>
    <row r="144" spans="1:27" x14ac:dyDescent="0.25">
      <c r="A144" t="s">
        <v>43</v>
      </c>
      <c r="B144">
        <v>2</v>
      </c>
      <c r="C144">
        <v>1</v>
      </c>
      <c r="D144">
        <v>0</v>
      </c>
      <c r="E144">
        <v>0</v>
      </c>
      <c r="F144">
        <v>0</v>
      </c>
      <c r="G144">
        <v>175.68020000000001</v>
      </c>
      <c r="H144">
        <v>492</v>
      </c>
      <c r="I144">
        <v>0</v>
      </c>
      <c r="J144">
        <v>3</v>
      </c>
      <c r="K144">
        <v>5</v>
      </c>
      <c r="L144">
        <v>44</v>
      </c>
      <c r="M144">
        <v>0</v>
      </c>
      <c r="O144" s="6" t="s">
        <v>43</v>
      </c>
      <c r="P144" s="7">
        <v>1</v>
      </c>
      <c r="Q144" s="7">
        <v>1</v>
      </c>
      <c r="R144" s="7">
        <v>0</v>
      </c>
      <c r="S144" s="7">
        <v>0</v>
      </c>
      <c r="T144" s="7">
        <v>0</v>
      </c>
      <c r="U144" s="7">
        <v>68.506100000000004</v>
      </c>
      <c r="V144" s="7">
        <v>160</v>
      </c>
      <c r="W144" s="7">
        <v>0</v>
      </c>
      <c r="X144" s="7">
        <v>2</v>
      </c>
      <c r="Y144" s="7">
        <v>2</v>
      </c>
      <c r="Z144" s="7">
        <v>16</v>
      </c>
      <c r="AA144" s="8">
        <v>0</v>
      </c>
    </row>
    <row r="145" spans="1:27" x14ac:dyDescent="0.25">
      <c r="A145" t="s">
        <v>43</v>
      </c>
      <c r="B145">
        <v>1</v>
      </c>
      <c r="C145">
        <v>4</v>
      </c>
      <c r="D145">
        <v>1</v>
      </c>
      <c r="E145">
        <v>0</v>
      </c>
      <c r="F145">
        <v>0</v>
      </c>
      <c r="G145">
        <v>218.43549999999999</v>
      </c>
      <c r="H145">
        <v>480</v>
      </c>
      <c r="I145">
        <v>0</v>
      </c>
      <c r="J145">
        <v>2</v>
      </c>
      <c r="K145">
        <v>7</v>
      </c>
      <c r="L145">
        <v>55</v>
      </c>
      <c r="M145">
        <v>28</v>
      </c>
      <c r="O145" s="3" t="s">
        <v>43</v>
      </c>
      <c r="P145" s="4">
        <v>0</v>
      </c>
      <c r="Q145" s="4">
        <v>2</v>
      </c>
      <c r="R145" s="4">
        <v>0</v>
      </c>
      <c r="S145" s="4">
        <v>0</v>
      </c>
      <c r="T145" s="4">
        <v>0</v>
      </c>
      <c r="U145" s="4">
        <v>97.129149999999996</v>
      </c>
      <c r="V145" s="4">
        <v>160</v>
      </c>
      <c r="W145" s="4">
        <v>0</v>
      </c>
      <c r="X145" s="4">
        <v>1</v>
      </c>
      <c r="Y145" s="4">
        <v>4</v>
      </c>
      <c r="Z145" s="4">
        <v>35</v>
      </c>
      <c r="AA145" s="5">
        <v>0</v>
      </c>
    </row>
    <row r="146" spans="1:27" x14ac:dyDescent="0.25">
      <c r="A146" t="s">
        <v>44</v>
      </c>
      <c r="B146">
        <v>0</v>
      </c>
      <c r="C146">
        <v>1</v>
      </c>
      <c r="D146">
        <v>1</v>
      </c>
      <c r="E146">
        <v>0</v>
      </c>
      <c r="F146">
        <v>0</v>
      </c>
      <c r="G146">
        <v>0.50183909999999998</v>
      </c>
      <c r="H146">
        <v>0</v>
      </c>
      <c r="I146">
        <v>0</v>
      </c>
      <c r="J146">
        <v>0</v>
      </c>
      <c r="K146">
        <v>0</v>
      </c>
      <c r="L146">
        <v>1</v>
      </c>
      <c r="M146">
        <v>0</v>
      </c>
      <c r="O146" s="6" t="s">
        <v>43</v>
      </c>
      <c r="P146" s="7">
        <v>2</v>
      </c>
      <c r="Q146" s="7">
        <v>3</v>
      </c>
      <c r="R146" s="7">
        <v>1</v>
      </c>
      <c r="S146" s="7">
        <v>0</v>
      </c>
      <c r="T146" s="7">
        <v>0</v>
      </c>
      <c r="U146" s="7">
        <v>72.760009999999994</v>
      </c>
      <c r="V146" s="7">
        <v>480</v>
      </c>
      <c r="W146" s="7">
        <v>0</v>
      </c>
      <c r="X146" s="7">
        <v>2</v>
      </c>
      <c r="Y146" s="7">
        <v>12</v>
      </c>
      <c r="Z146" s="7">
        <v>26</v>
      </c>
      <c r="AA146" s="8">
        <v>0</v>
      </c>
    </row>
    <row r="147" spans="1:27" x14ac:dyDescent="0.25">
      <c r="A147" t="s">
        <v>44</v>
      </c>
      <c r="B147">
        <v>0</v>
      </c>
      <c r="C147">
        <v>2</v>
      </c>
      <c r="D147">
        <v>1</v>
      </c>
      <c r="E147">
        <v>0</v>
      </c>
      <c r="F147">
        <v>0</v>
      </c>
      <c r="G147">
        <v>0.3234668</v>
      </c>
      <c r="H147">
        <v>0</v>
      </c>
      <c r="I147">
        <v>0</v>
      </c>
      <c r="J147">
        <v>0</v>
      </c>
      <c r="K147">
        <v>0</v>
      </c>
      <c r="L147">
        <v>0</v>
      </c>
      <c r="M147">
        <v>0</v>
      </c>
      <c r="O147" s="3" t="s">
        <v>43</v>
      </c>
      <c r="P147" s="4">
        <v>1</v>
      </c>
      <c r="Q147" s="4">
        <v>2</v>
      </c>
      <c r="R147" s="4">
        <v>0</v>
      </c>
      <c r="S147" s="4">
        <v>0</v>
      </c>
      <c r="T147" s="4">
        <v>0</v>
      </c>
      <c r="U147" s="4">
        <v>176.8579</v>
      </c>
      <c r="V147" s="4">
        <v>600</v>
      </c>
      <c r="W147" s="4">
        <v>0</v>
      </c>
      <c r="X147" s="4">
        <v>2</v>
      </c>
      <c r="Y147" s="4">
        <v>10</v>
      </c>
      <c r="Z147" s="4">
        <v>47</v>
      </c>
      <c r="AA147" s="5">
        <v>0</v>
      </c>
    </row>
    <row r="148" spans="1:27" x14ac:dyDescent="0.25">
      <c r="A148" t="s">
        <v>44</v>
      </c>
      <c r="B148">
        <v>0</v>
      </c>
      <c r="C148">
        <v>3</v>
      </c>
      <c r="D148">
        <v>1</v>
      </c>
      <c r="E148">
        <v>0</v>
      </c>
      <c r="F148">
        <v>0</v>
      </c>
      <c r="G148">
        <v>0.22148509999999999</v>
      </c>
      <c r="H148">
        <v>0</v>
      </c>
      <c r="I148">
        <v>0</v>
      </c>
      <c r="J148">
        <v>0</v>
      </c>
      <c r="K148">
        <v>0</v>
      </c>
      <c r="L148">
        <v>0</v>
      </c>
      <c r="M148">
        <v>0</v>
      </c>
      <c r="O148" s="6" t="s">
        <v>43</v>
      </c>
      <c r="P148" s="7">
        <v>3</v>
      </c>
      <c r="Q148" s="7">
        <v>4</v>
      </c>
      <c r="R148" s="7">
        <v>1</v>
      </c>
      <c r="S148" s="7">
        <v>0</v>
      </c>
      <c r="T148" s="7">
        <v>0</v>
      </c>
      <c r="U148" s="7">
        <v>39.94312</v>
      </c>
      <c r="V148" s="7">
        <v>360</v>
      </c>
      <c r="W148" s="7">
        <v>0</v>
      </c>
      <c r="X148" s="7">
        <v>4</v>
      </c>
      <c r="Y148" s="7">
        <v>1</v>
      </c>
      <c r="Z148" s="7">
        <v>11</v>
      </c>
      <c r="AA148" s="8">
        <v>1</v>
      </c>
    </row>
    <row r="149" spans="1:27" x14ac:dyDescent="0.25">
      <c r="A149" t="s">
        <v>44</v>
      </c>
      <c r="B149">
        <v>0</v>
      </c>
      <c r="C149">
        <v>4</v>
      </c>
      <c r="D149">
        <v>1</v>
      </c>
      <c r="E149">
        <v>0</v>
      </c>
      <c r="F149">
        <v>0</v>
      </c>
      <c r="G149">
        <v>0.22427269999999999</v>
      </c>
      <c r="H149">
        <v>0</v>
      </c>
      <c r="I149">
        <v>0</v>
      </c>
      <c r="J149">
        <v>0</v>
      </c>
      <c r="K149">
        <v>0</v>
      </c>
      <c r="L149">
        <v>0</v>
      </c>
      <c r="M149">
        <v>0</v>
      </c>
      <c r="O149" s="3" t="s">
        <v>43</v>
      </c>
      <c r="P149" s="4">
        <v>2</v>
      </c>
      <c r="Q149" s="4">
        <v>3</v>
      </c>
      <c r="R149" s="4">
        <v>1</v>
      </c>
      <c r="S149" s="4">
        <v>0</v>
      </c>
      <c r="T149" s="4">
        <v>0</v>
      </c>
      <c r="U149" s="4">
        <v>65.186279999999996</v>
      </c>
      <c r="V149" s="4">
        <v>320</v>
      </c>
      <c r="W149" s="4">
        <v>0</v>
      </c>
      <c r="X149" s="4">
        <v>2</v>
      </c>
      <c r="Y149" s="4">
        <v>3</v>
      </c>
      <c r="Z149" s="4">
        <v>10</v>
      </c>
      <c r="AA149" s="5">
        <v>0</v>
      </c>
    </row>
    <row r="150" spans="1:27" x14ac:dyDescent="0.25">
      <c r="A150" t="s">
        <v>44</v>
      </c>
      <c r="B150">
        <v>0</v>
      </c>
      <c r="C150">
        <v>2</v>
      </c>
      <c r="D150">
        <v>1</v>
      </c>
      <c r="E150">
        <v>0</v>
      </c>
      <c r="F150">
        <v>0</v>
      </c>
      <c r="G150">
        <v>0.27042769999999999</v>
      </c>
      <c r="H150">
        <v>0</v>
      </c>
      <c r="I150">
        <v>0</v>
      </c>
      <c r="J150">
        <v>0</v>
      </c>
      <c r="K150">
        <v>0</v>
      </c>
      <c r="L150">
        <v>0</v>
      </c>
      <c r="M150">
        <v>0</v>
      </c>
      <c r="O150" s="6" t="s">
        <v>43</v>
      </c>
      <c r="P150" s="7">
        <v>4</v>
      </c>
      <c r="Q150" s="7">
        <v>4</v>
      </c>
      <c r="R150" s="7">
        <v>1</v>
      </c>
      <c r="S150" s="7">
        <v>4</v>
      </c>
      <c r="T150" s="7">
        <v>173</v>
      </c>
      <c r="U150" s="7">
        <v>243.4211</v>
      </c>
      <c r="V150" s="7">
        <v>920</v>
      </c>
      <c r="W150" s="7">
        <v>0</v>
      </c>
      <c r="X150" s="7">
        <v>4</v>
      </c>
      <c r="Y150" s="7">
        <v>13</v>
      </c>
      <c r="Z150" s="7">
        <v>50</v>
      </c>
      <c r="AA150" s="8">
        <v>1</v>
      </c>
    </row>
    <row r="151" spans="1:27" x14ac:dyDescent="0.25">
      <c r="A151" t="s">
        <v>44</v>
      </c>
      <c r="B151">
        <v>0</v>
      </c>
      <c r="C151">
        <v>2</v>
      </c>
      <c r="D151">
        <v>1</v>
      </c>
      <c r="E151">
        <v>0</v>
      </c>
      <c r="F151">
        <v>0</v>
      </c>
      <c r="G151">
        <v>0.48777680000000001</v>
      </c>
      <c r="H151">
        <v>0</v>
      </c>
      <c r="I151">
        <v>0</v>
      </c>
      <c r="J151">
        <v>0</v>
      </c>
      <c r="K151">
        <v>0</v>
      </c>
      <c r="L151">
        <v>0</v>
      </c>
      <c r="M151">
        <v>0</v>
      </c>
      <c r="O151" s="3" t="s">
        <v>43</v>
      </c>
      <c r="P151" s="4">
        <v>0</v>
      </c>
      <c r="Q151" s="4">
        <v>2</v>
      </c>
      <c r="R151" s="4">
        <v>0</v>
      </c>
      <c r="S151" s="4">
        <v>2</v>
      </c>
      <c r="T151" s="4">
        <v>76</v>
      </c>
      <c r="U151" s="4">
        <v>84.302000000000007</v>
      </c>
      <c r="V151" s="4">
        <v>160</v>
      </c>
      <c r="W151" s="4">
        <v>0</v>
      </c>
      <c r="X151" s="4">
        <v>1</v>
      </c>
      <c r="Y151" s="4">
        <v>4</v>
      </c>
      <c r="Z151" s="4">
        <v>32</v>
      </c>
      <c r="AA151" s="5">
        <v>0</v>
      </c>
    </row>
    <row r="152" spans="1:27" x14ac:dyDescent="0.25">
      <c r="A152" t="s">
        <v>44</v>
      </c>
      <c r="B152">
        <v>0</v>
      </c>
      <c r="C152">
        <v>2</v>
      </c>
      <c r="D152">
        <v>1</v>
      </c>
      <c r="E152">
        <v>0</v>
      </c>
      <c r="F152">
        <v>0</v>
      </c>
      <c r="G152">
        <v>0.18092349999999999</v>
      </c>
      <c r="H152">
        <v>0</v>
      </c>
      <c r="I152">
        <v>0</v>
      </c>
      <c r="J152">
        <v>0</v>
      </c>
      <c r="K152">
        <v>0</v>
      </c>
      <c r="L152">
        <v>0</v>
      </c>
      <c r="M152">
        <v>0</v>
      </c>
      <c r="O152" s="6" t="s">
        <v>43</v>
      </c>
      <c r="P152" s="7">
        <v>2</v>
      </c>
      <c r="Q152" s="7">
        <v>1</v>
      </c>
      <c r="R152" s="7">
        <v>0</v>
      </c>
      <c r="S152" s="7">
        <v>0</v>
      </c>
      <c r="T152" s="7">
        <v>0</v>
      </c>
      <c r="U152" s="7">
        <v>175.68020000000001</v>
      </c>
      <c r="V152" s="7">
        <v>492</v>
      </c>
      <c r="W152" s="7">
        <v>0</v>
      </c>
      <c r="X152" s="7">
        <v>3</v>
      </c>
      <c r="Y152" s="7">
        <v>5</v>
      </c>
      <c r="Z152" s="7">
        <v>44</v>
      </c>
      <c r="AA152" s="8">
        <v>0</v>
      </c>
    </row>
    <row r="153" spans="1:27" x14ac:dyDescent="0.25">
      <c r="A153" t="s">
        <v>44</v>
      </c>
      <c r="B153">
        <v>0</v>
      </c>
      <c r="C153">
        <v>2</v>
      </c>
      <c r="D153">
        <v>1</v>
      </c>
      <c r="E153">
        <v>0</v>
      </c>
      <c r="F153">
        <v>0</v>
      </c>
      <c r="G153">
        <v>0.17113590000000001</v>
      </c>
      <c r="H153">
        <v>0</v>
      </c>
      <c r="I153">
        <v>0</v>
      </c>
      <c r="J153">
        <v>0</v>
      </c>
      <c r="K153">
        <v>0</v>
      </c>
      <c r="L153">
        <v>0</v>
      </c>
      <c r="M153">
        <v>0</v>
      </c>
      <c r="O153" s="3" t="s">
        <v>43</v>
      </c>
      <c r="P153" s="4">
        <v>1</v>
      </c>
      <c r="Q153" s="4">
        <v>4</v>
      </c>
      <c r="R153" s="4">
        <v>1</v>
      </c>
      <c r="S153" s="4">
        <v>0</v>
      </c>
      <c r="T153" s="4">
        <v>0</v>
      </c>
      <c r="U153" s="4">
        <v>218.43549999999999</v>
      </c>
      <c r="V153" s="4">
        <v>480</v>
      </c>
      <c r="W153" s="4">
        <v>0</v>
      </c>
      <c r="X153" s="4">
        <v>2</v>
      </c>
      <c r="Y153" s="4">
        <v>7</v>
      </c>
      <c r="Z153" s="4">
        <v>55</v>
      </c>
      <c r="AA153" s="5">
        <v>28</v>
      </c>
    </row>
    <row r="154" spans="1:27" x14ac:dyDescent="0.25">
      <c r="A154" t="s">
        <v>44</v>
      </c>
      <c r="B154">
        <v>0</v>
      </c>
      <c r="C154">
        <v>2</v>
      </c>
      <c r="D154">
        <v>1</v>
      </c>
      <c r="E154">
        <v>0</v>
      </c>
      <c r="F154">
        <v>0</v>
      </c>
      <c r="G154">
        <v>0.1356039</v>
      </c>
      <c r="H154">
        <v>0</v>
      </c>
      <c r="I154">
        <v>0</v>
      </c>
      <c r="J154">
        <v>0</v>
      </c>
      <c r="K154">
        <v>0</v>
      </c>
      <c r="L154">
        <v>0</v>
      </c>
      <c r="M154">
        <v>0</v>
      </c>
      <c r="O154" s="10" t="s">
        <v>12</v>
      </c>
      <c r="P154" s="9">
        <f t="shared" ref="P154:AA154" si="5">AVERAGE(P130:P153)</f>
        <v>2.5</v>
      </c>
      <c r="Q154" s="9">
        <f t="shared" si="5"/>
        <v>2.75</v>
      </c>
      <c r="R154" s="9">
        <f t="shared" si="5"/>
        <v>0.58333333333333337</v>
      </c>
      <c r="S154" s="9">
        <f t="shared" si="5"/>
        <v>1.4166666666666667</v>
      </c>
      <c r="T154" s="9">
        <f t="shared" si="5"/>
        <v>50.625</v>
      </c>
      <c r="U154" s="9">
        <f t="shared" si="5"/>
        <v>157.56737875000005</v>
      </c>
      <c r="V154" s="9">
        <f t="shared" si="5"/>
        <v>552.16666666666663</v>
      </c>
      <c r="W154" s="9">
        <f t="shared" si="5"/>
        <v>8.3333333333333329E-2</v>
      </c>
      <c r="X154" s="9">
        <f t="shared" si="5"/>
        <v>3.4583333333333335</v>
      </c>
      <c r="Y154" s="9">
        <f t="shared" si="5"/>
        <v>6.375</v>
      </c>
      <c r="Z154" s="9">
        <f t="shared" si="5"/>
        <v>42.708333333333336</v>
      </c>
      <c r="AA154" s="9">
        <f t="shared" si="5"/>
        <v>1.8333333333333333</v>
      </c>
    </row>
    <row r="155" spans="1:27" x14ac:dyDescent="0.25">
      <c r="A155" t="s">
        <v>44</v>
      </c>
      <c r="B155">
        <v>0</v>
      </c>
      <c r="C155">
        <v>2</v>
      </c>
      <c r="D155">
        <v>1</v>
      </c>
      <c r="E155">
        <v>0</v>
      </c>
      <c r="F155">
        <v>0</v>
      </c>
      <c r="G155">
        <v>0.13819409999999999</v>
      </c>
      <c r="H155">
        <v>0</v>
      </c>
      <c r="I155">
        <v>0</v>
      </c>
      <c r="J155">
        <v>0</v>
      </c>
      <c r="K155">
        <v>0</v>
      </c>
      <c r="L155">
        <v>0</v>
      </c>
      <c r="M155">
        <v>0</v>
      </c>
      <c r="O155" s="6" t="s">
        <v>44</v>
      </c>
      <c r="P155" s="7">
        <v>0</v>
      </c>
      <c r="Q155" s="7">
        <v>1</v>
      </c>
      <c r="R155" s="7">
        <v>1</v>
      </c>
      <c r="S155" s="7">
        <v>0</v>
      </c>
      <c r="T155" s="7">
        <v>0</v>
      </c>
      <c r="U155" s="7">
        <v>0.50183909999999998</v>
      </c>
      <c r="V155" s="7">
        <v>0</v>
      </c>
      <c r="W155" s="7">
        <v>0</v>
      </c>
      <c r="X155" s="7">
        <v>0</v>
      </c>
      <c r="Y155" s="7">
        <v>0</v>
      </c>
      <c r="Z155" s="7">
        <v>1</v>
      </c>
      <c r="AA155" s="8">
        <v>0</v>
      </c>
    </row>
    <row r="156" spans="1:27" x14ac:dyDescent="0.25">
      <c r="A156" t="s">
        <v>44</v>
      </c>
      <c r="B156">
        <v>0</v>
      </c>
      <c r="C156">
        <v>2</v>
      </c>
      <c r="D156">
        <v>1</v>
      </c>
      <c r="E156">
        <v>0</v>
      </c>
      <c r="F156">
        <v>0</v>
      </c>
      <c r="G156">
        <v>0.1595058</v>
      </c>
      <c r="H156">
        <v>0</v>
      </c>
      <c r="I156">
        <v>0</v>
      </c>
      <c r="J156">
        <v>0</v>
      </c>
      <c r="K156">
        <v>0</v>
      </c>
      <c r="L156">
        <v>0</v>
      </c>
      <c r="M156">
        <v>0</v>
      </c>
      <c r="O156" s="3" t="s">
        <v>44</v>
      </c>
      <c r="P156" s="4">
        <v>0</v>
      </c>
      <c r="Q156" s="4">
        <v>2</v>
      </c>
      <c r="R156" s="4">
        <v>1</v>
      </c>
      <c r="S156" s="4">
        <v>0</v>
      </c>
      <c r="T156" s="4">
        <v>0</v>
      </c>
      <c r="U156" s="4">
        <v>0.3234668</v>
      </c>
      <c r="V156" s="4">
        <v>0</v>
      </c>
      <c r="W156" s="4">
        <v>0</v>
      </c>
      <c r="X156" s="4">
        <v>0</v>
      </c>
      <c r="Y156" s="4">
        <v>0</v>
      </c>
      <c r="Z156" s="4">
        <v>0</v>
      </c>
      <c r="AA156" s="5">
        <v>0</v>
      </c>
    </row>
    <row r="157" spans="1:27" x14ac:dyDescent="0.25">
      <c r="A157" t="s">
        <v>44</v>
      </c>
      <c r="B157">
        <v>0</v>
      </c>
      <c r="C157">
        <v>2</v>
      </c>
      <c r="D157">
        <v>1</v>
      </c>
      <c r="E157">
        <v>0</v>
      </c>
      <c r="F157">
        <v>0</v>
      </c>
      <c r="G157">
        <v>0.15256120000000001</v>
      </c>
      <c r="H157">
        <v>0</v>
      </c>
      <c r="I157">
        <v>0</v>
      </c>
      <c r="J157">
        <v>0</v>
      </c>
      <c r="K157">
        <v>0</v>
      </c>
      <c r="L157">
        <v>0</v>
      </c>
      <c r="M157">
        <v>0</v>
      </c>
      <c r="O157" s="6" t="s">
        <v>44</v>
      </c>
      <c r="P157" s="7">
        <v>0</v>
      </c>
      <c r="Q157" s="7">
        <v>3</v>
      </c>
      <c r="R157" s="7">
        <v>1</v>
      </c>
      <c r="S157" s="7">
        <v>0</v>
      </c>
      <c r="T157" s="7">
        <v>0</v>
      </c>
      <c r="U157" s="7">
        <v>0.22148509999999999</v>
      </c>
      <c r="V157" s="7">
        <v>0</v>
      </c>
      <c r="W157" s="7">
        <v>0</v>
      </c>
      <c r="X157" s="7">
        <v>0</v>
      </c>
      <c r="Y157" s="7">
        <v>0</v>
      </c>
      <c r="Z157" s="7">
        <v>0</v>
      </c>
      <c r="AA157" s="8">
        <v>0</v>
      </c>
    </row>
    <row r="158" spans="1:27" x14ac:dyDescent="0.25">
      <c r="A158" t="s">
        <v>44</v>
      </c>
      <c r="B158">
        <v>0</v>
      </c>
      <c r="C158">
        <v>2</v>
      </c>
      <c r="D158">
        <v>1</v>
      </c>
      <c r="E158">
        <v>0</v>
      </c>
      <c r="F158">
        <v>0</v>
      </c>
      <c r="G158">
        <v>0.26862720000000001</v>
      </c>
      <c r="H158">
        <v>0</v>
      </c>
      <c r="I158">
        <v>0</v>
      </c>
      <c r="J158">
        <v>0</v>
      </c>
      <c r="K158">
        <v>0</v>
      </c>
      <c r="L158">
        <v>0</v>
      </c>
      <c r="M158">
        <v>0</v>
      </c>
      <c r="O158" s="3" t="s">
        <v>44</v>
      </c>
      <c r="P158" s="4">
        <v>0</v>
      </c>
      <c r="Q158" s="4">
        <v>4</v>
      </c>
      <c r="R158" s="4">
        <v>1</v>
      </c>
      <c r="S158" s="4">
        <v>0</v>
      </c>
      <c r="T158" s="4">
        <v>0</v>
      </c>
      <c r="U158" s="4">
        <v>0.22427269999999999</v>
      </c>
      <c r="V158" s="4">
        <v>0</v>
      </c>
      <c r="W158" s="4">
        <v>0</v>
      </c>
      <c r="X158" s="4">
        <v>0</v>
      </c>
      <c r="Y158" s="4">
        <v>0</v>
      </c>
      <c r="Z158" s="4">
        <v>0</v>
      </c>
      <c r="AA158" s="5">
        <v>0</v>
      </c>
    </row>
    <row r="159" spans="1:27" x14ac:dyDescent="0.25">
      <c r="A159" t="s">
        <v>44</v>
      </c>
      <c r="B159">
        <v>0</v>
      </c>
      <c r="C159">
        <v>2</v>
      </c>
      <c r="D159">
        <v>1</v>
      </c>
      <c r="E159">
        <v>0</v>
      </c>
      <c r="F159">
        <v>0</v>
      </c>
      <c r="G159">
        <v>0.1270771</v>
      </c>
      <c r="H159">
        <v>0</v>
      </c>
      <c r="I159">
        <v>0</v>
      </c>
      <c r="J159">
        <v>0</v>
      </c>
      <c r="K159">
        <v>0</v>
      </c>
      <c r="L159">
        <v>0</v>
      </c>
      <c r="M159">
        <v>0</v>
      </c>
      <c r="O159" s="6" t="s">
        <v>44</v>
      </c>
      <c r="P159" s="7">
        <v>0</v>
      </c>
      <c r="Q159" s="7">
        <v>2</v>
      </c>
      <c r="R159" s="7">
        <v>1</v>
      </c>
      <c r="S159" s="7">
        <v>0</v>
      </c>
      <c r="T159" s="7">
        <v>0</v>
      </c>
      <c r="U159" s="7">
        <v>0.27042769999999999</v>
      </c>
      <c r="V159" s="7">
        <v>0</v>
      </c>
      <c r="W159" s="7">
        <v>0</v>
      </c>
      <c r="X159" s="7">
        <v>0</v>
      </c>
      <c r="Y159" s="7">
        <v>0</v>
      </c>
      <c r="Z159" s="7">
        <v>0</v>
      </c>
      <c r="AA159" s="8">
        <v>0</v>
      </c>
    </row>
    <row r="160" spans="1:27" x14ac:dyDescent="0.25">
      <c r="A160" t="s">
        <v>44</v>
      </c>
      <c r="B160">
        <v>0</v>
      </c>
      <c r="C160">
        <v>3</v>
      </c>
      <c r="D160">
        <v>1</v>
      </c>
      <c r="E160">
        <v>0</v>
      </c>
      <c r="F160">
        <v>0</v>
      </c>
      <c r="G160">
        <v>0.114399</v>
      </c>
      <c r="H160">
        <v>0</v>
      </c>
      <c r="I160">
        <v>0</v>
      </c>
      <c r="J160">
        <v>0</v>
      </c>
      <c r="K160">
        <v>0</v>
      </c>
      <c r="L160">
        <v>0</v>
      </c>
      <c r="M160">
        <v>0</v>
      </c>
      <c r="O160" s="3" t="s">
        <v>44</v>
      </c>
      <c r="P160" s="4">
        <v>0</v>
      </c>
      <c r="Q160" s="4">
        <v>2</v>
      </c>
      <c r="R160" s="4">
        <v>1</v>
      </c>
      <c r="S160" s="4">
        <v>0</v>
      </c>
      <c r="T160" s="4">
        <v>0</v>
      </c>
      <c r="U160" s="4">
        <v>0.48777680000000001</v>
      </c>
      <c r="V160" s="4">
        <v>0</v>
      </c>
      <c r="W160" s="4">
        <v>0</v>
      </c>
      <c r="X160" s="4">
        <v>0</v>
      </c>
      <c r="Y160" s="4">
        <v>0</v>
      </c>
      <c r="Z160" s="4">
        <v>0</v>
      </c>
      <c r="AA160" s="5">
        <v>0</v>
      </c>
    </row>
    <row r="161" spans="1:27" x14ac:dyDescent="0.25">
      <c r="A161" t="s">
        <v>44</v>
      </c>
      <c r="B161">
        <v>0</v>
      </c>
      <c r="C161">
        <v>3</v>
      </c>
      <c r="D161">
        <v>1</v>
      </c>
      <c r="E161">
        <v>0</v>
      </c>
      <c r="F161">
        <v>0</v>
      </c>
      <c r="G161">
        <v>0.24901010000000001</v>
      </c>
      <c r="H161">
        <v>0</v>
      </c>
      <c r="I161">
        <v>0</v>
      </c>
      <c r="J161">
        <v>0</v>
      </c>
      <c r="K161">
        <v>0</v>
      </c>
      <c r="L161">
        <v>0</v>
      </c>
      <c r="M161">
        <v>0</v>
      </c>
      <c r="O161" s="6" t="s">
        <v>44</v>
      </c>
      <c r="P161" s="7">
        <v>0</v>
      </c>
      <c r="Q161" s="7">
        <v>2</v>
      </c>
      <c r="R161" s="7">
        <v>1</v>
      </c>
      <c r="S161" s="7">
        <v>0</v>
      </c>
      <c r="T161" s="7">
        <v>0</v>
      </c>
      <c r="U161" s="7">
        <v>0.18092349999999999</v>
      </c>
      <c r="V161" s="7">
        <v>0</v>
      </c>
      <c r="W161" s="7">
        <v>0</v>
      </c>
      <c r="X161" s="7">
        <v>0</v>
      </c>
      <c r="Y161" s="7">
        <v>0</v>
      </c>
      <c r="Z161" s="7">
        <v>0</v>
      </c>
      <c r="AA161" s="8">
        <v>0</v>
      </c>
    </row>
    <row r="162" spans="1:27" x14ac:dyDescent="0.25">
      <c r="A162" t="s">
        <v>44</v>
      </c>
      <c r="B162">
        <v>0</v>
      </c>
      <c r="C162">
        <v>2</v>
      </c>
      <c r="D162">
        <v>1</v>
      </c>
      <c r="E162">
        <v>0</v>
      </c>
      <c r="F162">
        <v>0</v>
      </c>
      <c r="G162">
        <v>0.23706630000000001</v>
      </c>
      <c r="H162">
        <v>0</v>
      </c>
      <c r="I162">
        <v>0</v>
      </c>
      <c r="J162">
        <v>0</v>
      </c>
      <c r="K162">
        <v>0</v>
      </c>
      <c r="L162">
        <v>1</v>
      </c>
      <c r="M162">
        <v>0</v>
      </c>
      <c r="O162" s="3" t="s">
        <v>44</v>
      </c>
      <c r="P162" s="4">
        <v>0</v>
      </c>
      <c r="Q162" s="4">
        <v>2</v>
      </c>
      <c r="R162" s="4">
        <v>1</v>
      </c>
      <c r="S162" s="4">
        <v>0</v>
      </c>
      <c r="T162" s="4">
        <v>0</v>
      </c>
      <c r="U162" s="4">
        <v>0.17113590000000001</v>
      </c>
      <c r="V162" s="4">
        <v>0</v>
      </c>
      <c r="W162" s="4">
        <v>0</v>
      </c>
      <c r="X162" s="4">
        <v>0</v>
      </c>
      <c r="Y162" s="4">
        <v>0</v>
      </c>
      <c r="Z162" s="4">
        <v>0</v>
      </c>
      <c r="AA162" s="5">
        <v>0</v>
      </c>
    </row>
    <row r="163" spans="1:27" x14ac:dyDescent="0.25">
      <c r="A163" t="s">
        <v>44</v>
      </c>
      <c r="B163">
        <v>0</v>
      </c>
      <c r="C163">
        <v>3</v>
      </c>
      <c r="D163">
        <v>1</v>
      </c>
      <c r="E163">
        <v>0</v>
      </c>
      <c r="F163">
        <v>0</v>
      </c>
      <c r="G163">
        <v>0.2260742</v>
      </c>
      <c r="H163">
        <v>0</v>
      </c>
      <c r="I163">
        <v>0</v>
      </c>
      <c r="J163">
        <v>0</v>
      </c>
      <c r="K163">
        <v>0</v>
      </c>
      <c r="L163">
        <v>0</v>
      </c>
      <c r="M163">
        <v>0</v>
      </c>
      <c r="O163" s="6" t="s">
        <v>44</v>
      </c>
      <c r="P163" s="7">
        <v>0</v>
      </c>
      <c r="Q163" s="7">
        <v>2</v>
      </c>
      <c r="R163" s="7">
        <v>1</v>
      </c>
      <c r="S163" s="7">
        <v>0</v>
      </c>
      <c r="T163" s="7">
        <v>0</v>
      </c>
      <c r="U163" s="7">
        <v>0.1356039</v>
      </c>
      <c r="V163" s="7">
        <v>0</v>
      </c>
      <c r="W163" s="7">
        <v>0</v>
      </c>
      <c r="X163" s="7">
        <v>0</v>
      </c>
      <c r="Y163" s="7">
        <v>0</v>
      </c>
      <c r="Z163" s="7">
        <v>0</v>
      </c>
      <c r="AA163" s="8">
        <v>0</v>
      </c>
    </row>
    <row r="164" spans="1:27" x14ac:dyDescent="0.25">
      <c r="A164" t="s">
        <v>44</v>
      </c>
      <c r="B164">
        <v>0</v>
      </c>
      <c r="C164">
        <v>2</v>
      </c>
      <c r="D164">
        <v>1</v>
      </c>
      <c r="E164">
        <v>0</v>
      </c>
      <c r="F164">
        <v>0</v>
      </c>
      <c r="G164">
        <v>0.1198254</v>
      </c>
      <c r="H164">
        <v>0</v>
      </c>
      <c r="I164">
        <v>0</v>
      </c>
      <c r="J164">
        <v>0</v>
      </c>
      <c r="K164">
        <v>0</v>
      </c>
      <c r="L164">
        <v>0</v>
      </c>
      <c r="M164">
        <v>0</v>
      </c>
      <c r="O164" s="3" t="s">
        <v>44</v>
      </c>
      <c r="P164" s="4">
        <v>0</v>
      </c>
      <c r="Q164" s="4">
        <v>2</v>
      </c>
      <c r="R164" s="4">
        <v>1</v>
      </c>
      <c r="S164" s="4">
        <v>0</v>
      </c>
      <c r="T164" s="4">
        <v>0</v>
      </c>
      <c r="U164" s="4">
        <v>0.13819409999999999</v>
      </c>
      <c r="V164" s="4">
        <v>0</v>
      </c>
      <c r="W164" s="4">
        <v>0</v>
      </c>
      <c r="X164" s="4">
        <v>0</v>
      </c>
      <c r="Y164" s="4">
        <v>0</v>
      </c>
      <c r="Z164" s="4">
        <v>0</v>
      </c>
      <c r="AA164" s="5">
        <v>0</v>
      </c>
    </row>
    <row r="165" spans="1:27" x14ac:dyDescent="0.25">
      <c r="A165" t="s">
        <v>44</v>
      </c>
      <c r="B165">
        <v>0</v>
      </c>
      <c r="C165">
        <v>3</v>
      </c>
      <c r="D165">
        <v>1</v>
      </c>
      <c r="E165">
        <v>0</v>
      </c>
      <c r="F165">
        <v>0</v>
      </c>
      <c r="G165">
        <v>9.7042080000000003E-2</v>
      </c>
      <c r="H165">
        <v>0</v>
      </c>
      <c r="I165">
        <v>0</v>
      </c>
      <c r="J165">
        <v>0</v>
      </c>
      <c r="K165">
        <v>0</v>
      </c>
      <c r="L165">
        <v>1</v>
      </c>
      <c r="M165">
        <v>0</v>
      </c>
      <c r="O165" s="6" t="s">
        <v>44</v>
      </c>
      <c r="P165" s="7">
        <v>0</v>
      </c>
      <c r="Q165" s="7">
        <v>2</v>
      </c>
      <c r="R165" s="7">
        <v>1</v>
      </c>
      <c r="S165" s="7">
        <v>0</v>
      </c>
      <c r="T165" s="7">
        <v>0</v>
      </c>
      <c r="U165" s="7">
        <v>0.1595058</v>
      </c>
      <c r="V165" s="7">
        <v>0</v>
      </c>
      <c r="W165" s="7">
        <v>0</v>
      </c>
      <c r="X165" s="7">
        <v>0</v>
      </c>
      <c r="Y165" s="7">
        <v>0</v>
      </c>
      <c r="Z165" s="7">
        <v>0</v>
      </c>
      <c r="AA165" s="8">
        <v>0</v>
      </c>
    </row>
    <row r="166" spans="1:27" x14ac:dyDescent="0.25">
      <c r="A166" t="s">
        <v>44</v>
      </c>
      <c r="B166">
        <v>0</v>
      </c>
      <c r="C166">
        <v>3</v>
      </c>
      <c r="D166">
        <v>1</v>
      </c>
      <c r="E166">
        <v>0</v>
      </c>
      <c r="F166">
        <v>0</v>
      </c>
      <c r="G166">
        <v>0.115345</v>
      </c>
      <c r="H166">
        <v>0</v>
      </c>
      <c r="I166">
        <v>0</v>
      </c>
      <c r="J166">
        <v>0</v>
      </c>
      <c r="K166">
        <v>0</v>
      </c>
      <c r="L166">
        <v>0</v>
      </c>
      <c r="M166">
        <v>0</v>
      </c>
      <c r="O166" s="3" t="s">
        <v>44</v>
      </c>
      <c r="P166" s="4">
        <v>0</v>
      </c>
      <c r="Q166" s="4">
        <v>2</v>
      </c>
      <c r="R166" s="4">
        <v>1</v>
      </c>
      <c r="S166" s="4">
        <v>0</v>
      </c>
      <c r="T166" s="4">
        <v>0</v>
      </c>
      <c r="U166" s="4">
        <v>0.15256120000000001</v>
      </c>
      <c r="V166" s="4">
        <v>0</v>
      </c>
      <c r="W166" s="4">
        <v>0</v>
      </c>
      <c r="X166" s="4">
        <v>0</v>
      </c>
      <c r="Y166" s="4">
        <v>0</v>
      </c>
      <c r="Z166" s="4">
        <v>0</v>
      </c>
      <c r="AA166" s="5">
        <v>0</v>
      </c>
    </row>
    <row r="167" spans="1:27" x14ac:dyDescent="0.25">
      <c r="A167" t="s">
        <v>44</v>
      </c>
      <c r="B167">
        <v>0</v>
      </c>
      <c r="C167">
        <v>3</v>
      </c>
      <c r="D167">
        <v>1</v>
      </c>
      <c r="E167">
        <v>0</v>
      </c>
      <c r="F167">
        <v>0</v>
      </c>
      <c r="G167">
        <v>8.306885E-2</v>
      </c>
      <c r="H167">
        <v>0</v>
      </c>
      <c r="I167">
        <v>0</v>
      </c>
      <c r="J167">
        <v>0</v>
      </c>
      <c r="K167">
        <v>0</v>
      </c>
      <c r="L167">
        <v>0</v>
      </c>
      <c r="M167">
        <v>0</v>
      </c>
      <c r="O167" s="6" t="s">
        <v>44</v>
      </c>
      <c r="P167" s="7">
        <v>0</v>
      </c>
      <c r="Q167" s="7">
        <v>2</v>
      </c>
      <c r="R167" s="7">
        <v>1</v>
      </c>
      <c r="S167" s="7">
        <v>0</v>
      </c>
      <c r="T167" s="7">
        <v>0</v>
      </c>
      <c r="U167" s="7">
        <v>0.26862720000000001</v>
      </c>
      <c r="V167" s="7">
        <v>0</v>
      </c>
      <c r="W167" s="7">
        <v>0</v>
      </c>
      <c r="X167" s="7">
        <v>0</v>
      </c>
      <c r="Y167" s="7">
        <v>0</v>
      </c>
      <c r="Z167" s="7">
        <v>0</v>
      </c>
      <c r="AA167" s="8">
        <v>0</v>
      </c>
    </row>
    <row r="168" spans="1:27" x14ac:dyDescent="0.25">
      <c r="A168" t="s">
        <v>44</v>
      </c>
      <c r="B168">
        <v>0</v>
      </c>
      <c r="C168">
        <v>3</v>
      </c>
      <c r="D168">
        <v>1</v>
      </c>
      <c r="E168">
        <v>0</v>
      </c>
      <c r="F168">
        <v>0</v>
      </c>
      <c r="G168">
        <v>5.2780149999999998E-2</v>
      </c>
      <c r="H168">
        <v>0</v>
      </c>
      <c r="I168">
        <v>0</v>
      </c>
      <c r="J168">
        <v>0</v>
      </c>
      <c r="K168">
        <v>0</v>
      </c>
      <c r="L168">
        <v>0</v>
      </c>
      <c r="M168">
        <v>0</v>
      </c>
      <c r="O168" s="3" t="s">
        <v>44</v>
      </c>
      <c r="P168" s="4">
        <v>0</v>
      </c>
      <c r="Q168" s="4">
        <v>2</v>
      </c>
      <c r="R168" s="4">
        <v>1</v>
      </c>
      <c r="S168" s="4">
        <v>0</v>
      </c>
      <c r="T168" s="4">
        <v>0</v>
      </c>
      <c r="U168" s="4">
        <v>0.1270771</v>
      </c>
      <c r="V168" s="4">
        <v>0</v>
      </c>
      <c r="W168" s="4">
        <v>0</v>
      </c>
      <c r="X168" s="4">
        <v>0</v>
      </c>
      <c r="Y168" s="4">
        <v>0</v>
      </c>
      <c r="Z168" s="4">
        <v>0</v>
      </c>
      <c r="AA168" s="5">
        <v>0</v>
      </c>
    </row>
    <row r="169" spans="1:27" x14ac:dyDescent="0.25">
      <c r="A169" t="s">
        <v>44</v>
      </c>
      <c r="B169">
        <v>0</v>
      </c>
      <c r="C169">
        <v>4</v>
      </c>
      <c r="D169">
        <v>1</v>
      </c>
      <c r="E169">
        <v>0</v>
      </c>
      <c r="F169">
        <v>0</v>
      </c>
      <c r="G169">
        <v>1.9708630000000001E-2</v>
      </c>
      <c r="H169">
        <v>0</v>
      </c>
      <c r="I169">
        <v>0</v>
      </c>
      <c r="J169">
        <v>0</v>
      </c>
      <c r="K169">
        <v>0</v>
      </c>
      <c r="L169">
        <v>1</v>
      </c>
      <c r="M169">
        <v>0</v>
      </c>
      <c r="O169" s="6" t="s">
        <v>44</v>
      </c>
      <c r="P169" s="7">
        <v>0</v>
      </c>
      <c r="Q169" s="7">
        <v>3</v>
      </c>
      <c r="R169" s="7">
        <v>1</v>
      </c>
      <c r="S169" s="7">
        <v>0</v>
      </c>
      <c r="T169" s="7">
        <v>0</v>
      </c>
      <c r="U169" s="7">
        <v>0.114399</v>
      </c>
      <c r="V169" s="7">
        <v>0</v>
      </c>
      <c r="W169" s="7">
        <v>0</v>
      </c>
      <c r="X169" s="7">
        <v>0</v>
      </c>
      <c r="Y169" s="7">
        <v>0</v>
      </c>
      <c r="Z169" s="7">
        <v>0</v>
      </c>
      <c r="AA169" s="8">
        <v>0</v>
      </c>
    </row>
    <row r="170" spans="1:27" x14ac:dyDescent="0.25">
      <c r="A170" t="s">
        <v>45</v>
      </c>
      <c r="B170">
        <v>12</v>
      </c>
      <c r="C170">
        <v>3</v>
      </c>
      <c r="D170">
        <v>1</v>
      </c>
      <c r="E170">
        <v>0</v>
      </c>
      <c r="F170">
        <v>169</v>
      </c>
      <c r="G170">
        <v>319.51400000000001</v>
      </c>
      <c r="H170">
        <v>1840</v>
      </c>
      <c r="I170">
        <v>0</v>
      </c>
      <c r="J170">
        <v>10</v>
      </c>
      <c r="K170">
        <v>14</v>
      </c>
      <c r="L170">
        <v>155</v>
      </c>
      <c r="M170">
        <v>0</v>
      </c>
      <c r="O170" s="3" t="s">
        <v>44</v>
      </c>
      <c r="P170" s="4">
        <v>0</v>
      </c>
      <c r="Q170" s="4">
        <v>3</v>
      </c>
      <c r="R170" s="4">
        <v>1</v>
      </c>
      <c r="S170" s="4">
        <v>0</v>
      </c>
      <c r="T170" s="4">
        <v>0</v>
      </c>
      <c r="U170" s="4">
        <v>0.24901010000000001</v>
      </c>
      <c r="V170" s="4">
        <v>0</v>
      </c>
      <c r="W170" s="4">
        <v>0</v>
      </c>
      <c r="X170" s="4">
        <v>0</v>
      </c>
      <c r="Y170" s="4">
        <v>0</v>
      </c>
      <c r="Z170" s="4">
        <v>0</v>
      </c>
      <c r="AA170" s="5">
        <v>0</v>
      </c>
    </row>
    <row r="171" spans="1:27" x14ac:dyDescent="0.25">
      <c r="A171" t="s">
        <v>45</v>
      </c>
      <c r="B171">
        <v>8</v>
      </c>
      <c r="C171">
        <v>3</v>
      </c>
      <c r="D171">
        <v>1</v>
      </c>
      <c r="E171">
        <v>0</v>
      </c>
      <c r="F171">
        <v>0</v>
      </c>
      <c r="G171">
        <v>259.06099999999998</v>
      </c>
      <c r="H171">
        <v>760</v>
      </c>
      <c r="I171">
        <v>0</v>
      </c>
      <c r="J171">
        <v>8</v>
      </c>
      <c r="K171">
        <v>4</v>
      </c>
      <c r="L171">
        <v>80</v>
      </c>
      <c r="M171">
        <v>0</v>
      </c>
      <c r="O171" s="6" t="s">
        <v>44</v>
      </c>
      <c r="P171" s="7">
        <v>0</v>
      </c>
      <c r="Q171" s="7">
        <v>2</v>
      </c>
      <c r="R171" s="7">
        <v>1</v>
      </c>
      <c r="S171" s="7">
        <v>0</v>
      </c>
      <c r="T171" s="7">
        <v>0</v>
      </c>
      <c r="U171" s="7">
        <v>0.23706630000000001</v>
      </c>
      <c r="V171" s="7">
        <v>0</v>
      </c>
      <c r="W171" s="7">
        <v>0</v>
      </c>
      <c r="X171" s="7">
        <v>0</v>
      </c>
      <c r="Y171" s="7">
        <v>0</v>
      </c>
      <c r="Z171" s="7">
        <v>1</v>
      </c>
      <c r="AA171" s="8">
        <v>0</v>
      </c>
    </row>
    <row r="172" spans="1:27" x14ac:dyDescent="0.25">
      <c r="A172" t="s">
        <v>45</v>
      </c>
      <c r="B172">
        <v>9</v>
      </c>
      <c r="C172">
        <v>4</v>
      </c>
      <c r="D172">
        <v>1</v>
      </c>
      <c r="E172">
        <v>0</v>
      </c>
      <c r="F172">
        <v>0</v>
      </c>
      <c r="G172">
        <v>319.22719999999998</v>
      </c>
      <c r="H172">
        <v>1400</v>
      </c>
      <c r="I172">
        <v>0</v>
      </c>
      <c r="J172">
        <v>10</v>
      </c>
      <c r="K172">
        <v>13</v>
      </c>
      <c r="L172">
        <v>120</v>
      </c>
      <c r="M172">
        <v>0</v>
      </c>
      <c r="O172" s="3" t="s">
        <v>44</v>
      </c>
      <c r="P172" s="4">
        <v>0</v>
      </c>
      <c r="Q172" s="4">
        <v>3</v>
      </c>
      <c r="R172" s="4">
        <v>1</v>
      </c>
      <c r="S172" s="4">
        <v>0</v>
      </c>
      <c r="T172" s="4">
        <v>0</v>
      </c>
      <c r="U172" s="4">
        <v>0.2260742</v>
      </c>
      <c r="V172" s="4">
        <v>0</v>
      </c>
      <c r="W172" s="4">
        <v>0</v>
      </c>
      <c r="X172" s="4">
        <v>0</v>
      </c>
      <c r="Y172" s="4">
        <v>0</v>
      </c>
      <c r="Z172" s="4">
        <v>0</v>
      </c>
      <c r="AA172" s="5">
        <v>0</v>
      </c>
    </row>
    <row r="173" spans="1:27" x14ac:dyDescent="0.25">
      <c r="A173" t="s">
        <v>45</v>
      </c>
      <c r="B173">
        <v>0</v>
      </c>
      <c r="C173">
        <v>3</v>
      </c>
      <c r="D173">
        <v>1</v>
      </c>
      <c r="E173">
        <v>0</v>
      </c>
      <c r="F173">
        <v>0</v>
      </c>
      <c r="G173">
        <v>25.426639999999999</v>
      </c>
      <c r="H173">
        <v>40</v>
      </c>
      <c r="I173">
        <v>0</v>
      </c>
      <c r="J173">
        <v>1</v>
      </c>
      <c r="K173">
        <v>0</v>
      </c>
      <c r="L173">
        <v>10</v>
      </c>
      <c r="M173">
        <v>0</v>
      </c>
      <c r="O173" s="6" t="s">
        <v>44</v>
      </c>
      <c r="P173" s="7">
        <v>0</v>
      </c>
      <c r="Q173" s="7">
        <v>2</v>
      </c>
      <c r="R173" s="7">
        <v>1</v>
      </c>
      <c r="S173" s="7">
        <v>0</v>
      </c>
      <c r="T173" s="7">
        <v>0</v>
      </c>
      <c r="U173" s="7">
        <v>0.1198254</v>
      </c>
      <c r="V173" s="7">
        <v>0</v>
      </c>
      <c r="W173" s="7">
        <v>0</v>
      </c>
      <c r="X173" s="7">
        <v>0</v>
      </c>
      <c r="Y173" s="7">
        <v>0</v>
      </c>
      <c r="Z173" s="7">
        <v>0</v>
      </c>
      <c r="AA173" s="8">
        <v>0</v>
      </c>
    </row>
    <row r="174" spans="1:27" x14ac:dyDescent="0.25">
      <c r="A174" t="s">
        <v>45</v>
      </c>
      <c r="B174">
        <v>0</v>
      </c>
      <c r="C174">
        <v>1</v>
      </c>
      <c r="D174">
        <v>0</v>
      </c>
      <c r="E174">
        <v>0</v>
      </c>
      <c r="F174">
        <v>0</v>
      </c>
      <c r="G174">
        <v>25.991879999999998</v>
      </c>
      <c r="H174">
        <v>40</v>
      </c>
      <c r="I174">
        <v>0</v>
      </c>
      <c r="J174">
        <v>1</v>
      </c>
      <c r="K174">
        <v>0</v>
      </c>
      <c r="L174">
        <v>7</v>
      </c>
      <c r="M174">
        <v>0</v>
      </c>
      <c r="O174" s="3" t="s">
        <v>44</v>
      </c>
      <c r="P174" s="4">
        <v>0</v>
      </c>
      <c r="Q174" s="4">
        <v>3</v>
      </c>
      <c r="R174" s="4">
        <v>1</v>
      </c>
      <c r="S174" s="4">
        <v>0</v>
      </c>
      <c r="T174" s="4">
        <v>0</v>
      </c>
      <c r="U174" s="4">
        <v>9.7042080000000003E-2</v>
      </c>
      <c r="V174" s="4">
        <v>0</v>
      </c>
      <c r="W174" s="4">
        <v>0</v>
      </c>
      <c r="X174" s="4">
        <v>0</v>
      </c>
      <c r="Y174" s="4">
        <v>0</v>
      </c>
      <c r="Z174" s="4">
        <v>1</v>
      </c>
      <c r="AA174" s="5">
        <v>0</v>
      </c>
    </row>
    <row r="175" spans="1:27" x14ac:dyDescent="0.25">
      <c r="A175" t="s">
        <v>45</v>
      </c>
      <c r="B175">
        <v>6</v>
      </c>
      <c r="C175">
        <v>3</v>
      </c>
      <c r="D175">
        <v>1</v>
      </c>
      <c r="E175">
        <v>0</v>
      </c>
      <c r="F175">
        <v>0</v>
      </c>
      <c r="G175">
        <v>170.01750000000001</v>
      </c>
      <c r="H175">
        <v>960</v>
      </c>
      <c r="I175">
        <v>0</v>
      </c>
      <c r="J175">
        <v>6</v>
      </c>
      <c r="K175">
        <v>11</v>
      </c>
      <c r="L175">
        <v>75</v>
      </c>
      <c r="M175">
        <v>2</v>
      </c>
      <c r="O175" s="6" t="s">
        <v>44</v>
      </c>
      <c r="P175" s="7">
        <v>0</v>
      </c>
      <c r="Q175" s="7">
        <v>3</v>
      </c>
      <c r="R175" s="7">
        <v>1</v>
      </c>
      <c r="S175" s="7">
        <v>0</v>
      </c>
      <c r="T175" s="7">
        <v>0</v>
      </c>
      <c r="U175" s="7">
        <v>0.115345</v>
      </c>
      <c r="V175" s="7">
        <v>0</v>
      </c>
      <c r="W175" s="7">
        <v>0</v>
      </c>
      <c r="X175" s="7">
        <v>0</v>
      </c>
      <c r="Y175" s="7">
        <v>0</v>
      </c>
      <c r="Z175" s="7">
        <v>0</v>
      </c>
      <c r="AA175" s="8">
        <v>0</v>
      </c>
    </row>
    <row r="176" spans="1:27" x14ac:dyDescent="0.25">
      <c r="A176" t="s">
        <v>45</v>
      </c>
      <c r="B176">
        <v>3</v>
      </c>
      <c r="C176">
        <v>3</v>
      </c>
      <c r="D176">
        <v>1</v>
      </c>
      <c r="E176">
        <v>0</v>
      </c>
      <c r="F176">
        <v>0</v>
      </c>
      <c r="G176">
        <v>112.95010000000001</v>
      </c>
      <c r="H176">
        <v>560</v>
      </c>
      <c r="I176">
        <v>0</v>
      </c>
      <c r="J176">
        <v>4</v>
      </c>
      <c r="K176">
        <v>10</v>
      </c>
      <c r="L176">
        <v>42</v>
      </c>
      <c r="M176">
        <v>0</v>
      </c>
      <c r="O176" s="3" t="s">
        <v>44</v>
      </c>
      <c r="P176" s="4">
        <v>0</v>
      </c>
      <c r="Q176" s="4">
        <v>3</v>
      </c>
      <c r="R176" s="4">
        <v>1</v>
      </c>
      <c r="S176" s="4">
        <v>0</v>
      </c>
      <c r="T176" s="4">
        <v>0</v>
      </c>
      <c r="U176" s="4">
        <v>8.306885E-2</v>
      </c>
      <c r="V176" s="4">
        <v>0</v>
      </c>
      <c r="W176" s="4">
        <v>0</v>
      </c>
      <c r="X176" s="4">
        <v>0</v>
      </c>
      <c r="Y176" s="4">
        <v>0</v>
      </c>
      <c r="Z176" s="4">
        <v>0</v>
      </c>
      <c r="AA176" s="5">
        <v>0</v>
      </c>
    </row>
    <row r="177" spans="1:27" x14ac:dyDescent="0.25">
      <c r="A177" t="s">
        <v>45</v>
      </c>
      <c r="B177">
        <v>6</v>
      </c>
      <c r="C177">
        <v>2</v>
      </c>
      <c r="D177">
        <v>1</v>
      </c>
      <c r="E177">
        <v>0</v>
      </c>
      <c r="F177">
        <v>0</v>
      </c>
      <c r="G177">
        <v>176.0076</v>
      </c>
      <c r="H177">
        <v>920</v>
      </c>
      <c r="I177">
        <v>0</v>
      </c>
      <c r="J177">
        <v>6</v>
      </c>
      <c r="K177">
        <v>13</v>
      </c>
      <c r="L177">
        <v>63</v>
      </c>
      <c r="M177">
        <v>0</v>
      </c>
      <c r="O177" s="6" t="s">
        <v>44</v>
      </c>
      <c r="P177" s="7">
        <v>0</v>
      </c>
      <c r="Q177" s="7">
        <v>3</v>
      </c>
      <c r="R177" s="7">
        <v>1</v>
      </c>
      <c r="S177" s="7">
        <v>0</v>
      </c>
      <c r="T177" s="7">
        <v>0</v>
      </c>
      <c r="U177" s="7">
        <v>5.2780149999999998E-2</v>
      </c>
      <c r="V177" s="7">
        <v>0</v>
      </c>
      <c r="W177" s="7">
        <v>0</v>
      </c>
      <c r="X177" s="7">
        <v>0</v>
      </c>
      <c r="Y177" s="7">
        <v>0</v>
      </c>
      <c r="Z177" s="7">
        <v>0</v>
      </c>
      <c r="AA177" s="8">
        <v>0</v>
      </c>
    </row>
    <row r="178" spans="1:27" x14ac:dyDescent="0.25">
      <c r="A178" t="s">
        <v>45</v>
      </c>
      <c r="B178">
        <v>4</v>
      </c>
      <c r="C178">
        <v>4</v>
      </c>
      <c r="D178">
        <v>1</v>
      </c>
      <c r="E178">
        <v>0</v>
      </c>
      <c r="F178">
        <v>0</v>
      </c>
      <c r="G178">
        <v>113.9064</v>
      </c>
      <c r="H178">
        <v>600</v>
      </c>
      <c r="I178">
        <v>0</v>
      </c>
      <c r="J178">
        <v>4</v>
      </c>
      <c r="K178">
        <v>13</v>
      </c>
      <c r="L178">
        <v>50</v>
      </c>
      <c r="M178">
        <v>0</v>
      </c>
      <c r="O178" s="3" t="s">
        <v>44</v>
      </c>
      <c r="P178" s="4">
        <v>0</v>
      </c>
      <c r="Q178" s="4">
        <v>4</v>
      </c>
      <c r="R178" s="4">
        <v>1</v>
      </c>
      <c r="S178" s="4">
        <v>0</v>
      </c>
      <c r="T178" s="4">
        <v>0</v>
      </c>
      <c r="U178" s="4">
        <v>1.9708630000000001E-2</v>
      </c>
      <c r="V178" s="4">
        <v>0</v>
      </c>
      <c r="W178" s="4">
        <v>0</v>
      </c>
      <c r="X178" s="4">
        <v>0</v>
      </c>
      <c r="Y178" s="4">
        <v>0</v>
      </c>
      <c r="Z178" s="4">
        <v>1</v>
      </c>
      <c r="AA178" s="5">
        <v>0</v>
      </c>
    </row>
    <row r="179" spans="1:27" x14ac:dyDescent="0.25">
      <c r="A179" t="s">
        <v>45</v>
      </c>
      <c r="B179">
        <v>10</v>
      </c>
      <c r="C179">
        <v>4</v>
      </c>
      <c r="D179">
        <v>1</v>
      </c>
      <c r="E179">
        <v>0</v>
      </c>
      <c r="F179">
        <v>0</v>
      </c>
      <c r="G179">
        <v>273.16309999999999</v>
      </c>
      <c r="H179">
        <v>1360</v>
      </c>
      <c r="I179">
        <v>0</v>
      </c>
      <c r="J179">
        <v>9</v>
      </c>
      <c r="K179">
        <v>7</v>
      </c>
      <c r="L179">
        <v>117</v>
      </c>
      <c r="M179">
        <v>0</v>
      </c>
      <c r="O179" s="10" t="s">
        <v>12</v>
      </c>
      <c r="P179" s="9">
        <f t="shared" ref="P179:AA179" si="6">AVERAGE(P155:P178)</f>
        <v>0</v>
      </c>
      <c r="Q179" s="9">
        <f t="shared" si="6"/>
        <v>2.4583333333333335</v>
      </c>
      <c r="R179" s="9">
        <f t="shared" si="6"/>
        <v>1</v>
      </c>
      <c r="S179" s="9">
        <f t="shared" si="6"/>
        <v>0</v>
      </c>
      <c r="T179" s="9">
        <f t="shared" si="6"/>
        <v>0</v>
      </c>
      <c r="U179" s="9">
        <f t="shared" si="6"/>
        <v>0.19488402541666663</v>
      </c>
      <c r="V179" s="9">
        <f t="shared" si="6"/>
        <v>0</v>
      </c>
      <c r="W179" s="9">
        <f t="shared" si="6"/>
        <v>0</v>
      </c>
      <c r="X179" s="9">
        <f t="shared" si="6"/>
        <v>0</v>
      </c>
      <c r="Y179" s="9">
        <f t="shared" si="6"/>
        <v>0</v>
      </c>
      <c r="Z179" s="9">
        <f t="shared" si="6"/>
        <v>0.16666666666666666</v>
      </c>
      <c r="AA179" s="9">
        <f t="shared" si="6"/>
        <v>0</v>
      </c>
    </row>
    <row r="180" spans="1:27" x14ac:dyDescent="0.25">
      <c r="A180" t="s">
        <v>45</v>
      </c>
      <c r="B180">
        <v>12</v>
      </c>
      <c r="C180">
        <v>4</v>
      </c>
      <c r="D180">
        <v>1</v>
      </c>
      <c r="E180">
        <v>0</v>
      </c>
      <c r="F180">
        <v>0</v>
      </c>
      <c r="G180">
        <v>382.0283</v>
      </c>
      <c r="H180">
        <v>1680</v>
      </c>
      <c r="I180">
        <v>0</v>
      </c>
      <c r="J180">
        <v>11</v>
      </c>
      <c r="K180">
        <v>11</v>
      </c>
      <c r="L180">
        <v>130</v>
      </c>
      <c r="M180">
        <v>0</v>
      </c>
      <c r="O180" s="6" t="s">
        <v>45</v>
      </c>
      <c r="P180" s="7">
        <v>12</v>
      </c>
      <c r="Q180" s="7">
        <v>3</v>
      </c>
      <c r="R180" s="7">
        <v>1</v>
      </c>
      <c r="S180" s="7">
        <v>0</v>
      </c>
      <c r="T180" s="7">
        <v>169</v>
      </c>
      <c r="U180" s="7">
        <v>319.51400000000001</v>
      </c>
      <c r="V180" s="7">
        <v>1840</v>
      </c>
      <c r="W180" s="7">
        <v>0</v>
      </c>
      <c r="X180" s="7">
        <v>10</v>
      </c>
      <c r="Y180" s="7">
        <v>14</v>
      </c>
      <c r="Z180" s="7">
        <v>155</v>
      </c>
      <c r="AA180" s="8">
        <v>0</v>
      </c>
    </row>
    <row r="181" spans="1:27" x14ac:dyDescent="0.25">
      <c r="A181" t="s">
        <v>45</v>
      </c>
      <c r="B181">
        <v>0</v>
      </c>
      <c r="C181">
        <v>1</v>
      </c>
      <c r="D181">
        <v>0</v>
      </c>
      <c r="E181">
        <v>0</v>
      </c>
      <c r="F181">
        <v>0</v>
      </c>
      <c r="G181">
        <v>89.030519999999996</v>
      </c>
      <c r="H181">
        <v>0</v>
      </c>
      <c r="I181">
        <v>0</v>
      </c>
      <c r="J181">
        <v>1</v>
      </c>
      <c r="K181">
        <v>1</v>
      </c>
      <c r="L181">
        <v>73</v>
      </c>
      <c r="M181">
        <v>0</v>
      </c>
      <c r="O181" s="3" t="s">
        <v>45</v>
      </c>
      <c r="P181" s="4">
        <v>8</v>
      </c>
      <c r="Q181" s="4">
        <v>3</v>
      </c>
      <c r="R181" s="4">
        <v>1</v>
      </c>
      <c r="S181" s="4">
        <v>0</v>
      </c>
      <c r="T181" s="4">
        <v>0</v>
      </c>
      <c r="U181" s="4">
        <v>259.06099999999998</v>
      </c>
      <c r="V181" s="4">
        <v>760</v>
      </c>
      <c r="W181" s="4">
        <v>0</v>
      </c>
      <c r="X181" s="4">
        <v>8</v>
      </c>
      <c r="Y181" s="4">
        <v>4</v>
      </c>
      <c r="Z181" s="4">
        <v>80</v>
      </c>
      <c r="AA181" s="5">
        <v>0</v>
      </c>
    </row>
    <row r="182" spans="1:27" x14ac:dyDescent="0.25">
      <c r="A182" t="s">
        <v>45</v>
      </c>
      <c r="B182">
        <v>11</v>
      </c>
      <c r="C182">
        <v>4</v>
      </c>
      <c r="D182">
        <v>1</v>
      </c>
      <c r="E182">
        <v>1</v>
      </c>
      <c r="F182">
        <v>4025</v>
      </c>
      <c r="G182">
        <v>328.56689999999998</v>
      </c>
      <c r="H182">
        <v>1440</v>
      </c>
      <c r="I182">
        <v>0</v>
      </c>
      <c r="J182">
        <v>10</v>
      </c>
      <c r="K182">
        <v>7</v>
      </c>
      <c r="L182">
        <v>105</v>
      </c>
      <c r="M182">
        <v>0</v>
      </c>
      <c r="O182" s="6" t="s">
        <v>45</v>
      </c>
      <c r="P182" s="7">
        <v>9</v>
      </c>
      <c r="Q182" s="7">
        <v>4</v>
      </c>
      <c r="R182" s="7">
        <v>1</v>
      </c>
      <c r="S182" s="7">
        <v>0</v>
      </c>
      <c r="T182" s="7">
        <v>0</v>
      </c>
      <c r="U182" s="7">
        <v>319.22719999999998</v>
      </c>
      <c r="V182" s="7">
        <v>1400</v>
      </c>
      <c r="W182" s="7">
        <v>0</v>
      </c>
      <c r="X182" s="7">
        <v>10</v>
      </c>
      <c r="Y182" s="7">
        <v>13</v>
      </c>
      <c r="Z182" s="7">
        <v>120</v>
      </c>
      <c r="AA182" s="8">
        <v>0</v>
      </c>
    </row>
    <row r="183" spans="1:27" x14ac:dyDescent="0.25">
      <c r="A183" t="s">
        <v>45</v>
      </c>
      <c r="B183">
        <v>6</v>
      </c>
      <c r="C183">
        <v>4</v>
      </c>
      <c r="D183">
        <v>1</v>
      </c>
      <c r="E183">
        <v>0</v>
      </c>
      <c r="F183">
        <v>0</v>
      </c>
      <c r="G183">
        <v>177.7783</v>
      </c>
      <c r="H183">
        <v>840</v>
      </c>
      <c r="I183">
        <v>0</v>
      </c>
      <c r="J183">
        <v>6</v>
      </c>
      <c r="K183">
        <v>5</v>
      </c>
      <c r="L183">
        <v>52</v>
      </c>
      <c r="M183">
        <v>0</v>
      </c>
      <c r="O183" s="3" t="s">
        <v>45</v>
      </c>
      <c r="P183" s="4">
        <v>0</v>
      </c>
      <c r="Q183" s="4">
        <v>3</v>
      </c>
      <c r="R183" s="4">
        <v>1</v>
      </c>
      <c r="S183" s="4">
        <v>0</v>
      </c>
      <c r="T183" s="4">
        <v>0</v>
      </c>
      <c r="U183" s="4">
        <v>25.426639999999999</v>
      </c>
      <c r="V183" s="4">
        <v>40</v>
      </c>
      <c r="W183" s="4">
        <v>0</v>
      </c>
      <c r="X183" s="4">
        <v>1</v>
      </c>
      <c r="Y183" s="4">
        <v>0</v>
      </c>
      <c r="Z183" s="4">
        <v>10</v>
      </c>
      <c r="AA183" s="5">
        <v>0</v>
      </c>
    </row>
    <row r="184" spans="1:27" x14ac:dyDescent="0.25">
      <c r="A184" t="s">
        <v>45</v>
      </c>
      <c r="B184">
        <v>2</v>
      </c>
      <c r="C184">
        <v>1</v>
      </c>
      <c r="D184">
        <v>0</v>
      </c>
      <c r="E184">
        <v>0</v>
      </c>
      <c r="F184">
        <v>0</v>
      </c>
      <c r="G184">
        <v>165.1301</v>
      </c>
      <c r="H184">
        <v>680</v>
      </c>
      <c r="I184">
        <v>0</v>
      </c>
      <c r="J184">
        <v>3</v>
      </c>
      <c r="K184">
        <v>10</v>
      </c>
      <c r="L184">
        <v>38</v>
      </c>
      <c r="M184">
        <v>0</v>
      </c>
      <c r="O184" s="6" t="s">
        <v>45</v>
      </c>
      <c r="P184" s="7">
        <v>0</v>
      </c>
      <c r="Q184" s="7">
        <v>1</v>
      </c>
      <c r="R184" s="7">
        <v>0</v>
      </c>
      <c r="S184" s="7">
        <v>0</v>
      </c>
      <c r="T184" s="7">
        <v>0</v>
      </c>
      <c r="U184" s="7">
        <v>25.991879999999998</v>
      </c>
      <c r="V184" s="7">
        <v>40</v>
      </c>
      <c r="W184" s="7">
        <v>0</v>
      </c>
      <c r="X184" s="7">
        <v>1</v>
      </c>
      <c r="Y184" s="7">
        <v>0</v>
      </c>
      <c r="Z184" s="7">
        <v>7</v>
      </c>
      <c r="AA184" s="8">
        <v>0</v>
      </c>
    </row>
    <row r="185" spans="1:27" x14ac:dyDescent="0.25">
      <c r="A185" t="s">
        <v>45</v>
      </c>
      <c r="B185">
        <v>2</v>
      </c>
      <c r="C185">
        <v>1</v>
      </c>
      <c r="D185">
        <v>0</v>
      </c>
      <c r="E185">
        <v>0</v>
      </c>
      <c r="F185">
        <v>0</v>
      </c>
      <c r="G185">
        <v>347.70749999999998</v>
      </c>
      <c r="H185">
        <v>700</v>
      </c>
      <c r="I185">
        <v>0</v>
      </c>
      <c r="J185">
        <v>3</v>
      </c>
      <c r="K185">
        <v>12</v>
      </c>
      <c r="L185">
        <v>57</v>
      </c>
      <c r="M185">
        <v>0</v>
      </c>
      <c r="O185" s="3" t="s">
        <v>45</v>
      </c>
      <c r="P185" s="4">
        <v>6</v>
      </c>
      <c r="Q185" s="4">
        <v>3</v>
      </c>
      <c r="R185" s="4">
        <v>1</v>
      </c>
      <c r="S185" s="4">
        <v>0</v>
      </c>
      <c r="T185" s="4">
        <v>0</v>
      </c>
      <c r="U185" s="4">
        <v>170.01750000000001</v>
      </c>
      <c r="V185" s="4">
        <v>960</v>
      </c>
      <c r="W185" s="4">
        <v>0</v>
      </c>
      <c r="X185" s="4">
        <v>6</v>
      </c>
      <c r="Y185" s="4">
        <v>11</v>
      </c>
      <c r="Z185" s="4">
        <v>75</v>
      </c>
      <c r="AA185" s="5">
        <v>2</v>
      </c>
    </row>
    <row r="186" spans="1:27" x14ac:dyDescent="0.25">
      <c r="A186" t="s">
        <v>45</v>
      </c>
      <c r="B186">
        <v>9</v>
      </c>
      <c r="C186">
        <v>4</v>
      </c>
      <c r="D186">
        <v>1</v>
      </c>
      <c r="E186">
        <v>0</v>
      </c>
      <c r="F186">
        <v>0</v>
      </c>
      <c r="G186">
        <v>229.10059999999999</v>
      </c>
      <c r="H186">
        <v>1680</v>
      </c>
      <c r="I186">
        <v>0</v>
      </c>
      <c r="J186">
        <v>10</v>
      </c>
      <c r="K186">
        <v>15</v>
      </c>
      <c r="L186">
        <v>51</v>
      </c>
      <c r="M186">
        <v>0</v>
      </c>
      <c r="O186" s="6" t="s">
        <v>45</v>
      </c>
      <c r="P186" s="7">
        <v>3</v>
      </c>
      <c r="Q186" s="7">
        <v>3</v>
      </c>
      <c r="R186" s="7">
        <v>1</v>
      </c>
      <c r="S186" s="7">
        <v>0</v>
      </c>
      <c r="T186" s="7">
        <v>0</v>
      </c>
      <c r="U186" s="7">
        <v>112.95010000000001</v>
      </c>
      <c r="V186" s="7">
        <v>560</v>
      </c>
      <c r="W186" s="7">
        <v>0</v>
      </c>
      <c r="X186" s="7">
        <v>4</v>
      </c>
      <c r="Y186" s="7">
        <v>10</v>
      </c>
      <c r="Z186" s="7">
        <v>42</v>
      </c>
      <c r="AA186" s="8">
        <v>0</v>
      </c>
    </row>
    <row r="187" spans="1:27" x14ac:dyDescent="0.25">
      <c r="A187" t="s">
        <v>45</v>
      </c>
      <c r="B187">
        <v>0</v>
      </c>
      <c r="C187">
        <v>1</v>
      </c>
      <c r="D187">
        <v>0</v>
      </c>
      <c r="E187">
        <v>0</v>
      </c>
      <c r="F187">
        <v>0</v>
      </c>
      <c r="G187">
        <v>145.39449999999999</v>
      </c>
      <c r="H187">
        <v>200</v>
      </c>
      <c r="I187">
        <v>0</v>
      </c>
      <c r="J187">
        <v>1</v>
      </c>
      <c r="K187">
        <v>5</v>
      </c>
      <c r="L187">
        <v>35</v>
      </c>
      <c r="M187">
        <v>0</v>
      </c>
      <c r="O187" s="3" t="s">
        <v>45</v>
      </c>
      <c r="P187" s="4">
        <v>6</v>
      </c>
      <c r="Q187" s="4">
        <v>2</v>
      </c>
      <c r="R187" s="4">
        <v>1</v>
      </c>
      <c r="S187" s="4">
        <v>0</v>
      </c>
      <c r="T187" s="4">
        <v>0</v>
      </c>
      <c r="U187" s="4">
        <v>176.0076</v>
      </c>
      <c r="V187" s="4">
        <v>920</v>
      </c>
      <c r="W187" s="4">
        <v>0</v>
      </c>
      <c r="X187" s="4">
        <v>6</v>
      </c>
      <c r="Y187" s="4">
        <v>13</v>
      </c>
      <c r="Z187" s="4">
        <v>63</v>
      </c>
      <c r="AA187" s="5">
        <v>0</v>
      </c>
    </row>
    <row r="188" spans="1:27" x14ac:dyDescent="0.25">
      <c r="A188" t="s">
        <v>45</v>
      </c>
      <c r="B188">
        <v>7</v>
      </c>
      <c r="C188">
        <v>4</v>
      </c>
      <c r="D188">
        <v>1</v>
      </c>
      <c r="E188">
        <v>0</v>
      </c>
      <c r="F188">
        <v>0</v>
      </c>
      <c r="G188">
        <v>148.1123</v>
      </c>
      <c r="H188">
        <v>1080</v>
      </c>
      <c r="I188">
        <v>0</v>
      </c>
      <c r="J188">
        <v>7</v>
      </c>
      <c r="K188">
        <v>8</v>
      </c>
      <c r="L188">
        <v>37</v>
      </c>
      <c r="M188">
        <v>0</v>
      </c>
      <c r="O188" s="6" t="s">
        <v>45</v>
      </c>
      <c r="P188" s="7">
        <v>4</v>
      </c>
      <c r="Q188" s="7">
        <v>4</v>
      </c>
      <c r="R188" s="7">
        <v>1</v>
      </c>
      <c r="S188" s="7">
        <v>0</v>
      </c>
      <c r="T188" s="7">
        <v>0</v>
      </c>
      <c r="U188" s="7">
        <v>113.9064</v>
      </c>
      <c r="V188" s="7">
        <v>600</v>
      </c>
      <c r="W188" s="7">
        <v>0</v>
      </c>
      <c r="X188" s="7">
        <v>4</v>
      </c>
      <c r="Y188" s="7">
        <v>13</v>
      </c>
      <c r="Z188" s="7">
        <v>50</v>
      </c>
      <c r="AA188" s="8">
        <v>0</v>
      </c>
    </row>
    <row r="189" spans="1:27" x14ac:dyDescent="0.25">
      <c r="A189" t="s">
        <v>45</v>
      </c>
      <c r="B189">
        <v>6</v>
      </c>
      <c r="C189">
        <v>1</v>
      </c>
      <c r="D189">
        <v>0</v>
      </c>
      <c r="E189">
        <v>0</v>
      </c>
      <c r="F189">
        <v>0</v>
      </c>
      <c r="G189">
        <v>539.14110000000005</v>
      </c>
      <c r="H189">
        <v>1120</v>
      </c>
      <c r="I189">
        <v>0</v>
      </c>
      <c r="J189">
        <v>8</v>
      </c>
      <c r="K189">
        <v>14</v>
      </c>
      <c r="L189">
        <v>84</v>
      </c>
      <c r="M189">
        <v>0</v>
      </c>
      <c r="O189" s="3" t="s">
        <v>45</v>
      </c>
      <c r="P189" s="4">
        <v>10</v>
      </c>
      <c r="Q189" s="4">
        <v>4</v>
      </c>
      <c r="R189" s="4">
        <v>1</v>
      </c>
      <c r="S189" s="4">
        <v>0</v>
      </c>
      <c r="T189" s="4">
        <v>0</v>
      </c>
      <c r="U189" s="4">
        <v>273.16309999999999</v>
      </c>
      <c r="V189" s="4">
        <v>1360</v>
      </c>
      <c r="W189" s="4">
        <v>0</v>
      </c>
      <c r="X189" s="4">
        <v>9</v>
      </c>
      <c r="Y189" s="4">
        <v>7</v>
      </c>
      <c r="Z189" s="4">
        <v>117</v>
      </c>
      <c r="AA189" s="5">
        <v>0</v>
      </c>
    </row>
    <row r="190" spans="1:27" x14ac:dyDescent="0.25">
      <c r="A190" t="s">
        <v>45</v>
      </c>
      <c r="B190">
        <v>0</v>
      </c>
      <c r="C190">
        <v>1</v>
      </c>
      <c r="D190">
        <v>0</v>
      </c>
      <c r="E190">
        <v>0</v>
      </c>
      <c r="F190">
        <v>0</v>
      </c>
      <c r="G190">
        <v>132.8184</v>
      </c>
      <c r="H190">
        <v>320</v>
      </c>
      <c r="I190">
        <v>0</v>
      </c>
      <c r="J190">
        <v>1</v>
      </c>
      <c r="K190">
        <v>6</v>
      </c>
      <c r="L190">
        <v>27</v>
      </c>
      <c r="M190">
        <v>0</v>
      </c>
      <c r="O190" s="6" t="s">
        <v>45</v>
      </c>
      <c r="P190" s="7">
        <v>12</v>
      </c>
      <c r="Q190" s="7">
        <v>4</v>
      </c>
      <c r="R190" s="7">
        <v>1</v>
      </c>
      <c r="S190" s="7">
        <v>0</v>
      </c>
      <c r="T190" s="7">
        <v>0</v>
      </c>
      <c r="U190" s="7">
        <v>382.0283</v>
      </c>
      <c r="V190" s="7">
        <v>1680</v>
      </c>
      <c r="W190" s="7">
        <v>0</v>
      </c>
      <c r="X190" s="7">
        <v>11</v>
      </c>
      <c r="Y190" s="7">
        <v>11</v>
      </c>
      <c r="Z190" s="7">
        <v>130</v>
      </c>
      <c r="AA190" s="8">
        <v>0</v>
      </c>
    </row>
    <row r="191" spans="1:27" x14ac:dyDescent="0.25">
      <c r="A191" t="s">
        <v>45</v>
      </c>
      <c r="B191">
        <v>3</v>
      </c>
      <c r="C191">
        <v>4</v>
      </c>
      <c r="D191">
        <v>1</v>
      </c>
      <c r="E191">
        <v>0</v>
      </c>
      <c r="F191">
        <v>0</v>
      </c>
      <c r="G191">
        <v>143.6489</v>
      </c>
      <c r="H191">
        <v>440</v>
      </c>
      <c r="I191">
        <v>0</v>
      </c>
      <c r="J191">
        <v>3</v>
      </c>
      <c r="K191">
        <v>6</v>
      </c>
      <c r="L191">
        <v>42</v>
      </c>
      <c r="M191">
        <v>0</v>
      </c>
      <c r="O191" s="3" t="s">
        <v>45</v>
      </c>
      <c r="P191" s="4">
        <v>0</v>
      </c>
      <c r="Q191" s="4">
        <v>1</v>
      </c>
      <c r="R191" s="4">
        <v>0</v>
      </c>
      <c r="S191" s="4">
        <v>0</v>
      </c>
      <c r="T191" s="4">
        <v>0</v>
      </c>
      <c r="U191" s="4">
        <v>89.030519999999996</v>
      </c>
      <c r="V191" s="4">
        <v>0</v>
      </c>
      <c r="W191" s="4">
        <v>0</v>
      </c>
      <c r="X191" s="4">
        <v>1</v>
      </c>
      <c r="Y191" s="4">
        <v>1</v>
      </c>
      <c r="Z191" s="4">
        <v>73</v>
      </c>
      <c r="AA191" s="5">
        <v>0</v>
      </c>
    </row>
    <row r="192" spans="1:27" x14ac:dyDescent="0.25">
      <c r="A192" t="s">
        <v>45</v>
      </c>
      <c r="B192">
        <v>4</v>
      </c>
      <c r="C192">
        <v>4</v>
      </c>
      <c r="D192">
        <v>1</v>
      </c>
      <c r="E192">
        <v>0</v>
      </c>
      <c r="F192">
        <v>0</v>
      </c>
      <c r="G192">
        <v>92.614260000000002</v>
      </c>
      <c r="H192">
        <v>639</v>
      </c>
      <c r="I192">
        <v>0</v>
      </c>
      <c r="J192">
        <v>4</v>
      </c>
      <c r="K192">
        <v>3</v>
      </c>
      <c r="L192">
        <v>20</v>
      </c>
      <c r="M192">
        <v>0</v>
      </c>
      <c r="O192" s="6" t="s">
        <v>45</v>
      </c>
      <c r="P192" s="7">
        <v>11</v>
      </c>
      <c r="Q192" s="7">
        <v>4</v>
      </c>
      <c r="R192" s="7">
        <v>1</v>
      </c>
      <c r="S192" s="7">
        <v>1</v>
      </c>
      <c r="T192" s="7">
        <v>4025</v>
      </c>
      <c r="U192" s="7">
        <v>328.56689999999998</v>
      </c>
      <c r="V192" s="7">
        <v>1440</v>
      </c>
      <c r="W192" s="7">
        <v>0</v>
      </c>
      <c r="X192" s="7">
        <v>10</v>
      </c>
      <c r="Y192" s="7">
        <v>7</v>
      </c>
      <c r="Z192" s="7">
        <v>105</v>
      </c>
      <c r="AA192" s="8">
        <v>0</v>
      </c>
    </row>
    <row r="193" spans="1:27" x14ac:dyDescent="0.25">
      <c r="A193" t="s">
        <v>45</v>
      </c>
      <c r="B193">
        <v>5</v>
      </c>
      <c r="C193">
        <v>4</v>
      </c>
      <c r="D193">
        <v>1</v>
      </c>
      <c r="E193">
        <v>0</v>
      </c>
      <c r="F193">
        <v>0</v>
      </c>
      <c r="G193">
        <v>158.62260000000001</v>
      </c>
      <c r="H193">
        <v>680</v>
      </c>
      <c r="I193">
        <v>0</v>
      </c>
      <c r="J193">
        <v>6</v>
      </c>
      <c r="K193">
        <v>3</v>
      </c>
      <c r="L193">
        <v>28</v>
      </c>
      <c r="M193">
        <v>0</v>
      </c>
      <c r="O193" s="3" t="s">
        <v>45</v>
      </c>
      <c r="P193" s="4">
        <v>6</v>
      </c>
      <c r="Q193" s="4">
        <v>4</v>
      </c>
      <c r="R193" s="4">
        <v>1</v>
      </c>
      <c r="S193" s="4">
        <v>0</v>
      </c>
      <c r="T193" s="4">
        <v>0</v>
      </c>
      <c r="U193" s="4">
        <v>177.7783</v>
      </c>
      <c r="V193" s="4">
        <v>840</v>
      </c>
      <c r="W193" s="4">
        <v>0</v>
      </c>
      <c r="X193" s="4">
        <v>6</v>
      </c>
      <c r="Y193" s="4">
        <v>5</v>
      </c>
      <c r="Z193" s="4">
        <v>52</v>
      </c>
      <c r="AA193" s="5">
        <v>0</v>
      </c>
    </row>
    <row r="194" spans="1:27" x14ac:dyDescent="0.25">
      <c r="A194" t="s">
        <v>46</v>
      </c>
      <c r="B194">
        <v>0</v>
      </c>
      <c r="C194">
        <v>1</v>
      </c>
      <c r="D194">
        <v>0</v>
      </c>
      <c r="E194">
        <v>0</v>
      </c>
      <c r="F194">
        <v>0</v>
      </c>
      <c r="G194">
        <v>36.219250000000002</v>
      </c>
      <c r="H194">
        <v>120</v>
      </c>
      <c r="I194">
        <v>1</v>
      </c>
      <c r="J194">
        <v>1</v>
      </c>
      <c r="K194">
        <v>2</v>
      </c>
      <c r="L194">
        <v>11</v>
      </c>
      <c r="M194">
        <v>0</v>
      </c>
      <c r="O194" s="6" t="s">
        <v>45</v>
      </c>
      <c r="P194" s="7">
        <v>2</v>
      </c>
      <c r="Q194" s="7">
        <v>1</v>
      </c>
      <c r="R194" s="7">
        <v>0</v>
      </c>
      <c r="S194" s="7">
        <v>0</v>
      </c>
      <c r="T194" s="7">
        <v>0</v>
      </c>
      <c r="U194" s="7">
        <v>165.1301</v>
      </c>
      <c r="V194" s="7">
        <v>680</v>
      </c>
      <c r="W194" s="7">
        <v>0</v>
      </c>
      <c r="X194" s="7">
        <v>3</v>
      </c>
      <c r="Y194" s="7">
        <v>10</v>
      </c>
      <c r="Z194" s="7">
        <v>38</v>
      </c>
      <c r="AA194" s="8">
        <v>0</v>
      </c>
    </row>
    <row r="195" spans="1:27" x14ac:dyDescent="0.25">
      <c r="A195" t="s">
        <v>46</v>
      </c>
      <c r="B195">
        <v>0</v>
      </c>
      <c r="C195">
        <v>2</v>
      </c>
      <c r="D195">
        <v>0</v>
      </c>
      <c r="E195">
        <v>1</v>
      </c>
      <c r="F195">
        <v>31</v>
      </c>
      <c r="G195">
        <v>41.856760000000001</v>
      </c>
      <c r="H195">
        <v>120</v>
      </c>
      <c r="I195">
        <v>1</v>
      </c>
      <c r="J195">
        <v>1</v>
      </c>
      <c r="K195">
        <v>3</v>
      </c>
      <c r="L195">
        <v>12</v>
      </c>
      <c r="M195">
        <v>0</v>
      </c>
      <c r="O195" s="3" t="s">
        <v>45</v>
      </c>
      <c r="P195" s="4">
        <v>2</v>
      </c>
      <c r="Q195" s="4">
        <v>1</v>
      </c>
      <c r="R195" s="4">
        <v>0</v>
      </c>
      <c r="S195" s="4">
        <v>0</v>
      </c>
      <c r="T195" s="4">
        <v>0</v>
      </c>
      <c r="U195" s="4">
        <v>347.70749999999998</v>
      </c>
      <c r="V195" s="4">
        <v>700</v>
      </c>
      <c r="W195" s="4">
        <v>0</v>
      </c>
      <c r="X195" s="4">
        <v>3</v>
      </c>
      <c r="Y195" s="4">
        <v>12</v>
      </c>
      <c r="Z195" s="4">
        <v>57</v>
      </c>
      <c r="AA195" s="5">
        <v>0</v>
      </c>
    </row>
    <row r="196" spans="1:27" x14ac:dyDescent="0.25">
      <c r="A196" t="s">
        <v>46</v>
      </c>
      <c r="B196">
        <v>0</v>
      </c>
      <c r="C196">
        <v>1</v>
      </c>
      <c r="D196">
        <v>0</v>
      </c>
      <c r="E196">
        <v>0</v>
      </c>
      <c r="F196">
        <v>0</v>
      </c>
      <c r="G196">
        <v>43.831359999999997</v>
      </c>
      <c r="H196">
        <v>160</v>
      </c>
      <c r="I196">
        <v>1</v>
      </c>
      <c r="J196">
        <v>1</v>
      </c>
      <c r="K196">
        <v>3</v>
      </c>
      <c r="L196">
        <v>15</v>
      </c>
      <c r="M196">
        <v>0</v>
      </c>
      <c r="O196" s="6" t="s">
        <v>45</v>
      </c>
      <c r="P196" s="7">
        <v>9</v>
      </c>
      <c r="Q196" s="7">
        <v>4</v>
      </c>
      <c r="R196" s="7">
        <v>1</v>
      </c>
      <c r="S196" s="7">
        <v>0</v>
      </c>
      <c r="T196" s="7">
        <v>0</v>
      </c>
      <c r="U196" s="7">
        <v>229.10059999999999</v>
      </c>
      <c r="V196" s="7">
        <v>1680</v>
      </c>
      <c r="W196" s="7">
        <v>0</v>
      </c>
      <c r="X196" s="7">
        <v>10</v>
      </c>
      <c r="Y196" s="7">
        <v>15</v>
      </c>
      <c r="Z196" s="7">
        <v>51</v>
      </c>
      <c r="AA196" s="8">
        <v>0</v>
      </c>
    </row>
    <row r="197" spans="1:27" x14ac:dyDescent="0.25">
      <c r="A197" t="s">
        <v>46</v>
      </c>
      <c r="B197">
        <v>0</v>
      </c>
      <c r="C197">
        <v>1</v>
      </c>
      <c r="D197">
        <v>0</v>
      </c>
      <c r="E197">
        <v>0</v>
      </c>
      <c r="F197">
        <v>0</v>
      </c>
      <c r="G197">
        <v>27.985379999999999</v>
      </c>
      <c r="H197">
        <v>80</v>
      </c>
      <c r="I197">
        <v>1</v>
      </c>
      <c r="J197">
        <v>1</v>
      </c>
      <c r="K197">
        <v>1</v>
      </c>
      <c r="L197">
        <v>11</v>
      </c>
      <c r="M197">
        <v>0</v>
      </c>
      <c r="O197" s="3" t="s">
        <v>45</v>
      </c>
      <c r="P197" s="4">
        <v>0</v>
      </c>
      <c r="Q197" s="4">
        <v>1</v>
      </c>
      <c r="R197" s="4">
        <v>0</v>
      </c>
      <c r="S197" s="4">
        <v>0</v>
      </c>
      <c r="T197" s="4">
        <v>0</v>
      </c>
      <c r="U197" s="4">
        <v>145.39449999999999</v>
      </c>
      <c r="V197" s="4">
        <v>200</v>
      </c>
      <c r="W197" s="4">
        <v>0</v>
      </c>
      <c r="X197" s="4">
        <v>1</v>
      </c>
      <c r="Y197" s="4">
        <v>5</v>
      </c>
      <c r="Z197" s="4">
        <v>35</v>
      </c>
      <c r="AA197" s="5">
        <v>0</v>
      </c>
    </row>
    <row r="198" spans="1:27" x14ac:dyDescent="0.25">
      <c r="A198" t="s">
        <v>46</v>
      </c>
      <c r="B198">
        <v>0</v>
      </c>
      <c r="C198">
        <v>1</v>
      </c>
      <c r="D198">
        <v>0</v>
      </c>
      <c r="E198">
        <v>0</v>
      </c>
      <c r="F198">
        <v>0</v>
      </c>
      <c r="G198">
        <v>15.479660000000001</v>
      </c>
      <c r="H198">
        <v>0</v>
      </c>
      <c r="I198">
        <v>1</v>
      </c>
      <c r="J198">
        <v>1</v>
      </c>
      <c r="K198">
        <v>0</v>
      </c>
      <c r="L198">
        <v>6</v>
      </c>
      <c r="M198">
        <v>0</v>
      </c>
      <c r="O198" s="6" t="s">
        <v>45</v>
      </c>
      <c r="P198" s="7">
        <v>7</v>
      </c>
      <c r="Q198" s="7">
        <v>4</v>
      </c>
      <c r="R198" s="7">
        <v>1</v>
      </c>
      <c r="S198" s="7">
        <v>0</v>
      </c>
      <c r="T198" s="7">
        <v>0</v>
      </c>
      <c r="U198" s="7">
        <v>148.1123</v>
      </c>
      <c r="V198" s="7">
        <v>1080</v>
      </c>
      <c r="W198" s="7">
        <v>0</v>
      </c>
      <c r="X198" s="7">
        <v>7</v>
      </c>
      <c r="Y198" s="7">
        <v>8</v>
      </c>
      <c r="Z198" s="7">
        <v>37</v>
      </c>
      <c r="AA198" s="8">
        <v>0</v>
      </c>
    </row>
    <row r="199" spans="1:27" x14ac:dyDescent="0.25">
      <c r="A199" t="s">
        <v>46</v>
      </c>
      <c r="B199">
        <v>0</v>
      </c>
      <c r="C199">
        <v>1</v>
      </c>
      <c r="D199">
        <v>0</v>
      </c>
      <c r="E199">
        <v>3</v>
      </c>
      <c r="F199">
        <v>131</v>
      </c>
      <c r="G199">
        <v>41.212710000000001</v>
      </c>
      <c r="H199">
        <v>120</v>
      </c>
      <c r="I199">
        <v>1</v>
      </c>
      <c r="J199">
        <v>1</v>
      </c>
      <c r="K199">
        <v>1</v>
      </c>
      <c r="L199">
        <v>13</v>
      </c>
      <c r="M199">
        <v>0</v>
      </c>
      <c r="O199" s="3" t="s">
        <v>45</v>
      </c>
      <c r="P199" s="4">
        <v>6</v>
      </c>
      <c r="Q199" s="4">
        <v>1</v>
      </c>
      <c r="R199" s="4">
        <v>0</v>
      </c>
      <c r="S199" s="4">
        <v>0</v>
      </c>
      <c r="T199" s="4">
        <v>0</v>
      </c>
      <c r="U199" s="4">
        <v>539.14110000000005</v>
      </c>
      <c r="V199" s="4">
        <v>1120</v>
      </c>
      <c r="W199" s="4">
        <v>0</v>
      </c>
      <c r="X199" s="4">
        <v>8</v>
      </c>
      <c r="Y199" s="4">
        <v>14</v>
      </c>
      <c r="Z199" s="4">
        <v>84</v>
      </c>
      <c r="AA199" s="5">
        <v>0</v>
      </c>
    </row>
    <row r="200" spans="1:27" x14ac:dyDescent="0.25">
      <c r="A200" t="s">
        <v>46</v>
      </c>
      <c r="B200">
        <v>2</v>
      </c>
      <c r="C200">
        <v>4</v>
      </c>
      <c r="D200">
        <v>0</v>
      </c>
      <c r="E200">
        <v>4</v>
      </c>
      <c r="F200">
        <v>64</v>
      </c>
      <c r="G200">
        <v>55.133130000000001</v>
      </c>
      <c r="H200">
        <v>440</v>
      </c>
      <c r="I200">
        <v>3</v>
      </c>
      <c r="J200">
        <v>3</v>
      </c>
      <c r="K200">
        <v>6</v>
      </c>
      <c r="L200">
        <v>39</v>
      </c>
      <c r="M200">
        <v>0</v>
      </c>
      <c r="O200" s="6" t="s">
        <v>45</v>
      </c>
      <c r="P200" s="7">
        <v>0</v>
      </c>
      <c r="Q200" s="7">
        <v>1</v>
      </c>
      <c r="R200" s="7">
        <v>0</v>
      </c>
      <c r="S200" s="7">
        <v>0</v>
      </c>
      <c r="T200" s="7">
        <v>0</v>
      </c>
      <c r="U200" s="7">
        <v>132.8184</v>
      </c>
      <c r="V200" s="7">
        <v>320</v>
      </c>
      <c r="W200" s="7">
        <v>0</v>
      </c>
      <c r="X200" s="7">
        <v>1</v>
      </c>
      <c r="Y200" s="7">
        <v>6</v>
      </c>
      <c r="Z200" s="7">
        <v>27</v>
      </c>
      <c r="AA200" s="8">
        <v>0</v>
      </c>
    </row>
    <row r="201" spans="1:27" x14ac:dyDescent="0.25">
      <c r="A201" t="s">
        <v>46</v>
      </c>
      <c r="B201">
        <v>1</v>
      </c>
      <c r="C201">
        <v>3</v>
      </c>
      <c r="D201">
        <v>0</v>
      </c>
      <c r="E201">
        <v>3</v>
      </c>
      <c r="F201">
        <v>82</v>
      </c>
      <c r="G201">
        <v>85.771609999999995</v>
      </c>
      <c r="H201">
        <v>400</v>
      </c>
      <c r="I201">
        <v>2</v>
      </c>
      <c r="J201">
        <v>2</v>
      </c>
      <c r="K201">
        <v>4</v>
      </c>
      <c r="L201">
        <v>40</v>
      </c>
      <c r="M201">
        <v>0</v>
      </c>
      <c r="O201" s="3" t="s">
        <v>45</v>
      </c>
      <c r="P201" s="4">
        <v>3</v>
      </c>
      <c r="Q201" s="4">
        <v>4</v>
      </c>
      <c r="R201" s="4">
        <v>1</v>
      </c>
      <c r="S201" s="4">
        <v>0</v>
      </c>
      <c r="T201" s="4">
        <v>0</v>
      </c>
      <c r="U201" s="4">
        <v>143.6489</v>
      </c>
      <c r="V201" s="4">
        <v>440</v>
      </c>
      <c r="W201" s="4">
        <v>0</v>
      </c>
      <c r="X201" s="4">
        <v>3</v>
      </c>
      <c r="Y201" s="4">
        <v>6</v>
      </c>
      <c r="Z201" s="4">
        <v>42</v>
      </c>
      <c r="AA201" s="5">
        <v>0</v>
      </c>
    </row>
    <row r="202" spans="1:27" x14ac:dyDescent="0.25">
      <c r="A202" t="s">
        <v>46</v>
      </c>
      <c r="B202">
        <v>0</v>
      </c>
      <c r="C202">
        <v>2</v>
      </c>
      <c r="D202">
        <v>0</v>
      </c>
      <c r="E202">
        <v>0</v>
      </c>
      <c r="F202">
        <v>0</v>
      </c>
      <c r="G202">
        <v>55.894840000000002</v>
      </c>
      <c r="H202">
        <v>120</v>
      </c>
      <c r="I202">
        <v>2</v>
      </c>
      <c r="J202">
        <v>1</v>
      </c>
      <c r="K202">
        <v>2</v>
      </c>
      <c r="L202">
        <v>20</v>
      </c>
      <c r="M202">
        <v>17</v>
      </c>
      <c r="O202" s="6" t="s">
        <v>45</v>
      </c>
      <c r="P202" s="7">
        <v>4</v>
      </c>
      <c r="Q202" s="7">
        <v>4</v>
      </c>
      <c r="R202" s="7">
        <v>1</v>
      </c>
      <c r="S202" s="7">
        <v>0</v>
      </c>
      <c r="T202" s="7">
        <v>0</v>
      </c>
      <c r="U202" s="7">
        <v>92.614260000000002</v>
      </c>
      <c r="V202" s="7">
        <v>639</v>
      </c>
      <c r="W202" s="7">
        <v>0</v>
      </c>
      <c r="X202" s="7">
        <v>4</v>
      </c>
      <c r="Y202" s="7">
        <v>3</v>
      </c>
      <c r="Z202" s="7">
        <v>20</v>
      </c>
      <c r="AA202" s="8">
        <v>0</v>
      </c>
    </row>
    <row r="203" spans="1:27" x14ac:dyDescent="0.25">
      <c r="A203" t="s">
        <v>46</v>
      </c>
      <c r="B203">
        <v>0</v>
      </c>
      <c r="C203">
        <v>2</v>
      </c>
      <c r="D203">
        <v>0</v>
      </c>
      <c r="E203">
        <v>3</v>
      </c>
      <c r="F203">
        <v>102</v>
      </c>
      <c r="G203">
        <v>42.68289</v>
      </c>
      <c r="H203">
        <v>200</v>
      </c>
      <c r="I203">
        <v>1</v>
      </c>
      <c r="J203">
        <v>1</v>
      </c>
      <c r="K203">
        <v>2</v>
      </c>
      <c r="L203">
        <v>17</v>
      </c>
      <c r="M203">
        <v>0</v>
      </c>
      <c r="O203" s="3" t="s">
        <v>45</v>
      </c>
      <c r="P203" s="4">
        <v>5</v>
      </c>
      <c r="Q203" s="4">
        <v>4</v>
      </c>
      <c r="R203" s="4">
        <v>1</v>
      </c>
      <c r="S203" s="4">
        <v>0</v>
      </c>
      <c r="T203" s="4">
        <v>0</v>
      </c>
      <c r="U203" s="4">
        <v>158.62260000000001</v>
      </c>
      <c r="V203" s="4">
        <v>680</v>
      </c>
      <c r="W203" s="4">
        <v>0</v>
      </c>
      <c r="X203" s="4">
        <v>6</v>
      </c>
      <c r="Y203" s="4">
        <v>3</v>
      </c>
      <c r="Z203" s="4">
        <v>28</v>
      </c>
      <c r="AA203" s="5">
        <v>0</v>
      </c>
    </row>
    <row r="204" spans="1:27" x14ac:dyDescent="0.25">
      <c r="A204" t="s">
        <v>46</v>
      </c>
      <c r="B204">
        <v>1</v>
      </c>
      <c r="C204">
        <v>4</v>
      </c>
      <c r="D204">
        <v>0</v>
      </c>
      <c r="E204">
        <v>3</v>
      </c>
      <c r="F204">
        <v>109</v>
      </c>
      <c r="G204">
        <v>104.15009999999999</v>
      </c>
      <c r="H204">
        <v>280</v>
      </c>
      <c r="I204">
        <v>3</v>
      </c>
      <c r="J204">
        <v>2</v>
      </c>
      <c r="K204">
        <v>3</v>
      </c>
      <c r="L204">
        <v>28</v>
      </c>
      <c r="M204">
        <v>19</v>
      </c>
      <c r="O204" s="10" t="s">
        <v>12</v>
      </c>
      <c r="P204" s="9">
        <f t="shared" ref="P204:AA204" si="7">AVERAGE(P180:P203)</f>
        <v>5.208333333333333</v>
      </c>
      <c r="Q204" s="9">
        <f t="shared" si="7"/>
        <v>2.8333333333333335</v>
      </c>
      <c r="R204" s="9">
        <f t="shared" si="7"/>
        <v>0.70833333333333337</v>
      </c>
      <c r="S204" s="9">
        <f t="shared" si="7"/>
        <v>4.1666666666666664E-2</v>
      </c>
      <c r="T204" s="9">
        <f t="shared" si="7"/>
        <v>174.75</v>
      </c>
      <c r="U204" s="9">
        <f t="shared" si="7"/>
        <v>203.12332083333331</v>
      </c>
      <c r="V204" s="9">
        <f t="shared" si="7"/>
        <v>832.45833333333337</v>
      </c>
      <c r="W204" s="9">
        <f t="shared" si="7"/>
        <v>0</v>
      </c>
      <c r="X204" s="9">
        <f t="shared" si="7"/>
        <v>5.541666666666667</v>
      </c>
      <c r="Y204" s="9">
        <f t="shared" si="7"/>
        <v>7.958333333333333</v>
      </c>
      <c r="Z204" s="9">
        <f t="shared" si="7"/>
        <v>62.416666666666664</v>
      </c>
      <c r="AA204" s="9">
        <f t="shared" si="7"/>
        <v>8.3333333333333329E-2</v>
      </c>
    </row>
    <row r="205" spans="1:27" x14ac:dyDescent="0.25">
      <c r="A205" t="s">
        <v>46</v>
      </c>
      <c r="B205">
        <v>0</v>
      </c>
      <c r="C205">
        <v>4</v>
      </c>
      <c r="D205">
        <v>0</v>
      </c>
      <c r="E205">
        <v>0</v>
      </c>
      <c r="F205">
        <v>217</v>
      </c>
      <c r="G205">
        <v>42.972349999999999</v>
      </c>
      <c r="H205">
        <v>0</v>
      </c>
      <c r="I205">
        <v>1</v>
      </c>
      <c r="J205">
        <v>1</v>
      </c>
      <c r="K205">
        <v>0</v>
      </c>
      <c r="L205">
        <v>22</v>
      </c>
      <c r="M205">
        <v>0</v>
      </c>
      <c r="O205" s="6" t="s">
        <v>46</v>
      </c>
      <c r="P205" s="7">
        <v>0</v>
      </c>
      <c r="Q205" s="7">
        <v>1</v>
      </c>
      <c r="R205" s="7">
        <v>0</v>
      </c>
      <c r="S205" s="7">
        <v>0</v>
      </c>
      <c r="T205" s="7">
        <v>0</v>
      </c>
      <c r="U205" s="7">
        <v>36.219250000000002</v>
      </c>
      <c r="V205" s="7">
        <v>120</v>
      </c>
      <c r="W205" s="7">
        <v>1</v>
      </c>
      <c r="X205" s="7">
        <v>1</v>
      </c>
      <c r="Y205" s="7">
        <v>2</v>
      </c>
      <c r="Z205" s="7">
        <v>11</v>
      </c>
      <c r="AA205" s="8">
        <v>0</v>
      </c>
    </row>
    <row r="206" spans="1:27" x14ac:dyDescent="0.25">
      <c r="A206" t="s">
        <v>46</v>
      </c>
      <c r="B206">
        <v>1</v>
      </c>
      <c r="C206">
        <v>3</v>
      </c>
      <c r="D206">
        <v>0</v>
      </c>
      <c r="E206">
        <v>2</v>
      </c>
      <c r="F206">
        <v>84</v>
      </c>
      <c r="G206">
        <v>132.02340000000001</v>
      </c>
      <c r="H206">
        <v>440</v>
      </c>
      <c r="I206">
        <v>2</v>
      </c>
      <c r="J206">
        <v>2</v>
      </c>
      <c r="K206">
        <v>6</v>
      </c>
      <c r="L206">
        <v>41</v>
      </c>
      <c r="M206">
        <v>33</v>
      </c>
      <c r="O206" s="3" t="s">
        <v>46</v>
      </c>
      <c r="P206" s="4">
        <v>0</v>
      </c>
      <c r="Q206" s="4">
        <v>2</v>
      </c>
      <c r="R206" s="4">
        <v>0</v>
      </c>
      <c r="S206" s="4">
        <v>1</v>
      </c>
      <c r="T206" s="4">
        <v>31</v>
      </c>
      <c r="U206" s="4">
        <v>41.856760000000001</v>
      </c>
      <c r="V206" s="4">
        <v>120</v>
      </c>
      <c r="W206" s="4">
        <v>1</v>
      </c>
      <c r="X206" s="4">
        <v>1</v>
      </c>
      <c r="Y206" s="4">
        <v>3</v>
      </c>
      <c r="Z206" s="4">
        <v>12</v>
      </c>
      <c r="AA206" s="5">
        <v>0</v>
      </c>
    </row>
    <row r="207" spans="1:27" x14ac:dyDescent="0.25">
      <c r="A207" t="s">
        <v>46</v>
      </c>
      <c r="B207">
        <v>0</v>
      </c>
      <c r="C207">
        <v>1</v>
      </c>
      <c r="D207">
        <v>0</v>
      </c>
      <c r="E207">
        <v>0</v>
      </c>
      <c r="F207">
        <v>0</v>
      </c>
      <c r="G207">
        <v>104.4438</v>
      </c>
      <c r="H207">
        <v>200</v>
      </c>
      <c r="I207">
        <v>10</v>
      </c>
      <c r="J207">
        <v>1</v>
      </c>
      <c r="K207">
        <v>4</v>
      </c>
      <c r="L207">
        <v>39</v>
      </c>
      <c r="M207">
        <v>25</v>
      </c>
      <c r="O207" s="6" t="s">
        <v>46</v>
      </c>
      <c r="P207" s="7">
        <v>0</v>
      </c>
      <c r="Q207" s="7">
        <v>1</v>
      </c>
      <c r="R207" s="7">
        <v>0</v>
      </c>
      <c r="S207" s="7">
        <v>0</v>
      </c>
      <c r="T207" s="7">
        <v>0</v>
      </c>
      <c r="U207" s="7">
        <v>43.831359999999997</v>
      </c>
      <c r="V207" s="7">
        <v>160</v>
      </c>
      <c r="W207" s="7">
        <v>1</v>
      </c>
      <c r="X207" s="7">
        <v>1</v>
      </c>
      <c r="Y207" s="7">
        <v>3</v>
      </c>
      <c r="Z207" s="7">
        <v>15</v>
      </c>
      <c r="AA207" s="8">
        <v>0</v>
      </c>
    </row>
    <row r="208" spans="1:27" x14ac:dyDescent="0.25">
      <c r="A208" t="s">
        <v>46</v>
      </c>
      <c r="B208">
        <v>0</v>
      </c>
      <c r="C208">
        <v>1</v>
      </c>
      <c r="D208">
        <v>0</v>
      </c>
      <c r="E208">
        <v>1</v>
      </c>
      <c r="F208">
        <v>36</v>
      </c>
      <c r="G208">
        <v>25.463619999999999</v>
      </c>
      <c r="H208">
        <v>0</v>
      </c>
      <c r="I208">
        <v>0</v>
      </c>
      <c r="J208">
        <v>1</v>
      </c>
      <c r="K208">
        <v>0</v>
      </c>
      <c r="L208">
        <v>13</v>
      </c>
      <c r="M208">
        <v>4</v>
      </c>
      <c r="O208" s="3" t="s">
        <v>46</v>
      </c>
      <c r="P208" s="4">
        <v>0</v>
      </c>
      <c r="Q208" s="4">
        <v>1</v>
      </c>
      <c r="R208" s="4">
        <v>0</v>
      </c>
      <c r="S208" s="4">
        <v>0</v>
      </c>
      <c r="T208" s="4">
        <v>0</v>
      </c>
      <c r="U208" s="4">
        <v>27.985379999999999</v>
      </c>
      <c r="V208" s="4">
        <v>80</v>
      </c>
      <c r="W208" s="4">
        <v>1</v>
      </c>
      <c r="X208" s="4">
        <v>1</v>
      </c>
      <c r="Y208" s="4">
        <v>1</v>
      </c>
      <c r="Z208" s="4">
        <v>11</v>
      </c>
      <c r="AA208" s="5">
        <v>0</v>
      </c>
    </row>
    <row r="209" spans="1:27" x14ac:dyDescent="0.25">
      <c r="A209" t="s">
        <v>46</v>
      </c>
      <c r="B209">
        <v>0</v>
      </c>
      <c r="C209">
        <v>1</v>
      </c>
      <c r="D209">
        <v>0</v>
      </c>
      <c r="E209">
        <v>1</v>
      </c>
      <c r="F209">
        <v>33</v>
      </c>
      <c r="G209">
        <v>54.937620000000003</v>
      </c>
      <c r="H209">
        <v>60</v>
      </c>
      <c r="I209">
        <v>0</v>
      </c>
      <c r="J209">
        <v>1</v>
      </c>
      <c r="K209">
        <v>1</v>
      </c>
      <c r="L209">
        <v>27</v>
      </c>
      <c r="M209">
        <v>9</v>
      </c>
      <c r="O209" s="6" t="s">
        <v>46</v>
      </c>
      <c r="P209" s="7">
        <v>0</v>
      </c>
      <c r="Q209" s="7">
        <v>1</v>
      </c>
      <c r="R209" s="7">
        <v>0</v>
      </c>
      <c r="S209" s="7">
        <v>0</v>
      </c>
      <c r="T209" s="7">
        <v>0</v>
      </c>
      <c r="U209" s="7">
        <v>15.479660000000001</v>
      </c>
      <c r="V209" s="7">
        <v>0</v>
      </c>
      <c r="W209" s="7">
        <v>1</v>
      </c>
      <c r="X209" s="7">
        <v>1</v>
      </c>
      <c r="Y209" s="7">
        <v>0</v>
      </c>
      <c r="Z209" s="7">
        <v>6</v>
      </c>
      <c r="AA209" s="8">
        <v>0</v>
      </c>
    </row>
    <row r="210" spans="1:27" x14ac:dyDescent="0.25">
      <c r="A210" t="s">
        <v>46</v>
      </c>
      <c r="B210">
        <v>0</v>
      </c>
      <c r="C210">
        <v>1</v>
      </c>
      <c r="D210">
        <v>0</v>
      </c>
      <c r="E210">
        <v>0</v>
      </c>
      <c r="F210">
        <v>0</v>
      </c>
      <c r="G210">
        <v>81.733519999999999</v>
      </c>
      <c r="H210">
        <v>160</v>
      </c>
      <c r="I210">
        <v>0</v>
      </c>
      <c r="J210">
        <v>1</v>
      </c>
      <c r="K210">
        <v>6</v>
      </c>
      <c r="L210">
        <v>23</v>
      </c>
      <c r="M210">
        <v>10</v>
      </c>
      <c r="O210" s="3" t="s">
        <v>46</v>
      </c>
      <c r="P210" s="4">
        <v>0</v>
      </c>
      <c r="Q210" s="4">
        <v>1</v>
      </c>
      <c r="R210" s="4">
        <v>0</v>
      </c>
      <c r="S210" s="4">
        <v>3</v>
      </c>
      <c r="T210" s="4">
        <v>131</v>
      </c>
      <c r="U210" s="4">
        <v>41.212710000000001</v>
      </c>
      <c r="V210" s="4">
        <v>120</v>
      </c>
      <c r="W210" s="4">
        <v>1</v>
      </c>
      <c r="X210" s="4">
        <v>1</v>
      </c>
      <c r="Y210" s="4">
        <v>1</v>
      </c>
      <c r="Z210" s="4">
        <v>13</v>
      </c>
      <c r="AA210" s="5">
        <v>0</v>
      </c>
    </row>
    <row r="211" spans="1:27" x14ac:dyDescent="0.25">
      <c r="A211" t="s">
        <v>46</v>
      </c>
      <c r="B211">
        <v>0</v>
      </c>
      <c r="C211">
        <v>1</v>
      </c>
      <c r="D211">
        <v>0</v>
      </c>
      <c r="E211">
        <v>0</v>
      </c>
      <c r="F211">
        <v>0</v>
      </c>
      <c r="G211">
        <v>41.94641</v>
      </c>
      <c r="H211">
        <v>80</v>
      </c>
      <c r="I211">
        <v>1</v>
      </c>
      <c r="J211">
        <v>1</v>
      </c>
      <c r="K211">
        <v>1</v>
      </c>
      <c r="L211">
        <v>14</v>
      </c>
      <c r="M211">
        <v>0</v>
      </c>
      <c r="O211" s="6" t="s">
        <v>46</v>
      </c>
      <c r="P211" s="7">
        <v>2</v>
      </c>
      <c r="Q211" s="7">
        <v>4</v>
      </c>
      <c r="R211" s="7">
        <v>0</v>
      </c>
      <c r="S211" s="7">
        <v>4</v>
      </c>
      <c r="T211" s="7">
        <v>64</v>
      </c>
      <c r="U211" s="7">
        <v>55.133130000000001</v>
      </c>
      <c r="V211" s="7">
        <v>440</v>
      </c>
      <c r="W211" s="7">
        <v>3</v>
      </c>
      <c r="X211" s="7">
        <v>3</v>
      </c>
      <c r="Y211" s="7">
        <v>6</v>
      </c>
      <c r="Z211" s="7">
        <v>39</v>
      </c>
      <c r="AA211" s="8">
        <v>0</v>
      </c>
    </row>
    <row r="212" spans="1:27" x14ac:dyDescent="0.25">
      <c r="A212" t="s">
        <v>46</v>
      </c>
      <c r="B212">
        <v>0</v>
      </c>
      <c r="C212">
        <v>1</v>
      </c>
      <c r="D212">
        <v>0</v>
      </c>
      <c r="E212">
        <v>0</v>
      </c>
      <c r="F212">
        <v>0</v>
      </c>
      <c r="G212">
        <v>80.524780000000007</v>
      </c>
      <c r="H212">
        <v>200</v>
      </c>
      <c r="I212">
        <v>0</v>
      </c>
      <c r="J212">
        <v>1</v>
      </c>
      <c r="K212">
        <v>3</v>
      </c>
      <c r="L212">
        <v>23</v>
      </c>
      <c r="M212">
        <v>24</v>
      </c>
      <c r="O212" s="3" t="s">
        <v>46</v>
      </c>
      <c r="P212" s="4">
        <v>1</v>
      </c>
      <c r="Q212" s="4">
        <v>3</v>
      </c>
      <c r="R212" s="4">
        <v>0</v>
      </c>
      <c r="S212" s="4">
        <v>3</v>
      </c>
      <c r="T212" s="4">
        <v>82</v>
      </c>
      <c r="U212" s="4">
        <v>85.771609999999995</v>
      </c>
      <c r="V212" s="4">
        <v>400</v>
      </c>
      <c r="W212" s="4">
        <v>2</v>
      </c>
      <c r="X212" s="4">
        <v>2</v>
      </c>
      <c r="Y212" s="4">
        <v>4</v>
      </c>
      <c r="Z212" s="4">
        <v>40</v>
      </c>
      <c r="AA212" s="5">
        <v>0</v>
      </c>
    </row>
    <row r="213" spans="1:27" x14ac:dyDescent="0.25">
      <c r="A213" t="s">
        <v>46</v>
      </c>
      <c r="B213">
        <v>3</v>
      </c>
      <c r="C213">
        <v>4</v>
      </c>
      <c r="D213">
        <v>0</v>
      </c>
      <c r="E213">
        <v>1</v>
      </c>
      <c r="F213">
        <v>37</v>
      </c>
      <c r="G213">
        <v>116.1621</v>
      </c>
      <c r="H213">
        <v>560</v>
      </c>
      <c r="I213">
        <v>4</v>
      </c>
      <c r="J213">
        <v>4</v>
      </c>
      <c r="K213">
        <v>7</v>
      </c>
      <c r="L213">
        <v>34</v>
      </c>
      <c r="M213">
        <v>5</v>
      </c>
      <c r="O213" s="6" t="s">
        <v>46</v>
      </c>
      <c r="P213" s="7">
        <v>0</v>
      </c>
      <c r="Q213" s="7">
        <v>2</v>
      </c>
      <c r="R213" s="7">
        <v>0</v>
      </c>
      <c r="S213" s="7">
        <v>0</v>
      </c>
      <c r="T213" s="7">
        <v>0</v>
      </c>
      <c r="U213" s="7">
        <v>55.894840000000002</v>
      </c>
      <c r="V213" s="7">
        <v>120</v>
      </c>
      <c r="W213" s="7">
        <v>2</v>
      </c>
      <c r="X213" s="7">
        <v>1</v>
      </c>
      <c r="Y213" s="7">
        <v>2</v>
      </c>
      <c r="Z213" s="7">
        <v>20</v>
      </c>
      <c r="AA213" s="8">
        <v>17</v>
      </c>
    </row>
    <row r="214" spans="1:27" x14ac:dyDescent="0.25">
      <c r="A214" t="s">
        <v>46</v>
      </c>
      <c r="B214">
        <v>0</v>
      </c>
      <c r="C214">
        <v>1</v>
      </c>
      <c r="D214">
        <v>0</v>
      </c>
      <c r="E214">
        <v>0</v>
      </c>
      <c r="F214">
        <v>0</v>
      </c>
      <c r="G214">
        <v>43.00085</v>
      </c>
      <c r="H214">
        <v>0</v>
      </c>
      <c r="I214">
        <v>5</v>
      </c>
      <c r="J214">
        <v>1</v>
      </c>
      <c r="K214">
        <v>0</v>
      </c>
      <c r="L214">
        <v>19</v>
      </c>
      <c r="M214">
        <v>4</v>
      </c>
      <c r="O214" s="3" t="s">
        <v>46</v>
      </c>
      <c r="P214" s="4">
        <v>0</v>
      </c>
      <c r="Q214" s="4">
        <v>2</v>
      </c>
      <c r="R214" s="4">
        <v>0</v>
      </c>
      <c r="S214" s="4">
        <v>3</v>
      </c>
      <c r="T214" s="4">
        <v>102</v>
      </c>
      <c r="U214" s="4">
        <v>42.68289</v>
      </c>
      <c r="V214" s="4">
        <v>200</v>
      </c>
      <c r="W214" s="4">
        <v>1</v>
      </c>
      <c r="X214" s="4">
        <v>1</v>
      </c>
      <c r="Y214" s="4">
        <v>2</v>
      </c>
      <c r="Z214" s="4">
        <v>17</v>
      </c>
      <c r="AA214" s="5">
        <v>0</v>
      </c>
    </row>
    <row r="215" spans="1:27" x14ac:dyDescent="0.25">
      <c r="A215" t="s">
        <v>46</v>
      </c>
      <c r="B215">
        <v>0</v>
      </c>
      <c r="C215">
        <v>4</v>
      </c>
      <c r="D215">
        <v>0</v>
      </c>
      <c r="E215">
        <v>0</v>
      </c>
      <c r="F215">
        <v>0</v>
      </c>
      <c r="G215">
        <v>24.774660000000001</v>
      </c>
      <c r="H215">
        <v>0</v>
      </c>
      <c r="I215">
        <v>1</v>
      </c>
      <c r="J215">
        <v>1</v>
      </c>
      <c r="K215">
        <v>0</v>
      </c>
      <c r="L215">
        <v>82</v>
      </c>
      <c r="M215">
        <v>1</v>
      </c>
      <c r="O215" s="6" t="s">
        <v>46</v>
      </c>
      <c r="P215" s="7">
        <v>1</v>
      </c>
      <c r="Q215" s="7">
        <v>4</v>
      </c>
      <c r="R215" s="7">
        <v>0</v>
      </c>
      <c r="S215" s="7">
        <v>3</v>
      </c>
      <c r="T215" s="7">
        <v>109</v>
      </c>
      <c r="U215" s="7">
        <v>104.15009999999999</v>
      </c>
      <c r="V215" s="7">
        <v>280</v>
      </c>
      <c r="W215" s="7">
        <v>3</v>
      </c>
      <c r="X215" s="7">
        <v>2</v>
      </c>
      <c r="Y215" s="7">
        <v>3</v>
      </c>
      <c r="Z215" s="7">
        <v>28</v>
      </c>
      <c r="AA215" s="8">
        <v>19</v>
      </c>
    </row>
    <row r="216" spans="1:27" x14ac:dyDescent="0.25">
      <c r="A216" t="s">
        <v>46</v>
      </c>
      <c r="B216">
        <v>1</v>
      </c>
      <c r="C216">
        <v>4</v>
      </c>
      <c r="D216">
        <v>0</v>
      </c>
      <c r="E216">
        <v>0</v>
      </c>
      <c r="F216">
        <v>0</v>
      </c>
      <c r="G216">
        <v>89.255489999999995</v>
      </c>
      <c r="H216">
        <v>167</v>
      </c>
      <c r="I216">
        <v>0</v>
      </c>
      <c r="J216">
        <v>2</v>
      </c>
      <c r="K216">
        <v>1</v>
      </c>
      <c r="L216">
        <v>33</v>
      </c>
      <c r="M216">
        <v>13</v>
      </c>
      <c r="O216" s="3" t="s">
        <v>46</v>
      </c>
      <c r="P216" s="4">
        <v>0</v>
      </c>
      <c r="Q216" s="4">
        <v>4</v>
      </c>
      <c r="R216" s="4">
        <v>0</v>
      </c>
      <c r="S216" s="4">
        <v>0</v>
      </c>
      <c r="T216" s="4">
        <v>217</v>
      </c>
      <c r="U216" s="4">
        <v>42.972349999999999</v>
      </c>
      <c r="V216" s="4">
        <v>0</v>
      </c>
      <c r="W216" s="4">
        <v>1</v>
      </c>
      <c r="X216" s="4">
        <v>1</v>
      </c>
      <c r="Y216" s="4">
        <v>0</v>
      </c>
      <c r="Z216" s="4">
        <v>22</v>
      </c>
      <c r="AA216" s="5">
        <v>0</v>
      </c>
    </row>
    <row r="217" spans="1:27" x14ac:dyDescent="0.25">
      <c r="A217" t="s">
        <v>46</v>
      </c>
      <c r="B217">
        <v>1</v>
      </c>
      <c r="C217">
        <v>4</v>
      </c>
      <c r="D217">
        <v>0</v>
      </c>
      <c r="E217">
        <v>0</v>
      </c>
      <c r="F217">
        <v>0</v>
      </c>
      <c r="G217">
        <v>150.0746</v>
      </c>
      <c r="H217">
        <v>360</v>
      </c>
      <c r="I217">
        <v>28</v>
      </c>
      <c r="J217">
        <v>2</v>
      </c>
      <c r="K217">
        <v>6</v>
      </c>
      <c r="L217">
        <v>56</v>
      </c>
      <c r="M217">
        <v>18</v>
      </c>
      <c r="O217" s="6" t="s">
        <v>46</v>
      </c>
      <c r="P217" s="7">
        <v>1</v>
      </c>
      <c r="Q217" s="7">
        <v>3</v>
      </c>
      <c r="R217" s="7">
        <v>0</v>
      </c>
      <c r="S217" s="7">
        <v>2</v>
      </c>
      <c r="T217" s="7">
        <v>84</v>
      </c>
      <c r="U217" s="7">
        <v>132.02340000000001</v>
      </c>
      <c r="V217" s="7">
        <v>440</v>
      </c>
      <c r="W217" s="7">
        <v>2</v>
      </c>
      <c r="X217" s="7">
        <v>2</v>
      </c>
      <c r="Y217" s="7">
        <v>6</v>
      </c>
      <c r="Z217" s="7">
        <v>41</v>
      </c>
      <c r="AA217" s="8">
        <v>33</v>
      </c>
    </row>
    <row r="218" spans="1:27" x14ac:dyDescent="0.25">
      <c r="A218" t="s">
        <v>47</v>
      </c>
      <c r="B218">
        <v>17</v>
      </c>
      <c r="C218">
        <v>3</v>
      </c>
      <c r="D218">
        <v>1</v>
      </c>
      <c r="E218">
        <v>0</v>
      </c>
      <c r="F218">
        <v>0</v>
      </c>
      <c r="G218">
        <v>384.33699999999999</v>
      </c>
      <c r="H218">
        <v>2040</v>
      </c>
      <c r="I218">
        <v>0</v>
      </c>
      <c r="J218">
        <v>4</v>
      </c>
      <c r="K218">
        <v>0</v>
      </c>
      <c r="L218">
        <v>720</v>
      </c>
      <c r="M218">
        <v>34</v>
      </c>
      <c r="O218" s="3" t="s">
        <v>46</v>
      </c>
      <c r="P218" s="4">
        <v>0</v>
      </c>
      <c r="Q218" s="4">
        <v>1</v>
      </c>
      <c r="R218" s="4">
        <v>0</v>
      </c>
      <c r="S218" s="4">
        <v>0</v>
      </c>
      <c r="T218" s="4">
        <v>0</v>
      </c>
      <c r="U218" s="4">
        <v>104.4438</v>
      </c>
      <c r="V218" s="4">
        <v>200</v>
      </c>
      <c r="W218" s="4">
        <v>10</v>
      </c>
      <c r="X218" s="4">
        <v>1</v>
      </c>
      <c r="Y218" s="4">
        <v>4</v>
      </c>
      <c r="Z218" s="4">
        <v>39</v>
      </c>
      <c r="AA218" s="5">
        <v>25</v>
      </c>
    </row>
    <row r="219" spans="1:27" x14ac:dyDescent="0.25">
      <c r="A219" t="s">
        <v>47</v>
      </c>
      <c r="B219">
        <v>9</v>
      </c>
      <c r="C219">
        <v>3</v>
      </c>
      <c r="D219">
        <v>1</v>
      </c>
      <c r="E219">
        <v>0</v>
      </c>
      <c r="F219">
        <v>0</v>
      </c>
      <c r="G219">
        <v>223.96360000000001</v>
      </c>
      <c r="H219">
        <v>720</v>
      </c>
      <c r="I219">
        <v>0</v>
      </c>
      <c r="J219">
        <v>9</v>
      </c>
      <c r="K219">
        <v>0</v>
      </c>
      <c r="L219">
        <v>519</v>
      </c>
      <c r="M219">
        <v>31</v>
      </c>
      <c r="O219" s="6" t="s">
        <v>46</v>
      </c>
      <c r="P219" s="7">
        <v>0</v>
      </c>
      <c r="Q219" s="7">
        <v>1</v>
      </c>
      <c r="R219" s="7">
        <v>0</v>
      </c>
      <c r="S219" s="7">
        <v>1</v>
      </c>
      <c r="T219" s="7">
        <v>36</v>
      </c>
      <c r="U219" s="7">
        <v>25.463619999999999</v>
      </c>
      <c r="V219" s="7">
        <v>0</v>
      </c>
      <c r="W219" s="7">
        <v>0</v>
      </c>
      <c r="X219" s="7">
        <v>1</v>
      </c>
      <c r="Y219" s="7">
        <v>0</v>
      </c>
      <c r="Z219" s="7">
        <v>13</v>
      </c>
      <c r="AA219" s="8">
        <v>4</v>
      </c>
    </row>
    <row r="220" spans="1:27" x14ac:dyDescent="0.25">
      <c r="A220" t="s">
        <v>47</v>
      </c>
      <c r="B220">
        <v>8</v>
      </c>
      <c r="C220">
        <v>3</v>
      </c>
      <c r="D220">
        <v>1</v>
      </c>
      <c r="E220">
        <v>0</v>
      </c>
      <c r="F220">
        <v>0</v>
      </c>
      <c r="G220">
        <v>216.6498</v>
      </c>
      <c r="H220">
        <v>960</v>
      </c>
      <c r="I220">
        <v>0</v>
      </c>
      <c r="J220">
        <v>4</v>
      </c>
      <c r="K220">
        <v>0</v>
      </c>
      <c r="L220">
        <v>535</v>
      </c>
      <c r="M220">
        <v>14</v>
      </c>
      <c r="O220" s="3" t="s">
        <v>46</v>
      </c>
      <c r="P220" s="4">
        <v>0</v>
      </c>
      <c r="Q220" s="4">
        <v>1</v>
      </c>
      <c r="R220" s="4">
        <v>0</v>
      </c>
      <c r="S220" s="4">
        <v>1</v>
      </c>
      <c r="T220" s="4">
        <v>33</v>
      </c>
      <c r="U220" s="4">
        <v>54.937620000000003</v>
      </c>
      <c r="V220" s="4">
        <v>60</v>
      </c>
      <c r="W220" s="4">
        <v>0</v>
      </c>
      <c r="X220" s="4">
        <v>1</v>
      </c>
      <c r="Y220" s="4">
        <v>1</v>
      </c>
      <c r="Z220" s="4">
        <v>27</v>
      </c>
      <c r="AA220" s="5">
        <v>9</v>
      </c>
    </row>
    <row r="221" spans="1:27" x14ac:dyDescent="0.25">
      <c r="A221" t="s">
        <v>47</v>
      </c>
      <c r="B221">
        <v>2</v>
      </c>
      <c r="C221">
        <v>3</v>
      </c>
      <c r="D221">
        <v>1</v>
      </c>
      <c r="E221">
        <v>0</v>
      </c>
      <c r="F221">
        <v>0</v>
      </c>
      <c r="G221">
        <v>62.643189999999997</v>
      </c>
      <c r="H221">
        <v>240</v>
      </c>
      <c r="I221">
        <v>0</v>
      </c>
      <c r="J221">
        <v>3</v>
      </c>
      <c r="K221">
        <v>0</v>
      </c>
      <c r="L221">
        <v>102</v>
      </c>
      <c r="M221">
        <v>11</v>
      </c>
      <c r="O221" s="6" t="s">
        <v>46</v>
      </c>
      <c r="P221" s="7">
        <v>0</v>
      </c>
      <c r="Q221" s="7">
        <v>1</v>
      </c>
      <c r="R221" s="7">
        <v>0</v>
      </c>
      <c r="S221" s="7">
        <v>0</v>
      </c>
      <c r="T221" s="7">
        <v>0</v>
      </c>
      <c r="U221" s="7">
        <v>81.733519999999999</v>
      </c>
      <c r="V221" s="7">
        <v>160</v>
      </c>
      <c r="W221" s="7">
        <v>0</v>
      </c>
      <c r="X221" s="7">
        <v>1</v>
      </c>
      <c r="Y221" s="7">
        <v>6</v>
      </c>
      <c r="Z221" s="7">
        <v>23</v>
      </c>
      <c r="AA221" s="8">
        <v>10</v>
      </c>
    </row>
    <row r="222" spans="1:27" x14ac:dyDescent="0.25">
      <c r="A222" t="s">
        <v>47</v>
      </c>
      <c r="B222">
        <v>1</v>
      </c>
      <c r="C222">
        <v>2</v>
      </c>
      <c r="D222">
        <v>0</v>
      </c>
      <c r="E222">
        <v>0</v>
      </c>
      <c r="F222">
        <v>0</v>
      </c>
      <c r="G222">
        <v>33.904299999999999</v>
      </c>
      <c r="H222">
        <v>160</v>
      </c>
      <c r="I222">
        <v>0</v>
      </c>
      <c r="J222">
        <v>2</v>
      </c>
      <c r="K222">
        <v>0</v>
      </c>
      <c r="L222">
        <v>83</v>
      </c>
      <c r="M222">
        <v>2</v>
      </c>
      <c r="O222" s="3" t="s">
        <v>46</v>
      </c>
      <c r="P222" s="4">
        <v>0</v>
      </c>
      <c r="Q222" s="4">
        <v>1</v>
      </c>
      <c r="R222" s="4">
        <v>0</v>
      </c>
      <c r="S222" s="4">
        <v>0</v>
      </c>
      <c r="T222" s="4">
        <v>0</v>
      </c>
      <c r="U222" s="4">
        <v>41.94641</v>
      </c>
      <c r="V222" s="4">
        <v>80</v>
      </c>
      <c r="W222" s="4">
        <v>1</v>
      </c>
      <c r="X222" s="4">
        <v>1</v>
      </c>
      <c r="Y222" s="4">
        <v>1</v>
      </c>
      <c r="Z222" s="4">
        <v>14</v>
      </c>
      <c r="AA222" s="5">
        <v>0</v>
      </c>
    </row>
    <row r="223" spans="1:27" x14ac:dyDescent="0.25">
      <c r="A223" t="s">
        <v>47</v>
      </c>
      <c r="B223">
        <v>3</v>
      </c>
      <c r="C223">
        <v>3</v>
      </c>
      <c r="D223">
        <v>1</v>
      </c>
      <c r="E223">
        <v>0</v>
      </c>
      <c r="F223">
        <v>0</v>
      </c>
      <c r="G223">
        <v>56.75714</v>
      </c>
      <c r="H223">
        <v>360</v>
      </c>
      <c r="I223">
        <v>0</v>
      </c>
      <c r="J223">
        <v>2</v>
      </c>
      <c r="K223">
        <v>0</v>
      </c>
      <c r="L223">
        <v>155</v>
      </c>
      <c r="M223">
        <v>3</v>
      </c>
      <c r="O223" s="6" t="s">
        <v>46</v>
      </c>
      <c r="P223" s="7">
        <v>0</v>
      </c>
      <c r="Q223" s="7">
        <v>1</v>
      </c>
      <c r="R223" s="7">
        <v>0</v>
      </c>
      <c r="S223" s="7">
        <v>0</v>
      </c>
      <c r="T223" s="7">
        <v>0</v>
      </c>
      <c r="U223" s="7">
        <v>80.524780000000007</v>
      </c>
      <c r="V223" s="7">
        <v>200</v>
      </c>
      <c r="W223" s="7">
        <v>0</v>
      </c>
      <c r="X223" s="7">
        <v>1</v>
      </c>
      <c r="Y223" s="7">
        <v>3</v>
      </c>
      <c r="Z223" s="7">
        <v>23</v>
      </c>
      <c r="AA223" s="8">
        <v>24</v>
      </c>
    </row>
    <row r="224" spans="1:27" x14ac:dyDescent="0.25">
      <c r="A224" t="s">
        <v>47</v>
      </c>
      <c r="B224">
        <v>2</v>
      </c>
      <c r="C224">
        <v>4</v>
      </c>
      <c r="D224">
        <v>1</v>
      </c>
      <c r="E224">
        <v>0</v>
      </c>
      <c r="F224">
        <v>0</v>
      </c>
      <c r="G224">
        <v>57.936399999999999</v>
      </c>
      <c r="H224">
        <v>240</v>
      </c>
      <c r="I224">
        <v>0</v>
      </c>
      <c r="J224">
        <v>2</v>
      </c>
      <c r="K224">
        <v>0</v>
      </c>
      <c r="L224">
        <v>153</v>
      </c>
      <c r="M224">
        <v>2</v>
      </c>
      <c r="O224" s="3" t="s">
        <v>46</v>
      </c>
      <c r="P224" s="4">
        <v>3</v>
      </c>
      <c r="Q224" s="4">
        <v>4</v>
      </c>
      <c r="R224" s="4">
        <v>0</v>
      </c>
      <c r="S224" s="4">
        <v>1</v>
      </c>
      <c r="T224" s="4">
        <v>37</v>
      </c>
      <c r="U224" s="4">
        <v>116.1621</v>
      </c>
      <c r="V224" s="4">
        <v>560</v>
      </c>
      <c r="W224" s="4">
        <v>4</v>
      </c>
      <c r="X224" s="4">
        <v>4</v>
      </c>
      <c r="Y224" s="4">
        <v>7</v>
      </c>
      <c r="Z224" s="4">
        <v>34</v>
      </c>
      <c r="AA224" s="5">
        <v>5</v>
      </c>
    </row>
    <row r="225" spans="1:27" x14ac:dyDescent="0.25">
      <c r="A225" t="s">
        <v>47</v>
      </c>
      <c r="B225">
        <v>5</v>
      </c>
      <c r="C225">
        <v>3</v>
      </c>
      <c r="D225">
        <v>1</v>
      </c>
      <c r="E225">
        <v>0</v>
      </c>
      <c r="F225">
        <v>0</v>
      </c>
      <c r="G225">
        <v>85.480469999999997</v>
      </c>
      <c r="H225">
        <v>640</v>
      </c>
      <c r="I225">
        <v>0</v>
      </c>
      <c r="J225">
        <v>2</v>
      </c>
      <c r="K225">
        <v>0</v>
      </c>
      <c r="L225">
        <v>138</v>
      </c>
      <c r="M225">
        <v>77</v>
      </c>
      <c r="O225" s="6" t="s">
        <v>46</v>
      </c>
      <c r="P225" s="7">
        <v>0</v>
      </c>
      <c r="Q225" s="7">
        <v>1</v>
      </c>
      <c r="R225" s="7">
        <v>0</v>
      </c>
      <c r="S225" s="7">
        <v>0</v>
      </c>
      <c r="T225" s="7">
        <v>0</v>
      </c>
      <c r="U225" s="7">
        <v>43.00085</v>
      </c>
      <c r="V225" s="7">
        <v>0</v>
      </c>
      <c r="W225" s="7">
        <v>5</v>
      </c>
      <c r="X225" s="7">
        <v>1</v>
      </c>
      <c r="Y225" s="7">
        <v>0</v>
      </c>
      <c r="Z225" s="7">
        <v>19</v>
      </c>
      <c r="AA225" s="8">
        <v>4</v>
      </c>
    </row>
    <row r="226" spans="1:27" x14ac:dyDescent="0.25">
      <c r="A226" t="s">
        <v>47</v>
      </c>
      <c r="B226">
        <v>2</v>
      </c>
      <c r="C226">
        <v>4</v>
      </c>
      <c r="D226">
        <v>1</v>
      </c>
      <c r="E226">
        <v>0</v>
      </c>
      <c r="F226">
        <v>0</v>
      </c>
      <c r="G226">
        <v>33.715089999999996</v>
      </c>
      <c r="H226">
        <v>240</v>
      </c>
      <c r="I226">
        <v>0</v>
      </c>
      <c r="J226">
        <v>2</v>
      </c>
      <c r="K226">
        <v>0</v>
      </c>
      <c r="L226">
        <v>89</v>
      </c>
      <c r="M226">
        <v>4</v>
      </c>
      <c r="O226" s="3" t="s">
        <v>46</v>
      </c>
      <c r="P226" s="4">
        <v>0</v>
      </c>
      <c r="Q226" s="4">
        <v>4</v>
      </c>
      <c r="R226" s="4">
        <v>0</v>
      </c>
      <c r="S226" s="4">
        <v>0</v>
      </c>
      <c r="T226" s="4">
        <v>0</v>
      </c>
      <c r="U226" s="4">
        <v>24.774660000000001</v>
      </c>
      <c r="V226" s="4">
        <v>0</v>
      </c>
      <c r="W226" s="4">
        <v>1</v>
      </c>
      <c r="X226" s="4">
        <v>1</v>
      </c>
      <c r="Y226" s="4">
        <v>0</v>
      </c>
      <c r="Z226" s="4">
        <v>82</v>
      </c>
      <c r="AA226" s="5">
        <v>1</v>
      </c>
    </row>
    <row r="227" spans="1:27" x14ac:dyDescent="0.25">
      <c r="A227" t="s">
        <v>47</v>
      </c>
      <c r="B227">
        <v>1</v>
      </c>
      <c r="C227">
        <v>3</v>
      </c>
      <c r="D227">
        <v>1</v>
      </c>
      <c r="E227">
        <v>0</v>
      </c>
      <c r="F227">
        <v>0</v>
      </c>
      <c r="G227">
        <v>37.531860000000002</v>
      </c>
      <c r="H227">
        <v>120</v>
      </c>
      <c r="I227">
        <v>0</v>
      </c>
      <c r="J227">
        <v>1</v>
      </c>
      <c r="K227">
        <v>0</v>
      </c>
      <c r="L227">
        <v>98</v>
      </c>
      <c r="M227">
        <v>11</v>
      </c>
      <c r="O227" s="6" t="s">
        <v>46</v>
      </c>
      <c r="P227" s="7">
        <v>1</v>
      </c>
      <c r="Q227" s="7">
        <v>4</v>
      </c>
      <c r="R227" s="7">
        <v>0</v>
      </c>
      <c r="S227" s="7">
        <v>0</v>
      </c>
      <c r="T227" s="7">
        <v>0</v>
      </c>
      <c r="U227" s="7">
        <v>89.255489999999995</v>
      </c>
      <c r="V227" s="7">
        <v>167</v>
      </c>
      <c r="W227" s="7">
        <v>0</v>
      </c>
      <c r="X227" s="7">
        <v>2</v>
      </c>
      <c r="Y227" s="7">
        <v>1</v>
      </c>
      <c r="Z227" s="7">
        <v>33</v>
      </c>
      <c r="AA227" s="8">
        <v>13</v>
      </c>
    </row>
    <row r="228" spans="1:27" x14ac:dyDescent="0.25">
      <c r="A228" t="s">
        <v>47</v>
      </c>
      <c r="B228">
        <v>4</v>
      </c>
      <c r="C228">
        <v>3</v>
      </c>
      <c r="D228">
        <v>1</v>
      </c>
      <c r="E228">
        <v>0</v>
      </c>
      <c r="F228">
        <v>0</v>
      </c>
      <c r="G228">
        <v>70.460080000000005</v>
      </c>
      <c r="H228">
        <v>480</v>
      </c>
      <c r="I228">
        <v>0</v>
      </c>
      <c r="J228">
        <v>3</v>
      </c>
      <c r="K228">
        <v>0</v>
      </c>
      <c r="L228">
        <v>127</v>
      </c>
      <c r="M228">
        <v>4</v>
      </c>
      <c r="O228" s="3" t="s">
        <v>46</v>
      </c>
      <c r="P228" s="4">
        <v>1</v>
      </c>
      <c r="Q228" s="4">
        <v>4</v>
      </c>
      <c r="R228" s="4">
        <v>0</v>
      </c>
      <c r="S228" s="4">
        <v>0</v>
      </c>
      <c r="T228" s="4">
        <v>0</v>
      </c>
      <c r="U228" s="4">
        <v>150.0746</v>
      </c>
      <c r="V228" s="4">
        <v>360</v>
      </c>
      <c r="W228" s="4">
        <v>28</v>
      </c>
      <c r="X228" s="4">
        <v>2</v>
      </c>
      <c r="Y228" s="4">
        <v>6</v>
      </c>
      <c r="Z228" s="4">
        <v>56</v>
      </c>
      <c r="AA228" s="5">
        <v>18</v>
      </c>
    </row>
    <row r="229" spans="1:27" x14ac:dyDescent="0.25">
      <c r="A229" t="s">
        <v>47</v>
      </c>
      <c r="B229">
        <v>0</v>
      </c>
      <c r="C229">
        <v>2</v>
      </c>
      <c r="D229">
        <v>0</v>
      </c>
      <c r="E229">
        <v>0</v>
      </c>
      <c r="F229">
        <v>0</v>
      </c>
      <c r="G229">
        <v>115.1544</v>
      </c>
      <c r="H229">
        <v>40</v>
      </c>
      <c r="I229">
        <v>0</v>
      </c>
      <c r="J229">
        <v>1</v>
      </c>
      <c r="K229">
        <v>0</v>
      </c>
      <c r="L229">
        <v>537</v>
      </c>
      <c r="M229">
        <v>14</v>
      </c>
      <c r="O229" s="10" t="s">
        <v>12</v>
      </c>
      <c r="P229" s="9">
        <f t="shared" ref="P229:AA229" si="8">AVERAGE(P205:P228)</f>
        <v>0.41666666666666669</v>
      </c>
      <c r="Q229" s="9">
        <f t="shared" si="8"/>
        <v>2.1666666666666665</v>
      </c>
      <c r="R229" s="9">
        <f t="shared" si="8"/>
        <v>0</v>
      </c>
      <c r="S229" s="9">
        <f t="shared" si="8"/>
        <v>0.91666666666666663</v>
      </c>
      <c r="T229" s="9">
        <f t="shared" si="8"/>
        <v>38.583333333333336</v>
      </c>
      <c r="U229" s="9">
        <f t="shared" si="8"/>
        <v>64.063787083333324</v>
      </c>
      <c r="V229" s="9">
        <f t="shared" si="8"/>
        <v>177.79166666666666</v>
      </c>
      <c r="W229" s="9">
        <f t="shared" si="8"/>
        <v>2.875</v>
      </c>
      <c r="X229" s="9">
        <f t="shared" si="8"/>
        <v>1.4166666666666667</v>
      </c>
      <c r="Y229" s="9">
        <f t="shared" si="8"/>
        <v>2.5833333333333335</v>
      </c>
      <c r="Z229" s="9">
        <f t="shared" si="8"/>
        <v>26.583333333333332</v>
      </c>
      <c r="AA229" s="9">
        <f t="shared" si="8"/>
        <v>7.583333333333333</v>
      </c>
    </row>
    <row r="230" spans="1:27" x14ac:dyDescent="0.25">
      <c r="A230" t="s">
        <v>47</v>
      </c>
      <c r="B230">
        <v>3</v>
      </c>
      <c r="C230">
        <v>2</v>
      </c>
      <c r="D230">
        <v>1</v>
      </c>
      <c r="E230">
        <v>0</v>
      </c>
      <c r="F230">
        <v>0</v>
      </c>
      <c r="G230">
        <v>25.912960000000002</v>
      </c>
      <c r="H230">
        <v>360</v>
      </c>
      <c r="I230">
        <v>0</v>
      </c>
      <c r="J230">
        <v>3</v>
      </c>
      <c r="K230">
        <v>0</v>
      </c>
      <c r="L230">
        <v>59</v>
      </c>
      <c r="M230">
        <v>4</v>
      </c>
      <c r="O230" s="6" t="s">
        <v>47</v>
      </c>
      <c r="P230" s="7">
        <v>17</v>
      </c>
      <c r="Q230" s="7">
        <v>3</v>
      </c>
      <c r="R230" s="7">
        <v>1</v>
      </c>
      <c r="S230" s="7">
        <v>0</v>
      </c>
      <c r="T230" s="7">
        <v>0</v>
      </c>
      <c r="U230" s="7">
        <v>384.33699999999999</v>
      </c>
      <c r="V230" s="7">
        <v>2040</v>
      </c>
      <c r="W230" s="7">
        <v>0</v>
      </c>
      <c r="X230" s="7">
        <v>4</v>
      </c>
      <c r="Y230" s="7">
        <v>0</v>
      </c>
      <c r="Z230" s="7">
        <v>720</v>
      </c>
      <c r="AA230" s="8">
        <v>34</v>
      </c>
    </row>
    <row r="231" spans="1:27" x14ac:dyDescent="0.25">
      <c r="A231" t="s">
        <v>47</v>
      </c>
      <c r="B231">
        <v>1</v>
      </c>
      <c r="C231">
        <v>2</v>
      </c>
      <c r="D231">
        <v>1</v>
      </c>
      <c r="E231">
        <v>0</v>
      </c>
      <c r="F231">
        <v>0</v>
      </c>
      <c r="G231">
        <v>48.52722</v>
      </c>
      <c r="H231">
        <v>120</v>
      </c>
      <c r="I231">
        <v>0</v>
      </c>
      <c r="J231">
        <v>1</v>
      </c>
      <c r="K231">
        <v>0</v>
      </c>
      <c r="L231">
        <v>207</v>
      </c>
      <c r="M231">
        <v>6</v>
      </c>
      <c r="O231" s="3" t="s">
        <v>47</v>
      </c>
      <c r="P231" s="4">
        <v>9</v>
      </c>
      <c r="Q231" s="4">
        <v>3</v>
      </c>
      <c r="R231" s="4">
        <v>1</v>
      </c>
      <c r="S231" s="4">
        <v>0</v>
      </c>
      <c r="T231" s="4">
        <v>0</v>
      </c>
      <c r="U231" s="4">
        <v>223.96360000000001</v>
      </c>
      <c r="V231" s="4">
        <v>720</v>
      </c>
      <c r="W231" s="4">
        <v>0</v>
      </c>
      <c r="X231" s="4">
        <v>9</v>
      </c>
      <c r="Y231" s="4">
        <v>0</v>
      </c>
      <c r="Z231" s="4">
        <v>519</v>
      </c>
      <c r="AA231" s="5">
        <v>31</v>
      </c>
    </row>
    <row r="232" spans="1:27" x14ac:dyDescent="0.25">
      <c r="A232" t="s">
        <v>47</v>
      </c>
      <c r="B232">
        <v>2</v>
      </c>
      <c r="C232">
        <v>2</v>
      </c>
      <c r="D232">
        <v>1</v>
      </c>
      <c r="E232">
        <v>0</v>
      </c>
      <c r="F232">
        <v>0</v>
      </c>
      <c r="G232">
        <v>31.688110000000002</v>
      </c>
      <c r="H232">
        <v>240</v>
      </c>
      <c r="I232">
        <v>0</v>
      </c>
      <c r="J232">
        <v>1</v>
      </c>
      <c r="K232">
        <v>0</v>
      </c>
      <c r="L232">
        <v>76</v>
      </c>
      <c r="M232">
        <v>3</v>
      </c>
      <c r="O232" s="6" t="s">
        <v>47</v>
      </c>
      <c r="P232" s="7">
        <v>8</v>
      </c>
      <c r="Q232" s="7">
        <v>3</v>
      </c>
      <c r="R232" s="7">
        <v>1</v>
      </c>
      <c r="S232" s="7">
        <v>0</v>
      </c>
      <c r="T232" s="7">
        <v>0</v>
      </c>
      <c r="U232" s="7">
        <v>216.6498</v>
      </c>
      <c r="V232" s="7">
        <v>960</v>
      </c>
      <c r="W232" s="7">
        <v>0</v>
      </c>
      <c r="X232" s="7">
        <v>4</v>
      </c>
      <c r="Y232" s="7">
        <v>0</v>
      </c>
      <c r="Z232" s="7">
        <v>535</v>
      </c>
      <c r="AA232" s="8">
        <v>14</v>
      </c>
    </row>
    <row r="233" spans="1:27" x14ac:dyDescent="0.25">
      <c r="A233" t="s">
        <v>47</v>
      </c>
      <c r="B233">
        <v>2</v>
      </c>
      <c r="C233">
        <v>3</v>
      </c>
      <c r="D233">
        <v>1</v>
      </c>
      <c r="E233">
        <v>0</v>
      </c>
      <c r="F233">
        <v>0</v>
      </c>
      <c r="G233">
        <v>58.007080000000002</v>
      </c>
      <c r="H233">
        <v>200</v>
      </c>
      <c r="I233">
        <v>0</v>
      </c>
      <c r="J233">
        <v>2</v>
      </c>
      <c r="K233">
        <v>0</v>
      </c>
      <c r="L233">
        <v>258</v>
      </c>
      <c r="M233">
        <v>1</v>
      </c>
      <c r="O233" s="3" t="s">
        <v>47</v>
      </c>
      <c r="P233" s="4">
        <v>2</v>
      </c>
      <c r="Q233" s="4">
        <v>3</v>
      </c>
      <c r="R233" s="4">
        <v>1</v>
      </c>
      <c r="S233" s="4">
        <v>0</v>
      </c>
      <c r="T233" s="4">
        <v>0</v>
      </c>
      <c r="U233" s="4">
        <v>62.643189999999997</v>
      </c>
      <c r="V233" s="4">
        <v>240</v>
      </c>
      <c r="W233" s="4">
        <v>0</v>
      </c>
      <c r="X233" s="4">
        <v>3</v>
      </c>
      <c r="Y233" s="4">
        <v>0</v>
      </c>
      <c r="Z233" s="4">
        <v>102</v>
      </c>
      <c r="AA233" s="5">
        <v>11</v>
      </c>
    </row>
    <row r="234" spans="1:27" x14ac:dyDescent="0.25">
      <c r="A234" t="s">
        <v>47</v>
      </c>
      <c r="B234">
        <v>3</v>
      </c>
      <c r="C234">
        <v>3</v>
      </c>
      <c r="D234">
        <v>1</v>
      </c>
      <c r="E234">
        <v>0</v>
      </c>
      <c r="F234">
        <v>0</v>
      </c>
      <c r="G234">
        <v>43.54468</v>
      </c>
      <c r="H234">
        <v>480</v>
      </c>
      <c r="I234">
        <v>0</v>
      </c>
      <c r="J234">
        <v>1</v>
      </c>
      <c r="K234">
        <v>0</v>
      </c>
      <c r="L234">
        <v>121</v>
      </c>
      <c r="M234">
        <v>2</v>
      </c>
      <c r="O234" s="6" t="s">
        <v>47</v>
      </c>
      <c r="P234" s="7">
        <v>1</v>
      </c>
      <c r="Q234" s="7">
        <v>2</v>
      </c>
      <c r="R234" s="7">
        <v>0</v>
      </c>
      <c r="S234" s="7">
        <v>0</v>
      </c>
      <c r="T234" s="7">
        <v>0</v>
      </c>
      <c r="U234" s="7">
        <v>33.904299999999999</v>
      </c>
      <c r="V234" s="7">
        <v>160</v>
      </c>
      <c r="W234" s="7">
        <v>0</v>
      </c>
      <c r="X234" s="7">
        <v>2</v>
      </c>
      <c r="Y234" s="7">
        <v>0</v>
      </c>
      <c r="Z234" s="7">
        <v>83</v>
      </c>
      <c r="AA234" s="8">
        <v>2</v>
      </c>
    </row>
    <row r="235" spans="1:27" x14ac:dyDescent="0.25">
      <c r="A235" t="s">
        <v>47</v>
      </c>
      <c r="B235">
        <v>1</v>
      </c>
      <c r="C235">
        <v>3</v>
      </c>
      <c r="D235">
        <v>1</v>
      </c>
      <c r="E235">
        <v>0</v>
      </c>
      <c r="F235">
        <v>0</v>
      </c>
      <c r="G235">
        <v>25.078489999999999</v>
      </c>
      <c r="H235">
        <v>120</v>
      </c>
      <c r="I235">
        <v>0</v>
      </c>
      <c r="J235">
        <v>0</v>
      </c>
      <c r="K235">
        <v>0</v>
      </c>
      <c r="L235">
        <v>77</v>
      </c>
      <c r="M235">
        <v>0</v>
      </c>
      <c r="O235" s="3" t="s">
        <v>47</v>
      </c>
      <c r="P235" s="4">
        <v>3</v>
      </c>
      <c r="Q235" s="4">
        <v>3</v>
      </c>
      <c r="R235" s="4">
        <v>1</v>
      </c>
      <c r="S235" s="4">
        <v>0</v>
      </c>
      <c r="T235" s="4">
        <v>0</v>
      </c>
      <c r="U235" s="4">
        <v>56.75714</v>
      </c>
      <c r="V235" s="4">
        <v>360</v>
      </c>
      <c r="W235" s="4">
        <v>0</v>
      </c>
      <c r="X235" s="4">
        <v>2</v>
      </c>
      <c r="Y235" s="4">
        <v>0</v>
      </c>
      <c r="Z235" s="4">
        <v>155</v>
      </c>
      <c r="AA235" s="5">
        <v>3</v>
      </c>
    </row>
    <row r="236" spans="1:27" x14ac:dyDescent="0.25">
      <c r="A236" t="s">
        <v>47</v>
      </c>
      <c r="B236">
        <v>1</v>
      </c>
      <c r="C236">
        <v>2</v>
      </c>
      <c r="D236">
        <v>1</v>
      </c>
      <c r="E236">
        <v>0</v>
      </c>
      <c r="F236">
        <v>0</v>
      </c>
      <c r="G236">
        <v>25.437010000000001</v>
      </c>
      <c r="H236">
        <v>120</v>
      </c>
      <c r="I236">
        <v>0</v>
      </c>
      <c r="J236">
        <v>1</v>
      </c>
      <c r="K236">
        <v>0</v>
      </c>
      <c r="L236">
        <v>14</v>
      </c>
      <c r="M236">
        <v>0</v>
      </c>
      <c r="O236" s="6" t="s">
        <v>47</v>
      </c>
      <c r="P236" s="7">
        <v>2</v>
      </c>
      <c r="Q236" s="7">
        <v>4</v>
      </c>
      <c r="R236" s="7">
        <v>1</v>
      </c>
      <c r="S236" s="7">
        <v>0</v>
      </c>
      <c r="T236" s="7">
        <v>0</v>
      </c>
      <c r="U236" s="7">
        <v>57.936399999999999</v>
      </c>
      <c r="V236" s="7">
        <v>240</v>
      </c>
      <c r="W236" s="7">
        <v>0</v>
      </c>
      <c r="X236" s="7">
        <v>2</v>
      </c>
      <c r="Y236" s="7">
        <v>0</v>
      </c>
      <c r="Z236" s="7">
        <v>153</v>
      </c>
      <c r="AA236" s="8">
        <v>2</v>
      </c>
    </row>
    <row r="237" spans="1:27" x14ac:dyDescent="0.25">
      <c r="A237" t="s">
        <v>47</v>
      </c>
      <c r="B237">
        <v>1</v>
      </c>
      <c r="C237">
        <v>3</v>
      </c>
      <c r="D237">
        <v>1</v>
      </c>
      <c r="E237">
        <v>0</v>
      </c>
      <c r="F237">
        <v>0</v>
      </c>
      <c r="G237">
        <v>32.498289999999997</v>
      </c>
      <c r="H237">
        <v>120</v>
      </c>
      <c r="I237">
        <v>0</v>
      </c>
      <c r="J237">
        <v>1</v>
      </c>
      <c r="K237">
        <v>0</v>
      </c>
      <c r="L237">
        <v>90</v>
      </c>
      <c r="M237">
        <v>8</v>
      </c>
      <c r="O237" s="3" t="s">
        <v>47</v>
      </c>
      <c r="P237" s="4">
        <v>5</v>
      </c>
      <c r="Q237" s="4">
        <v>3</v>
      </c>
      <c r="R237" s="4">
        <v>1</v>
      </c>
      <c r="S237" s="4">
        <v>0</v>
      </c>
      <c r="T237" s="4">
        <v>0</v>
      </c>
      <c r="U237" s="4">
        <v>85.480469999999997</v>
      </c>
      <c r="V237" s="4">
        <v>640</v>
      </c>
      <c r="W237" s="4">
        <v>0</v>
      </c>
      <c r="X237" s="4">
        <v>2</v>
      </c>
      <c r="Y237" s="4">
        <v>0</v>
      </c>
      <c r="Z237" s="4">
        <v>138</v>
      </c>
      <c r="AA237" s="5">
        <v>77</v>
      </c>
    </row>
    <row r="238" spans="1:27" x14ac:dyDescent="0.25">
      <c r="A238" t="s">
        <v>47</v>
      </c>
      <c r="B238">
        <v>3</v>
      </c>
      <c r="C238">
        <v>3</v>
      </c>
      <c r="D238">
        <v>1</v>
      </c>
      <c r="E238">
        <v>0</v>
      </c>
      <c r="F238">
        <v>0</v>
      </c>
      <c r="G238">
        <v>59.665529999999997</v>
      </c>
      <c r="H238">
        <v>360</v>
      </c>
      <c r="I238">
        <v>0</v>
      </c>
      <c r="J238">
        <v>3</v>
      </c>
      <c r="K238">
        <v>0</v>
      </c>
      <c r="L238">
        <v>222</v>
      </c>
      <c r="M238">
        <v>2</v>
      </c>
      <c r="O238" s="6" t="s">
        <v>47</v>
      </c>
      <c r="P238" s="7">
        <v>2</v>
      </c>
      <c r="Q238" s="7">
        <v>4</v>
      </c>
      <c r="R238" s="7">
        <v>1</v>
      </c>
      <c r="S238" s="7">
        <v>0</v>
      </c>
      <c r="T238" s="7">
        <v>0</v>
      </c>
      <c r="U238" s="7">
        <v>33.715089999999996</v>
      </c>
      <c r="V238" s="7">
        <v>240</v>
      </c>
      <c r="W238" s="7">
        <v>0</v>
      </c>
      <c r="X238" s="7">
        <v>2</v>
      </c>
      <c r="Y238" s="7">
        <v>0</v>
      </c>
      <c r="Z238" s="7">
        <v>89</v>
      </c>
      <c r="AA238" s="8">
        <v>4</v>
      </c>
    </row>
    <row r="239" spans="1:27" x14ac:dyDescent="0.25">
      <c r="A239" t="s">
        <v>47</v>
      </c>
      <c r="B239">
        <v>2</v>
      </c>
      <c r="C239">
        <v>2</v>
      </c>
      <c r="D239">
        <v>1</v>
      </c>
      <c r="E239">
        <v>0</v>
      </c>
      <c r="F239">
        <v>0</v>
      </c>
      <c r="G239">
        <v>64.211550000000003</v>
      </c>
      <c r="H239">
        <v>240</v>
      </c>
      <c r="I239">
        <v>0</v>
      </c>
      <c r="J239">
        <v>1</v>
      </c>
      <c r="K239">
        <v>0</v>
      </c>
      <c r="L239">
        <v>92</v>
      </c>
      <c r="M239">
        <v>2</v>
      </c>
      <c r="O239" s="3" t="s">
        <v>47</v>
      </c>
      <c r="P239" s="4">
        <v>1</v>
      </c>
      <c r="Q239" s="4">
        <v>3</v>
      </c>
      <c r="R239" s="4">
        <v>1</v>
      </c>
      <c r="S239" s="4">
        <v>0</v>
      </c>
      <c r="T239" s="4">
        <v>0</v>
      </c>
      <c r="U239" s="4">
        <v>37.531860000000002</v>
      </c>
      <c r="V239" s="4">
        <v>120</v>
      </c>
      <c r="W239" s="4">
        <v>0</v>
      </c>
      <c r="X239" s="4">
        <v>1</v>
      </c>
      <c r="Y239" s="4">
        <v>0</v>
      </c>
      <c r="Z239" s="4">
        <v>98</v>
      </c>
      <c r="AA239" s="5">
        <v>11</v>
      </c>
    </row>
    <row r="240" spans="1:27" x14ac:dyDescent="0.25">
      <c r="A240" t="s">
        <v>47</v>
      </c>
      <c r="B240">
        <v>3</v>
      </c>
      <c r="C240">
        <v>3</v>
      </c>
      <c r="D240">
        <v>1</v>
      </c>
      <c r="E240">
        <v>0</v>
      </c>
      <c r="F240">
        <v>0</v>
      </c>
      <c r="G240">
        <v>54.663939999999997</v>
      </c>
      <c r="H240">
        <v>392</v>
      </c>
      <c r="I240">
        <v>0</v>
      </c>
      <c r="J240">
        <v>3</v>
      </c>
      <c r="K240">
        <v>0</v>
      </c>
      <c r="L240">
        <v>197</v>
      </c>
      <c r="M240">
        <v>1</v>
      </c>
      <c r="O240" s="6" t="s">
        <v>47</v>
      </c>
      <c r="P240" s="7">
        <v>4</v>
      </c>
      <c r="Q240" s="7">
        <v>3</v>
      </c>
      <c r="R240" s="7">
        <v>1</v>
      </c>
      <c r="S240" s="7">
        <v>0</v>
      </c>
      <c r="T240" s="7">
        <v>0</v>
      </c>
      <c r="U240" s="7">
        <v>70.460080000000005</v>
      </c>
      <c r="V240" s="7">
        <v>480</v>
      </c>
      <c r="W240" s="7">
        <v>0</v>
      </c>
      <c r="X240" s="7">
        <v>3</v>
      </c>
      <c r="Y240" s="7">
        <v>0</v>
      </c>
      <c r="Z240" s="7">
        <v>127</v>
      </c>
      <c r="AA240" s="8">
        <v>4</v>
      </c>
    </row>
    <row r="241" spans="1:27" x14ac:dyDescent="0.25">
      <c r="A241" t="s">
        <v>47</v>
      </c>
      <c r="B241">
        <v>3</v>
      </c>
      <c r="C241">
        <v>3</v>
      </c>
      <c r="D241">
        <v>1</v>
      </c>
      <c r="E241">
        <v>0</v>
      </c>
      <c r="F241">
        <v>0</v>
      </c>
      <c r="G241">
        <v>56.093020000000003</v>
      </c>
      <c r="H241">
        <v>360</v>
      </c>
      <c r="I241">
        <v>0</v>
      </c>
      <c r="J241">
        <v>3</v>
      </c>
      <c r="K241">
        <v>0</v>
      </c>
      <c r="L241">
        <v>162</v>
      </c>
      <c r="M241">
        <v>3</v>
      </c>
      <c r="O241" s="3" t="s">
        <v>47</v>
      </c>
      <c r="P241" s="4">
        <v>0</v>
      </c>
      <c r="Q241" s="4">
        <v>2</v>
      </c>
      <c r="R241" s="4">
        <v>0</v>
      </c>
      <c r="S241" s="4">
        <v>0</v>
      </c>
      <c r="T241" s="4">
        <v>0</v>
      </c>
      <c r="U241" s="4">
        <v>115.1544</v>
      </c>
      <c r="V241" s="4">
        <v>40</v>
      </c>
      <c r="W241" s="4">
        <v>0</v>
      </c>
      <c r="X241" s="4">
        <v>1</v>
      </c>
      <c r="Y241" s="4">
        <v>0</v>
      </c>
      <c r="Z241" s="4">
        <v>537</v>
      </c>
      <c r="AA241" s="5">
        <v>14</v>
      </c>
    </row>
    <row r="242" spans="1:27" x14ac:dyDescent="0.25">
      <c r="A242" t="s">
        <v>48</v>
      </c>
      <c r="B242">
        <v>5</v>
      </c>
      <c r="C242">
        <v>1</v>
      </c>
      <c r="D242">
        <v>0</v>
      </c>
      <c r="E242">
        <v>23</v>
      </c>
      <c r="F242">
        <v>113</v>
      </c>
      <c r="G242">
        <v>275.50990000000002</v>
      </c>
      <c r="H242">
        <v>720</v>
      </c>
      <c r="I242">
        <v>0</v>
      </c>
      <c r="J242">
        <v>1</v>
      </c>
      <c r="K242">
        <v>4</v>
      </c>
      <c r="L242">
        <v>392</v>
      </c>
      <c r="M242">
        <v>102</v>
      </c>
      <c r="O242" s="6" t="s">
        <v>47</v>
      </c>
      <c r="P242" s="7">
        <v>3</v>
      </c>
      <c r="Q242" s="7">
        <v>2</v>
      </c>
      <c r="R242" s="7">
        <v>1</v>
      </c>
      <c r="S242" s="7">
        <v>0</v>
      </c>
      <c r="T242" s="7">
        <v>0</v>
      </c>
      <c r="U242" s="7">
        <v>25.912960000000002</v>
      </c>
      <c r="V242" s="7">
        <v>360</v>
      </c>
      <c r="W242" s="7">
        <v>0</v>
      </c>
      <c r="X242" s="7">
        <v>3</v>
      </c>
      <c r="Y242" s="7">
        <v>0</v>
      </c>
      <c r="Z242" s="7">
        <v>59</v>
      </c>
      <c r="AA242" s="8">
        <v>4</v>
      </c>
    </row>
    <row r="243" spans="1:27" x14ac:dyDescent="0.25">
      <c r="A243" t="s">
        <v>48</v>
      </c>
      <c r="B243">
        <v>29</v>
      </c>
      <c r="C243">
        <v>4</v>
      </c>
      <c r="D243">
        <v>0</v>
      </c>
      <c r="E243">
        <v>101</v>
      </c>
      <c r="F243">
        <v>521</v>
      </c>
      <c r="G243">
        <v>948.18920000000003</v>
      </c>
      <c r="H243">
        <v>3280</v>
      </c>
      <c r="I243">
        <v>0</v>
      </c>
      <c r="J243">
        <v>29</v>
      </c>
      <c r="K243">
        <v>27</v>
      </c>
      <c r="L243">
        <v>711</v>
      </c>
      <c r="M243">
        <v>3</v>
      </c>
      <c r="O243" s="3" t="s">
        <v>47</v>
      </c>
      <c r="P243" s="4">
        <v>1</v>
      </c>
      <c r="Q243" s="4">
        <v>2</v>
      </c>
      <c r="R243" s="4">
        <v>1</v>
      </c>
      <c r="S243" s="4">
        <v>0</v>
      </c>
      <c r="T243" s="4">
        <v>0</v>
      </c>
      <c r="U243" s="4">
        <v>48.52722</v>
      </c>
      <c r="V243" s="4">
        <v>120</v>
      </c>
      <c r="W243" s="4">
        <v>0</v>
      </c>
      <c r="X243" s="4">
        <v>1</v>
      </c>
      <c r="Y243" s="4">
        <v>0</v>
      </c>
      <c r="Z243" s="4">
        <v>207</v>
      </c>
      <c r="AA243" s="5">
        <v>6</v>
      </c>
    </row>
    <row r="244" spans="1:27" x14ac:dyDescent="0.25">
      <c r="A244" t="s">
        <v>48</v>
      </c>
      <c r="B244">
        <v>1</v>
      </c>
      <c r="C244">
        <v>2</v>
      </c>
      <c r="D244">
        <v>0</v>
      </c>
      <c r="E244">
        <v>10</v>
      </c>
      <c r="F244">
        <v>80</v>
      </c>
      <c r="G244">
        <v>136.41139999999999</v>
      </c>
      <c r="H244">
        <v>280</v>
      </c>
      <c r="I244">
        <v>0</v>
      </c>
      <c r="J244">
        <v>2</v>
      </c>
      <c r="K244">
        <v>3</v>
      </c>
      <c r="L244">
        <v>127</v>
      </c>
      <c r="M244">
        <v>0</v>
      </c>
      <c r="O244" s="6" t="s">
        <v>47</v>
      </c>
      <c r="P244" s="7">
        <v>2</v>
      </c>
      <c r="Q244" s="7">
        <v>2</v>
      </c>
      <c r="R244" s="7">
        <v>1</v>
      </c>
      <c r="S244" s="7">
        <v>0</v>
      </c>
      <c r="T244" s="7">
        <v>0</v>
      </c>
      <c r="U244" s="7">
        <v>31.688110000000002</v>
      </c>
      <c r="V244" s="7">
        <v>240</v>
      </c>
      <c r="W244" s="7">
        <v>0</v>
      </c>
      <c r="X244" s="7">
        <v>1</v>
      </c>
      <c r="Y244" s="7">
        <v>0</v>
      </c>
      <c r="Z244" s="7">
        <v>76</v>
      </c>
      <c r="AA244" s="8">
        <v>3</v>
      </c>
    </row>
    <row r="245" spans="1:27" x14ac:dyDescent="0.25">
      <c r="A245" t="s">
        <v>48</v>
      </c>
      <c r="B245">
        <v>1</v>
      </c>
      <c r="C245">
        <v>3</v>
      </c>
      <c r="D245">
        <v>0</v>
      </c>
      <c r="E245">
        <v>14</v>
      </c>
      <c r="F245">
        <v>62</v>
      </c>
      <c r="G245">
        <v>177.45320000000001</v>
      </c>
      <c r="H245">
        <v>320</v>
      </c>
      <c r="I245">
        <v>0</v>
      </c>
      <c r="J245">
        <v>2</v>
      </c>
      <c r="K245">
        <v>3</v>
      </c>
      <c r="L245">
        <v>192</v>
      </c>
      <c r="M245">
        <v>0</v>
      </c>
      <c r="O245" s="3" t="s">
        <v>47</v>
      </c>
      <c r="P245" s="4">
        <v>2</v>
      </c>
      <c r="Q245" s="4">
        <v>3</v>
      </c>
      <c r="R245" s="4">
        <v>1</v>
      </c>
      <c r="S245" s="4">
        <v>0</v>
      </c>
      <c r="T245" s="4">
        <v>0</v>
      </c>
      <c r="U245" s="4">
        <v>58.007080000000002</v>
      </c>
      <c r="V245" s="4">
        <v>200</v>
      </c>
      <c r="W245" s="4">
        <v>0</v>
      </c>
      <c r="X245" s="4">
        <v>2</v>
      </c>
      <c r="Y245" s="4">
        <v>0</v>
      </c>
      <c r="Z245" s="4">
        <v>258</v>
      </c>
      <c r="AA245" s="5">
        <v>1</v>
      </c>
    </row>
    <row r="246" spans="1:27" x14ac:dyDescent="0.25">
      <c r="A246" t="s">
        <v>48</v>
      </c>
      <c r="B246">
        <v>0</v>
      </c>
      <c r="C246">
        <v>1</v>
      </c>
      <c r="D246">
        <v>0</v>
      </c>
      <c r="E246">
        <v>0</v>
      </c>
      <c r="F246">
        <v>0</v>
      </c>
      <c r="G246">
        <v>48.054079999999999</v>
      </c>
      <c r="H246">
        <v>0</v>
      </c>
      <c r="I246">
        <v>0</v>
      </c>
      <c r="J246">
        <v>1</v>
      </c>
      <c r="K246">
        <v>0</v>
      </c>
      <c r="L246">
        <v>30</v>
      </c>
      <c r="M246">
        <v>0</v>
      </c>
      <c r="O246" s="6" t="s">
        <v>47</v>
      </c>
      <c r="P246" s="7">
        <v>3</v>
      </c>
      <c r="Q246" s="7">
        <v>3</v>
      </c>
      <c r="R246" s="7">
        <v>1</v>
      </c>
      <c r="S246" s="7">
        <v>0</v>
      </c>
      <c r="T246" s="7">
        <v>0</v>
      </c>
      <c r="U246" s="7">
        <v>43.54468</v>
      </c>
      <c r="V246" s="7">
        <v>480</v>
      </c>
      <c r="W246" s="7">
        <v>0</v>
      </c>
      <c r="X246" s="7">
        <v>1</v>
      </c>
      <c r="Y246" s="7">
        <v>0</v>
      </c>
      <c r="Z246" s="7">
        <v>121</v>
      </c>
      <c r="AA246" s="8">
        <v>2</v>
      </c>
    </row>
    <row r="247" spans="1:27" x14ac:dyDescent="0.25">
      <c r="A247" t="s">
        <v>48</v>
      </c>
      <c r="B247">
        <v>1</v>
      </c>
      <c r="C247">
        <v>1</v>
      </c>
      <c r="D247">
        <v>0</v>
      </c>
      <c r="E247">
        <v>9</v>
      </c>
      <c r="F247">
        <v>34</v>
      </c>
      <c r="G247">
        <v>97.738280000000003</v>
      </c>
      <c r="H247">
        <v>320</v>
      </c>
      <c r="I247">
        <v>0</v>
      </c>
      <c r="J247">
        <v>2</v>
      </c>
      <c r="K247">
        <v>4</v>
      </c>
      <c r="L247">
        <v>144</v>
      </c>
      <c r="M247">
        <v>0</v>
      </c>
      <c r="O247" s="3" t="s">
        <v>47</v>
      </c>
      <c r="P247" s="4">
        <v>1</v>
      </c>
      <c r="Q247" s="4">
        <v>3</v>
      </c>
      <c r="R247" s="4">
        <v>1</v>
      </c>
      <c r="S247" s="4">
        <v>0</v>
      </c>
      <c r="T247" s="4">
        <v>0</v>
      </c>
      <c r="U247" s="4">
        <v>25.078489999999999</v>
      </c>
      <c r="V247" s="4">
        <v>120</v>
      </c>
      <c r="W247" s="4">
        <v>0</v>
      </c>
      <c r="X247" s="4">
        <v>0</v>
      </c>
      <c r="Y247" s="4">
        <v>0</v>
      </c>
      <c r="Z247" s="4">
        <v>77</v>
      </c>
      <c r="AA247" s="5">
        <v>0</v>
      </c>
    </row>
    <row r="248" spans="1:27" x14ac:dyDescent="0.25">
      <c r="A248" t="s">
        <v>48</v>
      </c>
      <c r="B248">
        <v>7</v>
      </c>
      <c r="C248">
        <v>1</v>
      </c>
      <c r="D248">
        <v>0</v>
      </c>
      <c r="E248">
        <v>13</v>
      </c>
      <c r="F248">
        <v>64</v>
      </c>
      <c r="G248">
        <v>13.073090000000001</v>
      </c>
      <c r="H248">
        <v>1040</v>
      </c>
      <c r="I248">
        <v>0</v>
      </c>
      <c r="J248">
        <v>8</v>
      </c>
      <c r="K248">
        <v>3</v>
      </c>
      <c r="L248">
        <v>129</v>
      </c>
      <c r="M248">
        <v>0</v>
      </c>
      <c r="O248" s="6" t="s">
        <v>47</v>
      </c>
      <c r="P248" s="7">
        <v>1</v>
      </c>
      <c r="Q248" s="7">
        <v>2</v>
      </c>
      <c r="R248" s="7">
        <v>1</v>
      </c>
      <c r="S248" s="7">
        <v>0</v>
      </c>
      <c r="T248" s="7">
        <v>0</v>
      </c>
      <c r="U248" s="7">
        <v>25.437010000000001</v>
      </c>
      <c r="V248" s="7">
        <v>120</v>
      </c>
      <c r="W248" s="7">
        <v>0</v>
      </c>
      <c r="X248" s="7">
        <v>1</v>
      </c>
      <c r="Y248" s="7">
        <v>0</v>
      </c>
      <c r="Z248" s="7">
        <v>14</v>
      </c>
      <c r="AA248" s="8">
        <v>0</v>
      </c>
    </row>
    <row r="249" spans="1:27" x14ac:dyDescent="0.25">
      <c r="A249" t="s">
        <v>48</v>
      </c>
      <c r="B249">
        <v>0</v>
      </c>
      <c r="C249">
        <v>4</v>
      </c>
      <c r="D249">
        <v>1</v>
      </c>
      <c r="E249">
        <v>5</v>
      </c>
      <c r="F249">
        <v>1684</v>
      </c>
      <c r="G249">
        <v>36.753129999999999</v>
      </c>
      <c r="H249">
        <v>80</v>
      </c>
      <c r="I249">
        <v>0</v>
      </c>
      <c r="J249">
        <v>1</v>
      </c>
      <c r="K249">
        <v>2</v>
      </c>
      <c r="L249">
        <v>44</v>
      </c>
      <c r="M249">
        <v>0</v>
      </c>
      <c r="O249" s="3" t="s">
        <v>47</v>
      </c>
      <c r="P249" s="4">
        <v>1</v>
      </c>
      <c r="Q249" s="4">
        <v>3</v>
      </c>
      <c r="R249" s="4">
        <v>1</v>
      </c>
      <c r="S249" s="4">
        <v>0</v>
      </c>
      <c r="T249" s="4">
        <v>0</v>
      </c>
      <c r="U249" s="4">
        <v>32.498289999999997</v>
      </c>
      <c r="V249" s="4">
        <v>120</v>
      </c>
      <c r="W249" s="4">
        <v>0</v>
      </c>
      <c r="X249" s="4">
        <v>1</v>
      </c>
      <c r="Y249" s="4">
        <v>0</v>
      </c>
      <c r="Z249" s="4">
        <v>90</v>
      </c>
      <c r="AA249" s="5">
        <v>8</v>
      </c>
    </row>
    <row r="250" spans="1:27" x14ac:dyDescent="0.25">
      <c r="A250" t="s">
        <v>48</v>
      </c>
      <c r="B250">
        <v>14</v>
      </c>
      <c r="C250">
        <v>4</v>
      </c>
      <c r="D250">
        <v>0</v>
      </c>
      <c r="E250">
        <v>107</v>
      </c>
      <c r="F250">
        <v>568</v>
      </c>
      <c r="G250">
        <v>129.27670000000001</v>
      </c>
      <c r="H250">
        <v>3200</v>
      </c>
      <c r="I250">
        <v>0</v>
      </c>
      <c r="J250">
        <v>18</v>
      </c>
      <c r="K250">
        <v>32</v>
      </c>
      <c r="L250">
        <v>671</v>
      </c>
      <c r="M250">
        <v>14</v>
      </c>
      <c r="O250" s="6" t="s">
        <v>47</v>
      </c>
      <c r="P250" s="7">
        <v>3</v>
      </c>
      <c r="Q250" s="7">
        <v>3</v>
      </c>
      <c r="R250" s="7">
        <v>1</v>
      </c>
      <c r="S250" s="7">
        <v>0</v>
      </c>
      <c r="T250" s="7">
        <v>0</v>
      </c>
      <c r="U250" s="7">
        <v>59.665529999999997</v>
      </c>
      <c r="V250" s="7">
        <v>360</v>
      </c>
      <c r="W250" s="7">
        <v>0</v>
      </c>
      <c r="X250" s="7">
        <v>3</v>
      </c>
      <c r="Y250" s="7">
        <v>0</v>
      </c>
      <c r="Z250" s="7">
        <v>222</v>
      </c>
      <c r="AA250" s="8">
        <v>2</v>
      </c>
    </row>
    <row r="251" spans="1:27" x14ac:dyDescent="0.25">
      <c r="A251" t="s">
        <v>48</v>
      </c>
      <c r="B251">
        <v>2</v>
      </c>
      <c r="C251">
        <v>2</v>
      </c>
      <c r="D251">
        <v>0</v>
      </c>
      <c r="E251">
        <v>2</v>
      </c>
      <c r="F251">
        <v>11</v>
      </c>
      <c r="G251">
        <v>169.68119999999999</v>
      </c>
      <c r="H251">
        <v>360</v>
      </c>
      <c r="I251">
        <v>0</v>
      </c>
      <c r="J251">
        <v>3</v>
      </c>
      <c r="K251">
        <v>3</v>
      </c>
      <c r="L251">
        <v>131</v>
      </c>
      <c r="M251">
        <v>1</v>
      </c>
      <c r="O251" s="3" t="s">
        <v>47</v>
      </c>
      <c r="P251" s="4">
        <v>2</v>
      </c>
      <c r="Q251" s="4">
        <v>2</v>
      </c>
      <c r="R251" s="4">
        <v>1</v>
      </c>
      <c r="S251" s="4">
        <v>0</v>
      </c>
      <c r="T251" s="4">
        <v>0</v>
      </c>
      <c r="U251" s="4">
        <v>64.211550000000003</v>
      </c>
      <c r="V251" s="4">
        <v>240</v>
      </c>
      <c r="W251" s="4">
        <v>0</v>
      </c>
      <c r="X251" s="4">
        <v>1</v>
      </c>
      <c r="Y251" s="4">
        <v>0</v>
      </c>
      <c r="Z251" s="4">
        <v>92</v>
      </c>
      <c r="AA251" s="5">
        <v>2</v>
      </c>
    </row>
    <row r="252" spans="1:27" x14ac:dyDescent="0.25">
      <c r="A252" t="s">
        <v>48</v>
      </c>
      <c r="B252">
        <v>0</v>
      </c>
      <c r="C252">
        <v>1</v>
      </c>
      <c r="D252">
        <v>0</v>
      </c>
      <c r="E252">
        <v>3</v>
      </c>
      <c r="F252">
        <v>14</v>
      </c>
      <c r="G252">
        <v>97.602050000000006</v>
      </c>
      <c r="H252">
        <v>240</v>
      </c>
      <c r="I252">
        <v>0</v>
      </c>
      <c r="J252">
        <v>1</v>
      </c>
      <c r="K252">
        <v>4</v>
      </c>
      <c r="L252">
        <v>83</v>
      </c>
      <c r="M252">
        <v>9</v>
      </c>
      <c r="O252" s="6" t="s">
        <v>47</v>
      </c>
      <c r="P252" s="7">
        <v>3</v>
      </c>
      <c r="Q252" s="7">
        <v>3</v>
      </c>
      <c r="R252" s="7">
        <v>1</v>
      </c>
      <c r="S252" s="7">
        <v>0</v>
      </c>
      <c r="T252" s="7">
        <v>0</v>
      </c>
      <c r="U252" s="7">
        <v>54.663939999999997</v>
      </c>
      <c r="V252" s="7">
        <v>392</v>
      </c>
      <c r="W252" s="7">
        <v>0</v>
      </c>
      <c r="X252" s="7">
        <v>3</v>
      </c>
      <c r="Y252" s="7">
        <v>0</v>
      </c>
      <c r="Z252" s="7">
        <v>197</v>
      </c>
      <c r="AA252" s="8">
        <v>1</v>
      </c>
    </row>
    <row r="253" spans="1:27" x14ac:dyDescent="0.25">
      <c r="A253" t="s">
        <v>48</v>
      </c>
      <c r="B253">
        <v>0</v>
      </c>
      <c r="C253">
        <v>1</v>
      </c>
      <c r="D253">
        <v>0</v>
      </c>
      <c r="E253">
        <v>1</v>
      </c>
      <c r="F253">
        <v>4</v>
      </c>
      <c r="G253">
        <v>85.529300000000006</v>
      </c>
      <c r="H253">
        <v>40</v>
      </c>
      <c r="I253">
        <v>0</v>
      </c>
      <c r="J253">
        <v>1</v>
      </c>
      <c r="K253">
        <v>1</v>
      </c>
      <c r="L253">
        <v>131</v>
      </c>
      <c r="M253">
        <v>0</v>
      </c>
      <c r="O253" s="3" t="s">
        <v>47</v>
      </c>
      <c r="P253" s="4">
        <v>3</v>
      </c>
      <c r="Q253" s="4">
        <v>3</v>
      </c>
      <c r="R253" s="4">
        <v>1</v>
      </c>
      <c r="S253" s="4">
        <v>0</v>
      </c>
      <c r="T253" s="4">
        <v>0</v>
      </c>
      <c r="U253" s="4">
        <v>56.093020000000003</v>
      </c>
      <c r="V253" s="4">
        <v>360</v>
      </c>
      <c r="W253" s="4">
        <v>0</v>
      </c>
      <c r="X253" s="4">
        <v>3</v>
      </c>
      <c r="Y253" s="4">
        <v>0</v>
      </c>
      <c r="Z253" s="4">
        <v>162</v>
      </c>
      <c r="AA253" s="5">
        <v>3</v>
      </c>
    </row>
    <row r="254" spans="1:27" x14ac:dyDescent="0.25">
      <c r="A254" t="s">
        <v>48</v>
      </c>
      <c r="B254">
        <v>0</v>
      </c>
      <c r="C254">
        <v>2</v>
      </c>
      <c r="D254">
        <v>0</v>
      </c>
      <c r="E254">
        <v>6</v>
      </c>
      <c r="F254">
        <v>22</v>
      </c>
      <c r="G254">
        <v>125.4551</v>
      </c>
      <c r="H254">
        <v>320</v>
      </c>
      <c r="I254">
        <v>0</v>
      </c>
      <c r="J254">
        <v>2</v>
      </c>
      <c r="K254">
        <v>5</v>
      </c>
      <c r="L254">
        <v>93</v>
      </c>
      <c r="M254">
        <v>10</v>
      </c>
      <c r="O254" s="10" t="s">
        <v>12</v>
      </c>
      <c r="P254" s="9">
        <f t="shared" ref="P254:AA254" si="9">AVERAGE(P230:P253)</f>
        <v>3.2916666666666665</v>
      </c>
      <c r="Q254" s="9">
        <f t="shared" si="9"/>
        <v>2.7916666666666665</v>
      </c>
      <c r="R254" s="9">
        <f t="shared" si="9"/>
        <v>0.91666666666666663</v>
      </c>
      <c r="S254" s="9">
        <f t="shared" si="9"/>
        <v>0</v>
      </c>
      <c r="T254" s="9">
        <f t="shared" si="9"/>
        <v>0</v>
      </c>
      <c r="U254" s="9">
        <f t="shared" si="9"/>
        <v>79.327550416666682</v>
      </c>
      <c r="V254" s="9">
        <f t="shared" si="9"/>
        <v>389.66666666666669</v>
      </c>
      <c r="W254" s="9">
        <f t="shared" si="9"/>
        <v>0</v>
      </c>
      <c r="X254" s="9">
        <f t="shared" si="9"/>
        <v>2.2916666666666665</v>
      </c>
      <c r="Y254" s="9">
        <f t="shared" si="9"/>
        <v>0</v>
      </c>
      <c r="Z254" s="9">
        <f t="shared" si="9"/>
        <v>201.29166666666666</v>
      </c>
      <c r="AA254" s="9">
        <f t="shared" si="9"/>
        <v>9.9583333333333339</v>
      </c>
    </row>
    <row r="255" spans="1:27" x14ac:dyDescent="0.25">
      <c r="A255" t="s">
        <v>48</v>
      </c>
      <c r="B255">
        <v>0</v>
      </c>
      <c r="C255">
        <v>2</v>
      </c>
      <c r="D255">
        <v>0</v>
      </c>
      <c r="E255">
        <v>3</v>
      </c>
      <c r="F255">
        <v>13</v>
      </c>
      <c r="G255">
        <v>12.7479</v>
      </c>
      <c r="H255">
        <v>320</v>
      </c>
      <c r="I255">
        <v>3</v>
      </c>
      <c r="J255">
        <v>1</v>
      </c>
      <c r="K255">
        <v>5</v>
      </c>
      <c r="L255">
        <v>96</v>
      </c>
      <c r="M255">
        <v>9</v>
      </c>
      <c r="O255" s="6" t="s">
        <v>48</v>
      </c>
      <c r="P255" s="7">
        <v>5</v>
      </c>
      <c r="Q255" s="7">
        <v>1</v>
      </c>
      <c r="R255" s="7">
        <v>0</v>
      </c>
      <c r="S255" s="7">
        <v>23</v>
      </c>
      <c r="T255" s="7">
        <v>113</v>
      </c>
      <c r="U255" s="7">
        <v>275.50990000000002</v>
      </c>
      <c r="V255" s="7">
        <v>720</v>
      </c>
      <c r="W255" s="7">
        <v>0</v>
      </c>
      <c r="X255" s="7">
        <v>1</v>
      </c>
      <c r="Y255" s="7">
        <v>4</v>
      </c>
      <c r="Z255" s="7">
        <v>392</v>
      </c>
      <c r="AA255" s="8">
        <v>102</v>
      </c>
    </row>
    <row r="256" spans="1:27" x14ac:dyDescent="0.25">
      <c r="A256" t="s">
        <v>48</v>
      </c>
      <c r="B256">
        <v>1</v>
      </c>
      <c r="C256">
        <v>4</v>
      </c>
      <c r="D256">
        <v>0</v>
      </c>
      <c r="E256">
        <v>3</v>
      </c>
      <c r="F256">
        <v>12</v>
      </c>
      <c r="G256">
        <v>214.9966</v>
      </c>
      <c r="H256">
        <v>280</v>
      </c>
      <c r="I256">
        <v>0</v>
      </c>
      <c r="J256">
        <v>2</v>
      </c>
      <c r="K256">
        <v>4</v>
      </c>
      <c r="L256">
        <v>75</v>
      </c>
      <c r="M256">
        <v>12</v>
      </c>
      <c r="O256" s="3" t="s">
        <v>48</v>
      </c>
      <c r="P256" s="4">
        <v>29</v>
      </c>
      <c r="Q256" s="4">
        <v>4</v>
      </c>
      <c r="R256" s="4">
        <v>0</v>
      </c>
      <c r="S256" s="4">
        <v>101</v>
      </c>
      <c r="T256" s="4">
        <v>521</v>
      </c>
      <c r="U256" s="4">
        <v>948.18920000000003</v>
      </c>
      <c r="V256" s="4">
        <v>3280</v>
      </c>
      <c r="W256" s="4">
        <v>0</v>
      </c>
      <c r="X256" s="4">
        <v>29</v>
      </c>
      <c r="Y256" s="4">
        <v>27</v>
      </c>
      <c r="Z256" s="4">
        <v>711</v>
      </c>
      <c r="AA256" s="5">
        <v>3</v>
      </c>
    </row>
    <row r="257" spans="1:27" x14ac:dyDescent="0.25">
      <c r="A257" t="s">
        <v>48</v>
      </c>
      <c r="B257">
        <v>0</v>
      </c>
      <c r="C257">
        <v>3</v>
      </c>
      <c r="D257">
        <v>0</v>
      </c>
      <c r="E257">
        <v>1</v>
      </c>
      <c r="F257">
        <v>5</v>
      </c>
      <c r="G257">
        <v>96.850589999999997</v>
      </c>
      <c r="H257">
        <v>220</v>
      </c>
      <c r="I257">
        <v>0</v>
      </c>
      <c r="J257">
        <v>1</v>
      </c>
      <c r="K257">
        <v>4</v>
      </c>
      <c r="L257">
        <v>94</v>
      </c>
      <c r="M257">
        <v>12</v>
      </c>
      <c r="O257" s="6" t="s">
        <v>48</v>
      </c>
      <c r="P257" s="7">
        <v>1</v>
      </c>
      <c r="Q257" s="7">
        <v>2</v>
      </c>
      <c r="R257" s="7">
        <v>0</v>
      </c>
      <c r="S257" s="7">
        <v>10</v>
      </c>
      <c r="T257" s="7">
        <v>80</v>
      </c>
      <c r="U257" s="7">
        <v>136.41139999999999</v>
      </c>
      <c r="V257" s="7">
        <v>280</v>
      </c>
      <c r="W257" s="7">
        <v>0</v>
      </c>
      <c r="X257" s="7">
        <v>2</v>
      </c>
      <c r="Y257" s="7">
        <v>3</v>
      </c>
      <c r="Z257" s="7">
        <v>127</v>
      </c>
      <c r="AA257" s="8">
        <v>0</v>
      </c>
    </row>
    <row r="258" spans="1:27" x14ac:dyDescent="0.25">
      <c r="A258" t="s">
        <v>48</v>
      </c>
      <c r="B258">
        <v>20</v>
      </c>
      <c r="C258">
        <v>4</v>
      </c>
      <c r="D258">
        <v>0</v>
      </c>
      <c r="E258">
        <v>39</v>
      </c>
      <c r="F258">
        <v>173</v>
      </c>
      <c r="G258">
        <v>83.691310000000001</v>
      </c>
      <c r="H258">
        <v>4720</v>
      </c>
      <c r="I258">
        <v>3</v>
      </c>
      <c r="J258">
        <v>23</v>
      </c>
      <c r="K258">
        <v>38</v>
      </c>
      <c r="L258">
        <v>493</v>
      </c>
      <c r="M258">
        <v>24</v>
      </c>
      <c r="O258" s="3" t="s">
        <v>48</v>
      </c>
      <c r="P258" s="4">
        <v>1</v>
      </c>
      <c r="Q258" s="4">
        <v>3</v>
      </c>
      <c r="R258" s="4">
        <v>0</v>
      </c>
      <c r="S258" s="4">
        <v>14</v>
      </c>
      <c r="T258" s="4">
        <v>62</v>
      </c>
      <c r="U258" s="4">
        <v>177.45320000000001</v>
      </c>
      <c r="V258" s="4">
        <v>320</v>
      </c>
      <c r="W258" s="4">
        <v>0</v>
      </c>
      <c r="X258" s="4">
        <v>2</v>
      </c>
      <c r="Y258" s="4">
        <v>3</v>
      </c>
      <c r="Z258" s="4">
        <v>192</v>
      </c>
      <c r="AA258" s="5">
        <v>0</v>
      </c>
    </row>
    <row r="259" spans="1:27" x14ac:dyDescent="0.25">
      <c r="A259" t="s">
        <v>48</v>
      </c>
      <c r="B259">
        <v>1</v>
      </c>
      <c r="C259">
        <v>1</v>
      </c>
      <c r="D259">
        <v>0</v>
      </c>
      <c r="E259">
        <v>1</v>
      </c>
      <c r="F259">
        <v>6</v>
      </c>
      <c r="G259">
        <v>120.51860000000001</v>
      </c>
      <c r="H259">
        <v>360</v>
      </c>
      <c r="I259">
        <v>0</v>
      </c>
      <c r="J259">
        <v>2</v>
      </c>
      <c r="K259">
        <v>4</v>
      </c>
      <c r="L259">
        <v>209</v>
      </c>
      <c r="M259">
        <v>2</v>
      </c>
      <c r="O259" s="6" t="s">
        <v>48</v>
      </c>
      <c r="P259" s="7">
        <v>0</v>
      </c>
      <c r="Q259" s="7">
        <v>1</v>
      </c>
      <c r="R259" s="7">
        <v>0</v>
      </c>
      <c r="S259" s="7">
        <v>0</v>
      </c>
      <c r="T259" s="7">
        <v>0</v>
      </c>
      <c r="U259" s="7">
        <v>48.054079999999999</v>
      </c>
      <c r="V259" s="7">
        <v>0</v>
      </c>
      <c r="W259" s="7">
        <v>0</v>
      </c>
      <c r="X259" s="7">
        <v>1</v>
      </c>
      <c r="Y259" s="7">
        <v>0</v>
      </c>
      <c r="Z259" s="7">
        <v>30</v>
      </c>
      <c r="AA259" s="8">
        <v>0</v>
      </c>
    </row>
    <row r="260" spans="1:27" x14ac:dyDescent="0.25">
      <c r="A260" t="s">
        <v>48</v>
      </c>
      <c r="B260">
        <v>3</v>
      </c>
      <c r="C260">
        <v>2</v>
      </c>
      <c r="D260">
        <v>0</v>
      </c>
      <c r="E260">
        <v>11</v>
      </c>
      <c r="F260">
        <v>32</v>
      </c>
      <c r="G260">
        <v>124.51560000000001</v>
      </c>
      <c r="H260">
        <v>680</v>
      </c>
      <c r="I260">
        <v>4</v>
      </c>
      <c r="J260">
        <v>4</v>
      </c>
      <c r="K260">
        <v>4</v>
      </c>
      <c r="L260">
        <v>101</v>
      </c>
      <c r="M260">
        <v>11</v>
      </c>
      <c r="O260" s="3" t="s">
        <v>48</v>
      </c>
      <c r="P260" s="4">
        <v>1</v>
      </c>
      <c r="Q260" s="4">
        <v>1</v>
      </c>
      <c r="R260" s="4">
        <v>0</v>
      </c>
      <c r="S260" s="4">
        <v>9</v>
      </c>
      <c r="T260" s="4">
        <v>34</v>
      </c>
      <c r="U260" s="4">
        <v>97.738280000000003</v>
      </c>
      <c r="V260" s="4">
        <v>320</v>
      </c>
      <c r="W260" s="4">
        <v>0</v>
      </c>
      <c r="X260" s="4">
        <v>2</v>
      </c>
      <c r="Y260" s="4">
        <v>4</v>
      </c>
      <c r="Z260" s="4">
        <v>144</v>
      </c>
      <c r="AA260" s="5">
        <v>0</v>
      </c>
    </row>
    <row r="261" spans="1:27" x14ac:dyDescent="0.25">
      <c r="A261" t="s">
        <v>48</v>
      </c>
      <c r="B261">
        <v>1</v>
      </c>
      <c r="C261">
        <v>2</v>
      </c>
      <c r="D261">
        <v>0</v>
      </c>
      <c r="E261">
        <v>1</v>
      </c>
      <c r="F261">
        <v>6</v>
      </c>
      <c r="G261">
        <v>10.0251</v>
      </c>
      <c r="H261">
        <v>280</v>
      </c>
      <c r="I261">
        <v>2</v>
      </c>
      <c r="J261">
        <v>2</v>
      </c>
      <c r="K261">
        <v>4</v>
      </c>
      <c r="L261">
        <v>81</v>
      </c>
      <c r="M261">
        <v>4</v>
      </c>
      <c r="O261" s="6" t="s">
        <v>48</v>
      </c>
      <c r="P261" s="7">
        <v>7</v>
      </c>
      <c r="Q261" s="7">
        <v>1</v>
      </c>
      <c r="R261" s="7">
        <v>0</v>
      </c>
      <c r="S261" s="7">
        <v>13</v>
      </c>
      <c r="T261" s="7">
        <v>64</v>
      </c>
      <c r="U261" s="7">
        <v>13.073090000000001</v>
      </c>
      <c r="V261" s="7">
        <v>1040</v>
      </c>
      <c r="W261" s="7">
        <v>0</v>
      </c>
      <c r="X261" s="7">
        <v>8</v>
      </c>
      <c r="Y261" s="7">
        <v>3</v>
      </c>
      <c r="Z261" s="7">
        <v>129</v>
      </c>
      <c r="AA261" s="8">
        <v>0</v>
      </c>
    </row>
    <row r="262" spans="1:27" x14ac:dyDescent="0.25">
      <c r="A262" t="s">
        <v>48</v>
      </c>
      <c r="B262">
        <v>0</v>
      </c>
      <c r="C262">
        <v>1</v>
      </c>
      <c r="D262">
        <v>0</v>
      </c>
      <c r="E262">
        <v>3</v>
      </c>
      <c r="F262">
        <v>14</v>
      </c>
      <c r="G262">
        <v>34.852539999999998</v>
      </c>
      <c r="H262">
        <v>160</v>
      </c>
      <c r="I262">
        <v>1</v>
      </c>
      <c r="J262">
        <v>1</v>
      </c>
      <c r="K262">
        <v>1</v>
      </c>
      <c r="L262">
        <v>55</v>
      </c>
      <c r="M262">
        <v>0</v>
      </c>
      <c r="O262" s="3" t="s">
        <v>48</v>
      </c>
      <c r="P262" s="4">
        <v>0</v>
      </c>
      <c r="Q262" s="4">
        <v>4</v>
      </c>
      <c r="R262" s="4">
        <v>1</v>
      </c>
      <c r="S262" s="4">
        <v>5</v>
      </c>
      <c r="T262" s="4">
        <v>1684</v>
      </c>
      <c r="U262" s="4">
        <v>36.753129999999999</v>
      </c>
      <c r="V262" s="4">
        <v>80</v>
      </c>
      <c r="W262" s="4">
        <v>0</v>
      </c>
      <c r="X262" s="4">
        <v>1</v>
      </c>
      <c r="Y262" s="4">
        <v>2</v>
      </c>
      <c r="Z262" s="4">
        <v>44</v>
      </c>
      <c r="AA262" s="5">
        <v>0</v>
      </c>
    </row>
    <row r="263" spans="1:27" x14ac:dyDescent="0.25">
      <c r="A263" t="s">
        <v>48</v>
      </c>
      <c r="B263">
        <v>0</v>
      </c>
      <c r="C263">
        <v>1</v>
      </c>
      <c r="D263">
        <v>0</v>
      </c>
      <c r="E263">
        <v>1</v>
      </c>
      <c r="F263">
        <v>4</v>
      </c>
      <c r="G263">
        <v>30.772459999999999</v>
      </c>
      <c r="H263">
        <v>40</v>
      </c>
      <c r="I263">
        <v>1</v>
      </c>
      <c r="J263">
        <v>1</v>
      </c>
      <c r="K263">
        <v>0</v>
      </c>
      <c r="L263">
        <v>55</v>
      </c>
      <c r="M263">
        <v>0</v>
      </c>
      <c r="O263" s="6" t="s">
        <v>48</v>
      </c>
      <c r="P263" s="7">
        <v>14</v>
      </c>
      <c r="Q263" s="7">
        <v>4</v>
      </c>
      <c r="R263" s="7">
        <v>0</v>
      </c>
      <c r="S263" s="7">
        <v>107</v>
      </c>
      <c r="T263" s="7">
        <v>568</v>
      </c>
      <c r="U263" s="7">
        <v>129.27670000000001</v>
      </c>
      <c r="V263" s="7">
        <v>3200</v>
      </c>
      <c r="W263" s="7">
        <v>0</v>
      </c>
      <c r="X263" s="7">
        <v>18</v>
      </c>
      <c r="Y263" s="7">
        <v>32</v>
      </c>
      <c r="Z263" s="7">
        <v>671</v>
      </c>
      <c r="AA263" s="8">
        <v>14</v>
      </c>
    </row>
    <row r="264" spans="1:27" x14ac:dyDescent="0.25">
      <c r="A264" t="s">
        <v>48</v>
      </c>
      <c r="B264">
        <v>0</v>
      </c>
      <c r="C264">
        <v>2</v>
      </c>
      <c r="D264">
        <v>0</v>
      </c>
      <c r="E264">
        <v>0</v>
      </c>
      <c r="F264">
        <v>0</v>
      </c>
      <c r="G264">
        <v>33.59863</v>
      </c>
      <c r="H264">
        <v>28</v>
      </c>
      <c r="I264">
        <v>1</v>
      </c>
      <c r="J264">
        <v>1</v>
      </c>
      <c r="K264">
        <v>1</v>
      </c>
      <c r="L264">
        <v>57</v>
      </c>
      <c r="M264">
        <v>0</v>
      </c>
      <c r="O264" s="3" t="s">
        <v>48</v>
      </c>
      <c r="P264" s="4">
        <v>2</v>
      </c>
      <c r="Q264" s="4">
        <v>2</v>
      </c>
      <c r="R264" s="4">
        <v>0</v>
      </c>
      <c r="S264" s="4">
        <v>2</v>
      </c>
      <c r="T264" s="4">
        <v>11</v>
      </c>
      <c r="U264" s="4">
        <v>169.68119999999999</v>
      </c>
      <c r="V264" s="4">
        <v>360</v>
      </c>
      <c r="W264" s="4">
        <v>0</v>
      </c>
      <c r="X264" s="4">
        <v>3</v>
      </c>
      <c r="Y264" s="4">
        <v>3</v>
      </c>
      <c r="Z264" s="4">
        <v>131</v>
      </c>
      <c r="AA264" s="5">
        <v>1</v>
      </c>
    </row>
    <row r="265" spans="1:27" x14ac:dyDescent="0.25">
      <c r="A265" t="s">
        <v>48</v>
      </c>
      <c r="B265">
        <v>0</v>
      </c>
      <c r="C265">
        <v>2</v>
      </c>
      <c r="D265">
        <v>0</v>
      </c>
      <c r="E265">
        <v>1</v>
      </c>
      <c r="F265">
        <v>0</v>
      </c>
      <c r="G265">
        <v>51.458010000000002</v>
      </c>
      <c r="H265">
        <v>120</v>
      </c>
      <c r="I265">
        <v>1</v>
      </c>
      <c r="J265">
        <v>1</v>
      </c>
      <c r="K265">
        <v>3</v>
      </c>
      <c r="L265">
        <v>71</v>
      </c>
      <c r="M265">
        <v>0</v>
      </c>
      <c r="O265" s="6" t="s">
        <v>48</v>
      </c>
      <c r="P265" s="7">
        <v>0</v>
      </c>
      <c r="Q265" s="7">
        <v>1</v>
      </c>
      <c r="R265" s="7">
        <v>0</v>
      </c>
      <c r="S265" s="7">
        <v>3</v>
      </c>
      <c r="T265" s="7">
        <v>14</v>
      </c>
      <c r="U265" s="7">
        <v>97.602050000000006</v>
      </c>
      <c r="V265" s="7">
        <v>240</v>
      </c>
      <c r="W265" s="7">
        <v>0</v>
      </c>
      <c r="X265" s="7">
        <v>1</v>
      </c>
      <c r="Y265" s="7">
        <v>4</v>
      </c>
      <c r="Z265" s="7">
        <v>83</v>
      </c>
      <c r="AA265" s="8">
        <v>9</v>
      </c>
    </row>
    <row r="266" spans="1:27" x14ac:dyDescent="0.25">
      <c r="A266" t="s">
        <v>49</v>
      </c>
      <c r="B266">
        <v>2</v>
      </c>
      <c r="C266">
        <v>2</v>
      </c>
      <c r="D266">
        <v>0</v>
      </c>
      <c r="E266">
        <v>0</v>
      </c>
      <c r="F266">
        <v>0</v>
      </c>
      <c r="G266">
        <v>150.58869999999999</v>
      </c>
      <c r="H266">
        <v>320</v>
      </c>
      <c r="I266">
        <v>0</v>
      </c>
      <c r="J266">
        <v>4</v>
      </c>
      <c r="K266">
        <v>2</v>
      </c>
      <c r="L266">
        <v>235</v>
      </c>
      <c r="M266">
        <v>2</v>
      </c>
      <c r="O266" s="3" t="s">
        <v>48</v>
      </c>
      <c r="P266" s="4">
        <v>0</v>
      </c>
      <c r="Q266" s="4">
        <v>1</v>
      </c>
      <c r="R266" s="4">
        <v>0</v>
      </c>
      <c r="S266" s="4">
        <v>1</v>
      </c>
      <c r="T266" s="4">
        <v>4</v>
      </c>
      <c r="U266" s="4">
        <v>85.529300000000006</v>
      </c>
      <c r="V266" s="4">
        <v>40</v>
      </c>
      <c r="W266" s="4">
        <v>0</v>
      </c>
      <c r="X266" s="4">
        <v>1</v>
      </c>
      <c r="Y266" s="4">
        <v>1</v>
      </c>
      <c r="Z266" s="4">
        <v>131</v>
      </c>
      <c r="AA266" s="5">
        <v>0</v>
      </c>
    </row>
    <row r="267" spans="1:27" x14ac:dyDescent="0.25">
      <c r="A267" t="s">
        <v>49</v>
      </c>
      <c r="B267">
        <v>5</v>
      </c>
      <c r="C267">
        <v>3</v>
      </c>
      <c r="D267">
        <v>0</v>
      </c>
      <c r="E267">
        <v>1</v>
      </c>
      <c r="F267">
        <v>24</v>
      </c>
      <c r="G267">
        <v>242.0932</v>
      </c>
      <c r="H267">
        <v>520</v>
      </c>
      <c r="I267">
        <v>0</v>
      </c>
      <c r="J267">
        <v>6</v>
      </c>
      <c r="K267">
        <v>3</v>
      </c>
      <c r="L267">
        <v>275</v>
      </c>
      <c r="M267">
        <v>6</v>
      </c>
      <c r="O267" s="6" t="s">
        <v>48</v>
      </c>
      <c r="P267" s="7">
        <v>0</v>
      </c>
      <c r="Q267" s="7">
        <v>2</v>
      </c>
      <c r="R267" s="7">
        <v>0</v>
      </c>
      <c r="S267" s="7">
        <v>6</v>
      </c>
      <c r="T267" s="7">
        <v>22</v>
      </c>
      <c r="U267" s="7">
        <v>125.4551</v>
      </c>
      <c r="V267" s="7">
        <v>320</v>
      </c>
      <c r="W267" s="7">
        <v>0</v>
      </c>
      <c r="X267" s="7">
        <v>2</v>
      </c>
      <c r="Y267" s="7">
        <v>5</v>
      </c>
      <c r="Z267" s="7">
        <v>93</v>
      </c>
      <c r="AA267" s="8">
        <v>10</v>
      </c>
    </row>
    <row r="268" spans="1:27" x14ac:dyDescent="0.25">
      <c r="A268" t="s">
        <v>49</v>
      </c>
      <c r="B268">
        <v>1</v>
      </c>
      <c r="C268">
        <v>2</v>
      </c>
      <c r="D268">
        <v>0</v>
      </c>
      <c r="E268">
        <v>0</v>
      </c>
      <c r="F268">
        <v>0</v>
      </c>
      <c r="G268">
        <v>100.9781</v>
      </c>
      <c r="H268">
        <v>160</v>
      </c>
      <c r="I268">
        <v>0</v>
      </c>
      <c r="J268">
        <v>2</v>
      </c>
      <c r="K268">
        <v>1</v>
      </c>
      <c r="L268">
        <v>124</v>
      </c>
      <c r="M268">
        <v>0</v>
      </c>
      <c r="O268" s="3" t="s">
        <v>48</v>
      </c>
      <c r="P268" s="4">
        <v>0</v>
      </c>
      <c r="Q268" s="4">
        <v>2</v>
      </c>
      <c r="R268" s="4">
        <v>0</v>
      </c>
      <c r="S268" s="4">
        <v>3</v>
      </c>
      <c r="T268" s="4">
        <v>13</v>
      </c>
      <c r="U268" s="4">
        <v>12.7479</v>
      </c>
      <c r="V268" s="4">
        <v>320</v>
      </c>
      <c r="W268" s="4">
        <v>3</v>
      </c>
      <c r="X268" s="4">
        <v>1</v>
      </c>
      <c r="Y268" s="4">
        <v>5</v>
      </c>
      <c r="Z268" s="4">
        <v>96</v>
      </c>
      <c r="AA268" s="5">
        <v>9</v>
      </c>
    </row>
    <row r="269" spans="1:27" x14ac:dyDescent="0.25">
      <c r="A269" t="s">
        <v>49</v>
      </c>
      <c r="B269">
        <v>0</v>
      </c>
      <c r="C269">
        <v>1</v>
      </c>
      <c r="D269">
        <v>1</v>
      </c>
      <c r="E269">
        <v>0</v>
      </c>
      <c r="F269">
        <v>0</v>
      </c>
      <c r="G269">
        <v>0.50952149999999996</v>
      </c>
      <c r="H269">
        <v>0</v>
      </c>
      <c r="I269">
        <v>0</v>
      </c>
      <c r="J269">
        <v>0</v>
      </c>
      <c r="K269">
        <v>0</v>
      </c>
      <c r="L269">
        <v>0</v>
      </c>
      <c r="M269">
        <v>0</v>
      </c>
      <c r="O269" s="6" t="s">
        <v>48</v>
      </c>
      <c r="P269" s="7">
        <v>1</v>
      </c>
      <c r="Q269" s="7">
        <v>4</v>
      </c>
      <c r="R269" s="7">
        <v>0</v>
      </c>
      <c r="S269" s="7">
        <v>3</v>
      </c>
      <c r="T269" s="7">
        <v>12</v>
      </c>
      <c r="U269" s="7">
        <v>214.9966</v>
      </c>
      <c r="V269" s="7">
        <v>280</v>
      </c>
      <c r="W269" s="7">
        <v>0</v>
      </c>
      <c r="X269" s="7">
        <v>2</v>
      </c>
      <c r="Y269" s="7">
        <v>4</v>
      </c>
      <c r="Z269" s="7">
        <v>75</v>
      </c>
      <c r="AA269" s="8">
        <v>12</v>
      </c>
    </row>
    <row r="270" spans="1:27" x14ac:dyDescent="0.25">
      <c r="A270" t="s">
        <v>49</v>
      </c>
      <c r="B270">
        <v>0</v>
      </c>
      <c r="C270">
        <v>2</v>
      </c>
      <c r="D270">
        <v>0</v>
      </c>
      <c r="E270">
        <v>0</v>
      </c>
      <c r="F270">
        <v>0</v>
      </c>
      <c r="G270">
        <v>107.4008</v>
      </c>
      <c r="H270">
        <v>120</v>
      </c>
      <c r="I270">
        <v>0</v>
      </c>
      <c r="J270">
        <v>1</v>
      </c>
      <c r="K270">
        <v>8</v>
      </c>
      <c r="L270">
        <v>96</v>
      </c>
      <c r="M270">
        <v>1</v>
      </c>
      <c r="O270" s="3" t="s">
        <v>48</v>
      </c>
      <c r="P270" s="4">
        <v>0</v>
      </c>
      <c r="Q270" s="4">
        <v>3</v>
      </c>
      <c r="R270" s="4">
        <v>0</v>
      </c>
      <c r="S270" s="4">
        <v>1</v>
      </c>
      <c r="T270" s="4">
        <v>5</v>
      </c>
      <c r="U270" s="4">
        <v>96.850589999999997</v>
      </c>
      <c r="V270" s="4">
        <v>220</v>
      </c>
      <c r="W270" s="4">
        <v>0</v>
      </c>
      <c r="X270" s="4">
        <v>1</v>
      </c>
      <c r="Y270" s="4">
        <v>4</v>
      </c>
      <c r="Z270" s="4">
        <v>94</v>
      </c>
      <c r="AA270" s="5">
        <v>12</v>
      </c>
    </row>
    <row r="271" spans="1:27" x14ac:dyDescent="0.25">
      <c r="A271" t="s">
        <v>49</v>
      </c>
      <c r="B271">
        <v>1</v>
      </c>
      <c r="C271">
        <v>2</v>
      </c>
      <c r="D271">
        <v>0</v>
      </c>
      <c r="E271">
        <v>0</v>
      </c>
      <c r="F271">
        <v>0</v>
      </c>
      <c r="G271">
        <v>153.78559999999999</v>
      </c>
      <c r="H271">
        <v>400</v>
      </c>
      <c r="I271">
        <v>0</v>
      </c>
      <c r="J271">
        <v>6</v>
      </c>
      <c r="K271">
        <v>5</v>
      </c>
      <c r="L271">
        <v>99</v>
      </c>
      <c r="M271">
        <v>23</v>
      </c>
      <c r="O271" s="6" t="s">
        <v>48</v>
      </c>
      <c r="P271" s="7">
        <v>20</v>
      </c>
      <c r="Q271" s="7">
        <v>4</v>
      </c>
      <c r="R271" s="7">
        <v>0</v>
      </c>
      <c r="S271" s="7">
        <v>39</v>
      </c>
      <c r="T271" s="7">
        <v>173</v>
      </c>
      <c r="U271" s="7">
        <v>83.691310000000001</v>
      </c>
      <c r="V271" s="7">
        <v>4720</v>
      </c>
      <c r="W271" s="7">
        <v>3</v>
      </c>
      <c r="X271" s="7">
        <v>23</v>
      </c>
      <c r="Y271" s="7">
        <v>38</v>
      </c>
      <c r="Z271" s="7">
        <v>493</v>
      </c>
      <c r="AA271" s="8">
        <v>24</v>
      </c>
    </row>
    <row r="272" spans="1:27" x14ac:dyDescent="0.25">
      <c r="A272" t="s">
        <v>49</v>
      </c>
      <c r="B272">
        <v>2</v>
      </c>
      <c r="C272">
        <v>1</v>
      </c>
      <c r="D272">
        <v>1</v>
      </c>
      <c r="E272">
        <v>0</v>
      </c>
      <c r="F272">
        <v>0</v>
      </c>
      <c r="G272">
        <v>86.413759999999996</v>
      </c>
      <c r="H272">
        <v>440</v>
      </c>
      <c r="I272">
        <v>0</v>
      </c>
      <c r="J272">
        <v>4</v>
      </c>
      <c r="K272">
        <v>54</v>
      </c>
      <c r="L272">
        <v>107</v>
      </c>
      <c r="M272">
        <v>0</v>
      </c>
      <c r="O272" s="3" t="s">
        <v>48</v>
      </c>
      <c r="P272" s="4">
        <v>1</v>
      </c>
      <c r="Q272" s="4">
        <v>1</v>
      </c>
      <c r="R272" s="4">
        <v>0</v>
      </c>
      <c r="S272" s="4">
        <v>1</v>
      </c>
      <c r="T272" s="4">
        <v>6</v>
      </c>
      <c r="U272" s="4">
        <v>120.51860000000001</v>
      </c>
      <c r="V272" s="4">
        <v>360</v>
      </c>
      <c r="W272" s="4">
        <v>0</v>
      </c>
      <c r="X272" s="4">
        <v>2</v>
      </c>
      <c r="Y272" s="4">
        <v>4</v>
      </c>
      <c r="Z272" s="4">
        <v>209</v>
      </c>
      <c r="AA272" s="5">
        <v>2</v>
      </c>
    </row>
    <row r="273" spans="1:27" x14ac:dyDescent="0.25">
      <c r="A273" t="s">
        <v>49</v>
      </c>
      <c r="B273">
        <v>0</v>
      </c>
      <c r="C273">
        <v>1</v>
      </c>
      <c r="D273">
        <v>1</v>
      </c>
      <c r="E273">
        <v>0</v>
      </c>
      <c r="F273">
        <v>0</v>
      </c>
      <c r="G273">
        <v>0.52001949999999997</v>
      </c>
      <c r="H273">
        <v>0</v>
      </c>
      <c r="I273">
        <v>0</v>
      </c>
      <c r="J273">
        <v>0</v>
      </c>
      <c r="K273">
        <v>0</v>
      </c>
      <c r="L273">
        <v>0</v>
      </c>
      <c r="M273">
        <v>0</v>
      </c>
      <c r="O273" s="6" t="s">
        <v>48</v>
      </c>
      <c r="P273" s="7">
        <v>3</v>
      </c>
      <c r="Q273" s="7">
        <v>2</v>
      </c>
      <c r="R273" s="7">
        <v>0</v>
      </c>
      <c r="S273" s="7">
        <v>11</v>
      </c>
      <c r="T273" s="7">
        <v>32</v>
      </c>
      <c r="U273" s="7">
        <v>124.51560000000001</v>
      </c>
      <c r="V273" s="7">
        <v>680</v>
      </c>
      <c r="W273" s="7">
        <v>4</v>
      </c>
      <c r="X273" s="7">
        <v>4</v>
      </c>
      <c r="Y273" s="7">
        <v>4</v>
      </c>
      <c r="Z273" s="7">
        <v>101</v>
      </c>
      <c r="AA273" s="8">
        <v>11</v>
      </c>
    </row>
    <row r="274" spans="1:27" x14ac:dyDescent="0.25">
      <c r="A274" t="s">
        <v>49</v>
      </c>
      <c r="B274">
        <v>0</v>
      </c>
      <c r="C274">
        <v>1</v>
      </c>
      <c r="D274">
        <v>1</v>
      </c>
      <c r="E274">
        <v>0</v>
      </c>
      <c r="F274">
        <v>0</v>
      </c>
      <c r="G274">
        <v>0.45764159999999998</v>
      </c>
      <c r="H274">
        <v>0</v>
      </c>
      <c r="I274">
        <v>0</v>
      </c>
      <c r="J274">
        <v>0</v>
      </c>
      <c r="K274">
        <v>0</v>
      </c>
      <c r="L274">
        <v>0</v>
      </c>
      <c r="M274">
        <v>0</v>
      </c>
      <c r="O274" s="3" t="s">
        <v>48</v>
      </c>
      <c r="P274" s="4">
        <v>1</v>
      </c>
      <c r="Q274" s="4">
        <v>2</v>
      </c>
      <c r="R274" s="4">
        <v>0</v>
      </c>
      <c r="S274" s="4">
        <v>1</v>
      </c>
      <c r="T274" s="4">
        <v>6</v>
      </c>
      <c r="U274" s="4">
        <v>10.0251</v>
      </c>
      <c r="V274" s="4">
        <v>280</v>
      </c>
      <c r="W274" s="4">
        <v>2</v>
      </c>
      <c r="X274" s="4">
        <v>2</v>
      </c>
      <c r="Y274" s="4">
        <v>4</v>
      </c>
      <c r="Z274" s="4">
        <v>81</v>
      </c>
      <c r="AA274" s="5">
        <v>4</v>
      </c>
    </row>
    <row r="275" spans="1:27" x14ac:dyDescent="0.25">
      <c r="A275" t="s">
        <v>49</v>
      </c>
      <c r="B275">
        <v>2</v>
      </c>
      <c r="C275">
        <v>3</v>
      </c>
      <c r="D275">
        <v>1</v>
      </c>
      <c r="E275">
        <v>0</v>
      </c>
      <c r="F275">
        <v>0</v>
      </c>
      <c r="G275">
        <v>98.345950000000002</v>
      </c>
      <c r="H275">
        <v>400</v>
      </c>
      <c r="I275">
        <v>0</v>
      </c>
      <c r="J275">
        <v>4</v>
      </c>
      <c r="K275">
        <v>16</v>
      </c>
      <c r="L275">
        <v>142</v>
      </c>
      <c r="M275">
        <v>0</v>
      </c>
      <c r="O275" s="6" t="s">
        <v>48</v>
      </c>
      <c r="P275" s="7">
        <v>0</v>
      </c>
      <c r="Q275" s="7">
        <v>1</v>
      </c>
      <c r="R275" s="7">
        <v>0</v>
      </c>
      <c r="S275" s="7">
        <v>3</v>
      </c>
      <c r="T275" s="7">
        <v>14</v>
      </c>
      <c r="U275" s="7">
        <v>34.852539999999998</v>
      </c>
      <c r="V275" s="7">
        <v>160</v>
      </c>
      <c r="W275" s="7">
        <v>1</v>
      </c>
      <c r="X275" s="7">
        <v>1</v>
      </c>
      <c r="Y275" s="7">
        <v>1</v>
      </c>
      <c r="Z275" s="7">
        <v>55</v>
      </c>
      <c r="AA275" s="8">
        <v>0</v>
      </c>
    </row>
    <row r="276" spans="1:27" x14ac:dyDescent="0.25">
      <c r="A276" t="s">
        <v>49</v>
      </c>
      <c r="B276">
        <v>1</v>
      </c>
      <c r="C276">
        <v>1</v>
      </c>
      <c r="D276">
        <v>1</v>
      </c>
      <c r="E276">
        <v>0</v>
      </c>
      <c r="F276">
        <v>0</v>
      </c>
      <c r="G276">
        <v>22.834720000000001</v>
      </c>
      <c r="H276">
        <v>120</v>
      </c>
      <c r="I276">
        <v>0</v>
      </c>
      <c r="J276">
        <v>1</v>
      </c>
      <c r="K276">
        <v>1</v>
      </c>
      <c r="L276">
        <v>27</v>
      </c>
      <c r="M276">
        <v>5</v>
      </c>
      <c r="O276" s="3" t="s">
        <v>48</v>
      </c>
      <c r="P276" s="4">
        <v>0</v>
      </c>
      <c r="Q276" s="4">
        <v>1</v>
      </c>
      <c r="R276" s="4">
        <v>0</v>
      </c>
      <c r="S276" s="4">
        <v>1</v>
      </c>
      <c r="T276" s="4">
        <v>4</v>
      </c>
      <c r="U276" s="4">
        <v>30.772459999999999</v>
      </c>
      <c r="V276" s="4">
        <v>40</v>
      </c>
      <c r="W276" s="4">
        <v>1</v>
      </c>
      <c r="X276" s="4">
        <v>1</v>
      </c>
      <c r="Y276" s="4">
        <v>0</v>
      </c>
      <c r="Z276" s="4">
        <v>55</v>
      </c>
      <c r="AA276" s="5">
        <v>0</v>
      </c>
    </row>
    <row r="277" spans="1:27" x14ac:dyDescent="0.25">
      <c r="A277" t="s">
        <v>49</v>
      </c>
      <c r="B277">
        <v>0</v>
      </c>
      <c r="C277">
        <v>1</v>
      </c>
      <c r="D277">
        <v>0</v>
      </c>
      <c r="E277">
        <v>0</v>
      </c>
      <c r="F277">
        <v>0</v>
      </c>
      <c r="G277">
        <v>73.221440000000001</v>
      </c>
      <c r="H277">
        <v>0</v>
      </c>
      <c r="I277">
        <v>0</v>
      </c>
      <c r="J277">
        <v>1</v>
      </c>
      <c r="K277">
        <v>0</v>
      </c>
      <c r="L277">
        <v>180</v>
      </c>
      <c r="M277">
        <v>5</v>
      </c>
      <c r="O277" s="6" t="s">
        <v>48</v>
      </c>
      <c r="P277" s="7">
        <v>0</v>
      </c>
      <c r="Q277" s="7">
        <v>2</v>
      </c>
      <c r="R277" s="7">
        <v>0</v>
      </c>
      <c r="S277" s="7">
        <v>0</v>
      </c>
      <c r="T277" s="7">
        <v>0</v>
      </c>
      <c r="U277" s="7">
        <v>33.59863</v>
      </c>
      <c r="V277" s="7">
        <v>28</v>
      </c>
      <c r="W277" s="7">
        <v>1</v>
      </c>
      <c r="X277" s="7">
        <v>1</v>
      </c>
      <c r="Y277" s="7">
        <v>1</v>
      </c>
      <c r="Z277" s="7">
        <v>57</v>
      </c>
      <c r="AA277" s="8">
        <v>0</v>
      </c>
    </row>
    <row r="278" spans="1:27" x14ac:dyDescent="0.25">
      <c r="A278" t="s">
        <v>49</v>
      </c>
      <c r="B278">
        <v>1</v>
      </c>
      <c r="C278">
        <v>2</v>
      </c>
      <c r="D278">
        <v>1</v>
      </c>
      <c r="E278">
        <v>0</v>
      </c>
      <c r="F278">
        <v>0</v>
      </c>
      <c r="G278">
        <v>66.012209999999996</v>
      </c>
      <c r="H278">
        <v>360</v>
      </c>
      <c r="I278">
        <v>0</v>
      </c>
      <c r="J278">
        <v>3</v>
      </c>
      <c r="K278">
        <v>4</v>
      </c>
      <c r="L278">
        <v>100</v>
      </c>
      <c r="M278">
        <v>4</v>
      </c>
      <c r="O278" s="3" t="s">
        <v>48</v>
      </c>
      <c r="P278" s="4">
        <v>0</v>
      </c>
      <c r="Q278" s="4">
        <v>2</v>
      </c>
      <c r="R278" s="4">
        <v>0</v>
      </c>
      <c r="S278" s="4">
        <v>1</v>
      </c>
      <c r="T278" s="4">
        <v>0</v>
      </c>
      <c r="U278" s="4">
        <v>51.458010000000002</v>
      </c>
      <c r="V278" s="4">
        <v>120</v>
      </c>
      <c r="W278" s="4">
        <v>1</v>
      </c>
      <c r="X278" s="4">
        <v>1</v>
      </c>
      <c r="Y278" s="4">
        <v>3</v>
      </c>
      <c r="Z278" s="4">
        <v>71</v>
      </c>
      <c r="AA278" s="5">
        <v>0</v>
      </c>
    </row>
    <row r="279" spans="1:27" x14ac:dyDescent="0.25">
      <c r="A279" t="s">
        <v>49</v>
      </c>
      <c r="B279">
        <v>0</v>
      </c>
      <c r="C279">
        <v>2</v>
      </c>
      <c r="D279">
        <v>1</v>
      </c>
      <c r="E279">
        <v>0</v>
      </c>
      <c r="F279">
        <v>0</v>
      </c>
      <c r="G279">
        <v>54.929569999999998</v>
      </c>
      <c r="H279">
        <v>200</v>
      </c>
      <c r="I279">
        <v>0</v>
      </c>
      <c r="J279">
        <v>1</v>
      </c>
      <c r="K279">
        <v>7</v>
      </c>
      <c r="L279">
        <v>83</v>
      </c>
      <c r="M279">
        <v>0</v>
      </c>
      <c r="O279" s="10" t="s">
        <v>12</v>
      </c>
      <c r="P279" s="9">
        <f t="shared" ref="P279:AA279" si="10">AVERAGE(P255:P278)</f>
        <v>3.5833333333333335</v>
      </c>
      <c r="Q279" s="9">
        <f t="shared" si="10"/>
        <v>2.125</v>
      </c>
      <c r="R279" s="9">
        <f t="shared" si="10"/>
        <v>4.1666666666666664E-2</v>
      </c>
      <c r="S279" s="9">
        <f t="shared" si="10"/>
        <v>14.916666666666666</v>
      </c>
      <c r="T279" s="9">
        <f t="shared" si="10"/>
        <v>143.41666666666666</v>
      </c>
      <c r="U279" s="9">
        <f t="shared" si="10"/>
        <v>131.44808208333333</v>
      </c>
      <c r="V279" s="9">
        <f t="shared" si="10"/>
        <v>725.33333333333337</v>
      </c>
      <c r="W279" s="9">
        <f t="shared" si="10"/>
        <v>0.66666666666666663</v>
      </c>
      <c r="X279" s="9">
        <f t="shared" si="10"/>
        <v>4.583333333333333</v>
      </c>
      <c r="Y279" s="9">
        <f t="shared" si="10"/>
        <v>6.625</v>
      </c>
      <c r="Z279" s="9">
        <f t="shared" si="10"/>
        <v>177.70833333333334</v>
      </c>
      <c r="AA279" s="9">
        <f t="shared" si="10"/>
        <v>8.875</v>
      </c>
    </row>
    <row r="280" spans="1:27" x14ac:dyDescent="0.25">
      <c r="A280" t="s">
        <v>49</v>
      </c>
      <c r="B280">
        <v>0</v>
      </c>
      <c r="C280">
        <v>1</v>
      </c>
      <c r="D280">
        <v>0</v>
      </c>
      <c r="E280">
        <v>0</v>
      </c>
      <c r="F280">
        <v>0</v>
      </c>
      <c r="G280">
        <v>28.861689999999999</v>
      </c>
      <c r="H280">
        <v>40</v>
      </c>
      <c r="I280">
        <v>0</v>
      </c>
      <c r="J280">
        <v>1</v>
      </c>
      <c r="K280">
        <v>1</v>
      </c>
      <c r="L280">
        <v>46</v>
      </c>
      <c r="M280">
        <v>0</v>
      </c>
      <c r="O280" s="6" t="s">
        <v>49</v>
      </c>
      <c r="P280" s="7">
        <v>2</v>
      </c>
      <c r="Q280" s="7">
        <v>2</v>
      </c>
      <c r="R280" s="7">
        <v>0</v>
      </c>
      <c r="S280" s="7">
        <v>0</v>
      </c>
      <c r="T280" s="7">
        <v>0</v>
      </c>
      <c r="U280" s="7">
        <v>150.58869999999999</v>
      </c>
      <c r="V280" s="7">
        <v>320</v>
      </c>
      <c r="W280" s="7">
        <v>0</v>
      </c>
      <c r="X280" s="7">
        <v>4</v>
      </c>
      <c r="Y280" s="7">
        <v>2</v>
      </c>
      <c r="Z280" s="7">
        <v>235</v>
      </c>
      <c r="AA280" s="8">
        <v>2</v>
      </c>
    </row>
    <row r="281" spans="1:27" x14ac:dyDescent="0.25">
      <c r="A281" t="s">
        <v>49</v>
      </c>
      <c r="B281">
        <v>0</v>
      </c>
      <c r="C281">
        <v>2</v>
      </c>
      <c r="D281">
        <v>1</v>
      </c>
      <c r="E281">
        <v>0</v>
      </c>
      <c r="F281">
        <v>0</v>
      </c>
      <c r="G281">
        <v>49.725589999999997</v>
      </c>
      <c r="H281">
        <v>100</v>
      </c>
      <c r="I281">
        <v>0</v>
      </c>
      <c r="J281">
        <v>1</v>
      </c>
      <c r="K281">
        <v>7</v>
      </c>
      <c r="L281">
        <v>97</v>
      </c>
      <c r="M281">
        <v>0</v>
      </c>
      <c r="O281" s="3" t="s">
        <v>49</v>
      </c>
      <c r="P281" s="4">
        <v>5</v>
      </c>
      <c r="Q281" s="4">
        <v>3</v>
      </c>
      <c r="R281" s="4">
        <v>0</v>
      </c>
      <c r="S281" s="4">
        <v>1</v>
      </c>
      <c r="T281" s="4">
        <v>24</v>
      </c>
      <c r="U281" s="4">
        <v>242.0932</v>
      </c>
      <c r="V281" s="4">
        <v>520</v>
      </c>
      <c r="W281" s="4">
        <v>0</v>
      </c>
      <c r="X281" s="4">
        <v>6</v>
      </c>
      <c r="Y281" s="4">
        <v>3</v>
      </c>
      <c r="Z281" s="4">
        <v>275</v>
      </c>
      <c r="AA281" s="5">
        <v>6</v>
      </c>
    </row>
    <row r="282" spans="1:27" x14ac:dyDescent="0.25">
      <c r="A282" t="s">
        <v>49</v>
      </c>
      <c r="B282">
        <v>2</v>
      </c>
      <c r="C282">
        <v>4</v>
      </c>
      <c r="D282">
        <v>1</v>
      </c>
      <c r="E282">
        <v>0</v>
      </c>
      <c r="F282">
        <v>0</v>
      </c>
      <c r="G282">
        <v>25.507930000000002</v>
      </c>
      <c r="H282">
        <v>400</v>
      </c>
      <c r="I282">
        <v>0</v>
      </c>
      <c r="J282">
        <v>3</v>
      </c>
      <c r="K282">
        <v>1</v>
      </c>
      <c r="L282">
        <v>1</v>
      </c>
      <c r="M282">
        <v>0</v>
      </c>
      <c r="O282" s="6" t="s">
        <v>49</v>
      </c>
      <c r="P282" s="7">
        <v>1</v>
      </c>
      <c r="Q282" s="7">
        <v>2</v>
      </c>
      <c r="R282" s="7">
        <v>0</v>
      </c>
      <c r="S282" s="7">
        <v>0</v>
      </c>
      <c r="T282" s="7">
        <v>0</v>
      </c>
      <c r="U282" s="7">
        <v>100.9781</v>
      </c>
      <c r="V282" s="7">
        <v>160</v>
      </c>
      <c r="W282" s="7">
        <v>0</v>
      </c>
      <c r="X282" s="7">
        <v>2</v>
      </c>
      <c r="Y282" s="7">
        <v>1</v>
      </c>
      <c r="Z282" s="7">
        <v>124</v>
      </c>
      <c r="AA282" s="8">
        <v>0</v>
      </c>
    </row>
    <row r="283" spans="1:27" x14ac:dyDescent="0.25">
      <c r="A283" t="s">
        <v>49</v>
      </c>
      <c r="B283">
        <v>0</v>
      </c>
      <c r="C283">
        <v>2</v>
      </c>
      <c r="D283">
        <v>0</v>
      </c>
      <c r="E283">
        <v>0</v>
      </c>
      <c r="F283">
        <v>0</v>
      </c>
      <c r="G283">
        <v>57.421390000000002</v>
      </c>
      <c r="H283">
        <v>160</v>
      </c>
      <c r="I283">
        <v>0</v>
      </c>
      <c r="J283">
        <v>1</v>
      </c>
      <c r="K283">
        <v>3</v>
      </c>
      <c r="L283">
        <v>110</v>
      </c>
      <c r="M283">
        <v>0</v>
      </c>
      <c r="O283" s="3" t="s">
        <v>49</v>
      </c>
      <c r="P283" s="4">
        <v>0</v>
      </c>
      <c r="Q283" s="4">
        <v>1</v>
      </c>
      <c r="R283" s="4">
        <v>1</v>
      </c>
      <c r="S283" s="4">
        <v>0</v>
      </c>
      <c r="T283" s="4">
        <v>0</v>
      </c>
      <c r="U283" s="4">
        <v>0.50952149999999996</v>
      </c>
      <c r="V283" s="4">
        <v>0</v>
      </c>
      <c r="W283" s="4">
        <v>0</v>
      </c>
      <c r="X283" s="4">
        <v>0</v>
      </c>
      <c r="Y283" s="4">
        <v>0</v>
      </c>
      <c r="Z283" s="4">
        <v>0</v>
      </c>
      <c r="AA283" s="5">
        <v>0</v>
      </c>
    </row>
    <row r="284" spans="1:27" x14ac:dyDescent="0.25">
      <c r="A284" t="s">
        <v>49</v>
      </c>
      <c r="B284">
        <v>2</v>
      </c>
      <c r="C284">
        <v>2</v>
      </c>
      <c r="D284">
        <v>1</v>
      </c>
      <c r="E284">
        <v>3</v>
      </c>
      <c r="F284">
        <v>57</v>
      </c>
      <c r="G284">
        <v>53.384520000000002</v>
      </c>
      <c r="H284">
        <v>360</v>
      </c>
      <c r="I284">
        <v>0</v>
      </c>
      <c r="J284">
        <v>2</v>
      </c>
      <c r="K284">
        <v>4</v>
      </c>
      <c r="L284">
        <v>96</v>
      </c>
      <c r="M284">
        <v>0</v>
      </c>
      <c r="O284" s="6" t="s">
        <v>49</v>
      </c>
      <c r="P284" s="7">
        <v>0</v>
      </c>
      <c r="Q284" s="7">
        <v>2</v>
      </c>
      <c r="R284" s="7">
        <v>0</v>
      </c>
      <c r="S284" s="7">
        <v>0</v>
      </c>
      <c r="T284" s="7">
        <v>0</v>
      </c>
      <c r="U284" s="7">
        <v>107.4008</v>
      </c>
      <c r="V284" s="7">
        <v>120</v>
      </c>
      <c r="W284" s="7">
        <v>0</v>
      </c>
      <c r="X284" s="7">
        <v>1</v>
      </c>
      <c r="Y284" s="7">
        <v>8</v>
      </c>
      <c r="Z284" s="7">
        <v>96</v>
      </c>
      <c r="AA284" s="8">
        <v>1</v>
      </c>
    </row>
    <row r="285" spans="1:27" x14ac:dyDescent="0.25">
      <c r="A285" t="s">
        <v>49</v>
      </c>
      <c r="B285">
        <v>1</v>
      </c>
      <c r="C285">
        <v>2</v>
      </c>
      <c r="D285">
        <v>1</v>
      </c>
      <c r="E285">
        <v>3</v>
      </c>
      <c r="F285">
        <v>48</v>
      </c>
      <c r="G285">
        <v>44.05847</v>
      </c>
      <c r="H285">
        <v>120</v>
      </c>
      <c r="I285">
        <v>0</v>
      </c>
      <c r="J285">
        <v>1</v>
      </c>
      <c r="K285">
        <v>5</v>
      </c>
      <c r="L285">
        <v>58</v>
      </c>
      <c r="M285">
        <v>0</v>
      </c>
      <c r="O285" s="3" t="s">
        <v>49</v>
      </c>
      <c r="P285" s="4">
        <v>1</v>
      </c>
      <c r="Q285" s="4">
        <v>2</v>
      </c>
      <c r="R285" s="4">
        <v>0</v>
      </c>
      <c r="S285" s="4">
        <v>0</v>
      </c>
      <c r="T285" s="4">
        <v>0</v>
      </c>
      <c r="U285" s="4">
        <v>153.78559999999999</v>
      </c>
      <c r="V285" s="4">
        <v>400</v>
      </c>
      <c r="W285" s="4">
        <v>0</v>
      </c>
      <c r="X285" s="4">
        <v>6</v>
      </c>
      <c r="Y285" s="4">
        <v>5</v>
      </c>
      <c r="Z285" s="4">
        <v>99</v>
      </c>
      <c r="AA285" s="5">
        <v>23</v>
      </c>
    </row>
    <row r="286" spans="1:27" x14ac:dyDescent="0.25">
      <c r="A286" t="s">
        <v>49</v>
      </c>
      <c r="B286">
        <v>1</v>
      </c>
      <c r="C286">
        <v>2</v>
      </c>
      <c r="D286">
        <v>1</v>
      </c>
      <c r="E286">
        <v>1</v>
      </c>
      <c r="F286">
        <v>23</v>
      </c>
      <c r="G286">
        <v>53.765140000000002</v>
      </c>
      <c r="H286">
        <v>200</v>
      </c>
      <c r="I286">
        <v>0</v>
      </c>
      <c r="J286">
        <v>1</v>
      </c>
      <c r="K286">
        <v>2</v>
      </c>
      <c r="L286">
        <v>70</v>
      </c>
      <c r="M286">
        <v>0</v>
      </c>
      <c r="O286" s="6" t="s">
        <v>49</v>
      </c>
      <c r="P286" s="7">
        <v>2</v>
      </c>
      <c r="Q286" s="7">
        <v>1</v>
      </c>
      <c r="R286" s="7">
        <v>1</v>
      </c>
      <c r="S286" s="7">
        <v>0</v>
      </c>
      <c r="T286" s="7">
        <v>0</v>
      </c>
      <c r="U286" s="7">
        <v>86.413759999999996</v>
      </c>
      <c r="V286" s="7">
        <v>440</v>
      </c>
      <c r="W286" s="7">
        <v>0</v>
      </c>
      <c r="X286" s="7">
        <v>4</v>
      </c>
      <c r="Y286" s="7">
        <v>54</v>
      </c>
      <c r="Z286" s="7">
        <v>107</v>
      </c>
      <c r="AA286" s="8">
        <v>0</v>
      </c>
    </row>
    <row r="287" spans="1:27" x14ac:dyDescent="0.25">
      <c r="A287" t="s">
        <v>49</v>
      </c>
      <c r="B287">
        <v>1</v>
      </c>
      <c r="C287">
        <v>2</v>
      </c>
      <c r="D287">
        <v>1</v>
      </c>
      <c r="E287">
        <v>0</v>
      </c>
      <c r="F287">
        <v>0</v>
      </c>
      <c r="G287">
        <v>67.213620000000006</v>
      </c>
      <c r="H287">
        <v>200</v>
      </c>
      <c r="I287">
        <v>0</v>
      </c>
      <c r="J287">
        <v>1</v>
      </c>
      <c r="K287">
        <v>2</v>
      </c>
      <c r="L287">
        <v>111</v>
      </c>
      <c r="M287">
        <v>0</v>
      </c>
      <c r="O287" s="3" t="s">
        <v>49</v>
      </c>
      <c r="P287" s="4">
        <v>0</v>
      </c>
      <c r="Q287" s="4">
        <v>1</v>
      </c>
      <c r="R287" s="4">
        <v>1</v>
      </c>
      <c r="S287" s="4">
        <v>0</v>
      </c>
      <c r="T287" s="4">
        <v>0</v>
      </c>
      <c r="U287" s="4">
        <v>0.52001949999999997</v>
      </c>
      <c r="V287" s="4">
        <v>0</v>
      </c>
      <c r="W287" s="4">
        <v>0</v>
      </c>
      <c r="X287" s="4">
        <v>0</v>
      </c>
      <c r="Y287" s="4">
        <v>0</v>
      </c>
      <c r="Z287" s="4">
        <v>0</v>
      </c>
      <c r="AA287" s="5">
        <v>0</v>
      </c>
    </row>
    <row r="288" spans="1:27" x14ac:dyDescent="0.25">
      <c r="A288" t="s">
        <v>49</v>
      </c>
      <c r="B288">
        <v>1</v>
      </c>
      <c r="C288">
        <v>1</v>
      </c>
      <c r="D288">
        <v>1</v>
      </c>
      <c r="E288">
        <v>0</v>
      </c>
      <c r="F288">
        <v>0</v>
      </c>
      <c r="G288">
        <v>52.474119999999999</v>
      </c>
      <c r="H288">
        <v>173</v>
      </c>
      <c r="I288">
        <v>0</v>
      </c>
      <c r="J288">
        <v>2</v>
      </c>
      <c r="K288">
        <v>5</v>
      </c>
      <c r="L288">
        <v>91</v>
      </c>
      <c r="M288">
        <v>0</v>
      </c>
      <c r="O288" s="6" t="s">
        <v>49</v>
      </c>
      <c r="P288" s="7">
        <v>0</v>
      </c>
      <c r="Q288" s="7">
        <v>1</v>
      </c>
      <c r="R288" s="7">
        <v>1</v>
      </c>
      <c r="S288" s="7">
        <v>0</v>
      </c>
      <c r="T288" s="7">
        <v>0</v>
      </c>
      <c r="U288" s="7">
        <v>0.45764159999999998</v>
      </c>
      <c r="V288" s="7">
        <v>0</v>
      </c>
      <c r="W288" s="7">
        <v>0</v>
      </c>
      <c r="X288" s="7">
        <v>0</v>
      </c>
      <c r="Y288" s="7">
        <v>0</v>
      </c>
      <c r="Z288" s="7">
        <v>0</v>
      </c>
      <c r="AA288" s="8">
        <v>0</v>
      </c>
    </row>
    <row r="289" spans="1:27" x14ac:dyDescent="0.25">
      <c r="A289" t="s">
        <v>49</v>
      </c>
      <c r="B289">
        <v>2</v>
      </c>
      <c r="C289">
        <v>3</v>
      </c>
      <c r="D289">
        <v>1</v>
      </c>
      <c r="E289">
        <v>0</v>
      </c>
      <c r="F289">
        <v>0</v>
      </c>
      <c r="G289">
        <v>44.688479999999998</v>
      </c>
      <c r="H289">
        <v>280</v>
      </c>
      <c r="I289">
        <v>0</v>
      </c>
      <c r="J289">
        <v>3</v>
      </c>
      <c r="K289">
        <v>4</v>
      </c>
      <c r="L289">
        <v>69</v>
      </c>
      <c r="M289">
        <v>0</v>
      </c>
      <c r="O289" s="3" t="s">
        <v>49</v>
      </c>
      <c r="P289" s="4">
        <v>2</v>
      </c>
      <c r="Q289" s="4">
        <v>3</v>
      </c>
      <c r="R289" s="4">
        <v>1</v>
      </c>
      <c r="S289" s="4">
        <v>0</v>
      </c>
      <c r="T289" s="4">
        <v>0</v>
      </c>
      <c r="U289" s="4">
        <v>98.345950000000002</v>
      </c>
      <c r="V289" s="4">
        <v>400</v>
      </c>
      <c r="W289" s="4">
        <v>0</v>
      </c>
      <c r="X289" s="4">
        <v>4</v>
      </c>
      <c r="Y289" s="4">
        <v>16</v>
      </c>
      <c r="Z289" s="4">
        <v>142</v>
      </c>
      <c r="AA289" s="5">
        <v>0</v>
      </c>
    </row>
    <row r="290" spans="1:27" x14ac:dyDescent="0.25">
      <c r="A290" t="s">
        <v>50</v>
      </c>
      <c r="B290">
        <v>1</v>
      </c>
      <c r="C290">
        <v>1</v>
      </c>
      <c r="D290">
        <v>0</v>
      </c>
      <c r="E290">
        <v>5</v>
      </c>
      <c r="F290">
        <v>23</v>
      </c>
      <c r="G290">
        <v>41.041460000000001</v>
      </c>
      <c r="H290">
        <v>200</v>
      </c>
      <c r="I290">
        <v>2</v>
      </c>
      <c r="J290">
        <v>2</v>
      </c>
      <c r="K290">
        <v>0</v>
      </c>
      <c r="L290">
        <v>57</v>
      </c>
      <c r="M290">
        <v>0</v>
      </c>
      <c r="O290" s="6" t="s">
        <v>49</v>
      </c>
      <c r="P290" s="7">
        <v>1</v>
      </c>
      <c r="Q290" s="7">
        <v>1</v>
      </c>
      <c r="R290" s="7">
        <v>1</v>
      </c>
      <c r="S290" s="7">
        <v>0</v>
      </c>
      <c r="T290" s="7">
        <v>0</v>
      </c>
      <c r="U290" s="7">
        <v>22.834720000000001</v>
      </c>
      <c r="V290" s="7">
        <v>120</v>
      </c>
      <c r="W290" s="7">
        <v>0</v>
      </c>
      <c r="X290" s="7">
        <v>1</v>
      </c>
      <c r="Y290" s="7">
        <v>1</v>
      </c>
      <c r="Z290" s="7">
        <v>27</v>
      </c>
      <c r="AA290" s="8">
        <v>5</v>
      </c>
    </row>
    <row r="291" spans="1:27" x14ac:dyDescent="0.25">
      <c r="A291" t="s">
        <v>50</v>
      </c>
      <c r="B291">
        <v>1</v>
      </c>
      <c r="C291">
        <v>1</v>
      </c>
      <c r="D291">
        <v>0</v>
      </c>
      <c r="E291">
        <v>6</v>
      </c>
      <c r="F291">
        <v>32</v>
      </c>
      <c r="G291">
        <v>50.003050000000002</v>
      </c>
      <c r="H291">
        <v>120</v>
      </c>
      <c r="I291">
        <v>2</v>
      </c>
      <c r="J291">
        <v>2</v>
      </c>
      <c r="K291">
        <v>0</v>
      </c>
      <c r="L291">
        <v>78</v>
      </c>
      <c r="M291">
        <v>0</v>
      </c>
      <c r="O291" s="3" t="s">
        <v>49</v>
      </c>
      <c r="P291" s="4">
        <v>0</v>
      </c>
      <c r="Q291" s="4">
        <v>1</v>
      </c>
      <c r="R291" s="4">
        <v>0</v>
      </c>
      <c r="S291" s="4">
        <v>0</v>
      </c>
      <c r="T291" s="4">
        <v>0</v>
      </c>
      <c r="U291" s="4">
        <v>73.221440000000001</v>
      </c>
      <c r="V291" s="4">
        <v>0</v>
      </c>
      <c r="W291" s="4">
        <v>0</v>
      </c>
      <c r="X291" s="4">
        <v>1</v>
      </c>
      <c r="Y291" s="4">
        <v>0</v>
      </c>
      <c r="Z291" s="4">
        <v>180</v>
      </c>
      <c r="AA291" s="5">
        <v>5</v>
      </c>
    </row>
    <row r="292" spans="1:27" x14ac:dyDescent="0.25">
      <c r="A292" t="s">
        <v>50</v>
      </c>
      <c r="B292">
        <v>0</v>
      </c>
      <c r="C292">
        <v>1</v>
      </c>
      <c r="D292">
        <v>0</v>
      </c>
      <c r="E292">
        <v>3</v>
      </c>
      <c r="F292">
        <v>6</v>
      </c>
      <c r="G292">
        <v>35.37256</v>
      </c>
      <c r="H292">
        <v>40</v>
      </c>
      <c r="I292">
        <v>1</v>
      </c>
      <c r="J292">
        <v>1</v>
      </c>
      <c r="K292">
        <v>0</v>
      </c>
      <c r="L292">
        <v>43</v>
      </c>
      <c r="M292">
        <v>0</v>
      </c>
      <c r="O292" s="6" t="s">
        <v>49</v>
      </c>
      <c r="P292" s="7">
        <v>1</v>
      </c>
      <c r="Q292" s="7">
        <v>2</v>
      </c>
      <c r="R292" s="7">
        <v>1</v>
      </c>
      <c r="S292" s="7">
        <v>0</v>
      </c>
      <c r="T292" s="7">
        <v>0</v>
      </c>
      <c r="U292" s="7">
        <v>66.012209999999996</v>
      </c>
      <c r="V292" s="7">
        <v>360</v>
      </c>
      <c r="W292" s="7">
        <v>0</v>
      </c>
      <c r="X292" s="7">
        <v>3</v>
      </c>
      <c r="Y292" s="7">
        <v>4</v>
      </c>
      <c r="Z292" s="7">
        <v>100</v>
      </c>
      <c r="AA292" s="8">
        <v>4</v>
      </c>
    </row>
    <row r="293" spans="1:27" x14ac:dyDescent="0.25">
      <c r="A293" t="s">
        <v>50</v>
      </c>
      <c r="B293">
        <v>1</v>
      </c>
      <c r="C293">
        <v>1</v>
      </c>
      <c r="D293">
        <v>0</v>
      </c>
      <c r="E293">
        <v>9</v>
      </c>
      <c r="F293">
        <v>27</v>
      </c>
      <c r="G293">
        <v>60.305759999999999</v>
      </c>
      <c r="H293">
        <v>160</v>
      </c>
      <c r="I293">
        <v>2</v>
      </c>
      <c r="J293">
        <v>2</v>
      </c>
      <c r="K293">
        <v>0</v>
      </c>
      <c r="L293">
        <v>90</v>
      </c>
      <c r="M293">
        <v>0</v>
      </c>
      <c r="O293" s="3" t="s">
        <v>49</v>
      </c>
      <c r="P293" s="4">
        <v>0</v>
      </c>
      <c r="Q293" s="4">
        <v>2</v>
      </c>
      <c r="R293" s="4">
        <v>1</v>
      </c>
      <c r="S293" s="4">
        <v>0</v>
      </c>
      <c r="T293" s="4">
        <v>0</v>
      </c>
      <c r="U293" s="4">
        <v>54.929569999999998</v>
      </c>
      <c r="V293" s="4">
        <v>200</v>
      </c>
      <c r="W293" s="4">
        <v>0</v>
      </c>
      <c r="X293" s="4">
        <v>1</v>
      </c>
      <c r="Y293" s="4">
        <v>7</v>
      </c>
      <c r="Z293" s="4">
        <v>83</v>
      </c>
      <c r="AA293" s="5">
        <v>0</v>
      </c>
    </row>
    <row r="294" spans="1:27" x14ac:dyDescent="0.25">
      <c r="A294" t="s">
        <v>50</v>
      </c>
      <c r="B294">
        <v>0</v>
      </c>
      <c r="C294">
        <v>1</v>
      </c>
      <c r="D294">
        <v>0</v>
      </c>
      <c r="E294">
        <v>2</v>
      </c>
      <c r="F294">
        <v>11</v>
      </c>
      <c r="G294">
        <v>15.735200000000001</v>
      </c>
      <c r="H294">
        <v>80</v>
      </c>
      <c r="I294">
        <v>1</v>
      </c>
      <c r="J294">
        <v>1</v>
      </c>
      <c r="K294">
        <v>0</v>
      </c>
      <c r="L294">
        <v>31</v>
      </c>
      <c r="M294">
        <v>0</v>
      </c>
      <c r="O294" s="6" t="s">
        <v>49</v>
      </c>
      <c r="P294" s="7">
        <v>0</v>
      </c>
      <c r="Q294" s="7">
        <v>1</v>
      </c>
      <c r="R294" s="7">
        <v>0</v>
      </c>
      <c r="S294" s="7">
        <v>0</v>
      </c>
      <c r="T294" s="7">
        <v>0</v>
      </c>
      <c r="U294" s="7">
        <v>28.861689999999999</v>
      </c>
      <c r="V294" s="7">
        <v>40</v>
      </c>
      <c r="W294" s="7">
        <v>0</v>
      </c>
      <c r="X294" s="7">
        <v>1</v>
      </c>
      <c r="Y294" s="7">
        <v>1</v>
      </c>
      <c r="Z294" s="7">
        <v>46</v>
      </c>
      <c r="AA294" s="8">
        <v>0</v>
      </c>
    </row>
    <row r="295" spans="1:27" x14ac:dyDescent="0.25">
      <c r="A295" t="s">
        <v>50</v>
      </c>
      <c r="B295">
        <v>0</v>
      </c>
      <c r="C295">
        <v>1</v>
      </c>
      <c r="D295">
        <v>0</v>
      </c>
      <c r="E295">
        <v>2</v>
      </c>
      <c r="F295">
        <v>12</v>
      </c>
      <c r="G295">
        <v>30.670010000000001</v>
      </c>
      <c r="H295">
        <v>0</v>
      </c>
      <c r="I295">
        <v>1</v>
      </c>
      <c r="J295">
        <v>1</v>
      </c>
      <c r="K295">
        <v>0</v>
      </c>
      <c r="L295">
        <v>67</v>
      </c>
      <c r="M295">
        <v>0</v>
      </c>
      <c r="O295" s="3" t="s">
        <v>49</v>
      </c>
      <c r="P295" s="4">
        <v>0</v>
      </c>
      <c r="Q295" s="4">
        <v>2</v>
      </c>
      <c r="R295" s="4">
        <v>1</v>
      </c>
      <c r="S295" s="4">
        <v>0</v>
      </c>
      <c r="T295" s="4">
        <v>0</v>
      </c>
      <c r="U295" s="4">
        <v>49.725589999999997</v>
      </c>
      <c r="V295" s="4">
        <v>100</v>
      </c>
      <c r="W295" s="4">
        <v>0</v>
      </c>
      <c r="X295" s="4">
        <v>1</v>
      </c>
      <c r="Y295" s="4">
        <v>7</v>
      </c>
      <c r="Z295" s="4">
        <v>97</v>
      </c>
      <c r="AA295" s="5">
        <v>0</v>
      </c>
    </row>
    <row r="296" spans="1:27" x14ac:dyDescent="0.25">
      <c r="A296" t="s">
        <v>50</v>
      </c>
      <c r="B296">
        <v>0</v>
      </c>
      <c r="C296">
        <v>1</v>
      </c>
      <c r="D296">
        <v>0</v>
      </c>
      <c r="E296">
        <v>3</v>
      </c>
      <c r="F296">
        <v>16</v>
      </c>
      <c r="G296">
        <v>28.953189999999999</v>
      </c>
      <c r="H296">
        <v>80</v>
      </c>
      <c r="I296">
        <v>1</v>
      </c>
      <c r="J296">
        <v>1</v>
      </c>
      <c r="K296">
        <v>0</v>
      </c>
      <c r="L296">
        <v>57</v>
      </c>
      <c r="M296">
        <v>0</v>
      </c>
      <c r="O296" s="6" t="s">
        <v>49</v>
      </c>
      <c r="P296" s="7">
        <v>2</v>
      </c>
      <c r="Q296" s="7">
        <v>4</v>
      </c>
      <c r="R296" s="7">
        <v>1</v>
      </c>
      <c r="S296" s="7">
        <v>0</v>
      </c>
      <c r="T296" s="7">
        <v>0</v>
      </c>
      <c r="U296" s="7">
        <v>25.507930000000002</v>
      </c>
      <c r="V296" s="7">
        <v>400</v>
      </c>
      <c r="W296" s="7">
        <v>0</v>
      </c>
      <c r="X296" s="7">
        <v>3</v>
      </c>
      <c r="Y296" s="7">
        <v>1</v>
      </c>
      <c r="Z296" s="7">
        <v>1</v>
      </c>
      <c r="AA296" s="8">
        <v>0</v>
      </c>
    </row>
    <row r="297" spans="1:27" x14ac:dyDescent="0.25">
      <c r="A297" t="s">
        <v>50</v>
      </c>
      <c r="B297">
        <v>17</v>
      </c>
      <c r="C297">
        <v>2</v>
      </c>
      <c r="D297">
        <v>0</v>
      </c>
      <c r="E297">
        <v>64</v>
      </c>
      <c r="F297">
        <v>639</v>
      </c>
      <c r="G297">
        <v>611.29169999999999</v>
      </c>
      <c r="H297">
        <v>2200</v>
      </c>
      <c r="I297">
        <v>18</v>
      </c>
      <c r="J297">
        <v>18</v>
      </c>
      <c r="K297">
        <v>4</v>
      </c>
      <c r="L297">
        <v>1074</v>
      </c>
      <c r="M297">
        <v>11</v>
      </c>
      <c r="O297" s="3" t="s">
        <v>49</v>
      </c>
      <c r="P297" s="4">
        <v>0</v>
      </c>
      <c r="Q297" s="4">
        <v>2</v>
      </c>
      <c r="R297" s="4">
        <v>0</v>
      </c>
      <c r="S297" s="4">
        <v>0</v>
      </c>
      <c r="T297" s="4">
        <v>0</v>
      </c>
      <c r="U297" s="4">
        <v>57.421390000000002</v>
      </c>
      <c r="V297" s="4">
        <v>160</v>
      </c>
      <c r="W297" s="4">
        <v>0</v>
      </c>
      <c r="X297" s="4">
        <v>1</v>
      </c>
      <c r="Y297" s="4">
        <v>3</v>
      </c>
      <c r="Z297" s="4">
        <v>110</v>
      </c>
      <c r="AA297" s="5">
        <v>0</v>
      </c>
    </row>
    <row r="298" spans="1:27" x14ac:dyDescent="0.25">
      <c r="A298" t="s">
        <v>50</v>
      </c>
      <c r="B298">
        <v>1</v>
      </c>
      <c r="C298">
        <v>1</v>
      </c>
      <c r="D298">
        <v>0</v>
      </c>
      <c r="E298">
        <v>6</v>
      </c>
      <c r="F298">
        <v>126</v>
      </c>
      <c r="G298">
        <v>53.603879999999997</v>
      </c>
      <c r="H298">
        <v>360</v>
      </c>
      <c r="I298">
        <v>2</v>
      </c>
      <c r="J298">
        <v>2</v>
      </c>
      <c r="K298">
        <v>6</v>
      </c>
      <c r="L298">
        <v>95</v>
      </c>
      <c r="M298">
        <v>0</v>
      </c>
      <c r="O298" s="6" t="s">
        <v>49</v>
      </c>
      <c r="P298" s="7">
        <v>2</v>
      </c>
      <c r="Q298" s="7">
        <v>2</v>
      </c>
      <c r="R298" s="7">
        <v>1</v>
      </c>
      <c r="S298" s="7">
        <v>3</v>
      </c>
      <c r="T298" s="7">
        <v>57</v>
      </c>
      <c r="U298" s="7">
        <v>53.384520000000002</v>
      </c>
      <c r="V298" s="7">
        <v>360</v>
      </c>
      <c r="W298" s="7">
        <v>0</v>
      </c>
      <c r="X298" s="7">
        <v>2</v>
      </c>
      <c r="Y298" s="7">
        <v>4</v>
      </c>
      <c r="Z298" s="7">
        <v>96</v>
      </c>
      <c r="AA298" s="8">
        <v>0</v>
      </c>
    </row>
    <row r="299" spans="1:27" x14ac:dyDescent="0.25">
      <c r="A299" t="s">
        <v>50</v>
      </c>
      <c r="B299">
        <v>0</v>
      </c>
      <c r="C299">
        <v>1</v>
      </c>
      <c r="D299">
        <v>0</v>
      </c>
      <c r="E299">
        <v>0</v>
      </c>
      <c r="F299">
        <v>0</v>
      </c>
      <c r="G299">
        <v>23.447019999999998</v>
      </c>
      <c r="H299">
        <v>0</v>
      </c>
      <c r="I299">
        <v>1</v>
      </c>
      <c r="J299">
        <v>1</v>
      </c>
      <c r="K299">
        <v>0</v>
      </c>
      <c r="L299">
        <v>49</v>
      </c>
      <c r="M299">
        <v>0</v>
      </c>
      <c r="O299" s="3" t="s">
        <v>49</v>
      </c>
      <c r="P299" s="4">
        <v>1</v>
      </c>
      <c r="Q299" s="4">
        <v>2</v>
      </c>
      <c r="R299" s="4">
        <v>1</v>
      </c>
      <c r="S299" s="4">
        <v>3</v>
      </c>
      <c r="T299" s="4">
        <v>48</v>
      </c>
      <c r="U299" s="4">
        <v>44.05847</v>
      </c>
      <c r="V299" s="4">
        <v>120</v>
      </c>
      <c r="W299" s="4">
        <v>0</v>
      </c>
      <c r="X299" s="4">
        <v>1</v>
      </c>
      <c r="Y299" s="4">
        <v>5</v>
      </c>
      <c r="Z299" s="4">
        <v>58</v>
      </c>
      <c r="AA299" s="5">
        <v>0</v>
      </c>
    </row>
    <row r="300" spans="1:27" x14ac:dyDescent="0.25">
      <c r="A300" t="s">
        <v>50</v>
      </c>
      <c r="B300">
        <v>1</v>
      </c>
      <c r="C300">
        <v>1</v>
      </c>
      <c r="D300">
        <v>0</v>
      </c>
      <c r="E300">
        <v>0</v>
      </c>
      <c r="F300">
        <v>0</v>
      </c>
      <c r="G300">
        <v>45.46387</v>
      </c>
      <c r="H300">
        <v>160</v>
      </c>
      <c r="I300">
        <v>4</v>
      </c>
      <c r="J300">
        <v>2</v>
      </c>
      <c r="K300">
        <v>3</v>
      </c>
      <c r="L300">
        <v>72</v>
      </c>
      <c r="M300">
        <v>0</v>
      </c>
      <c r="O300" s="6" t="s">
        <v>49</v>
      </c>
      <c r="P300" s="7">
        <v>1</v>
      </c>
      <c r="Q300" s="7">
        <v>2</v>
      </c>
      <c r="R300" s="7">
        <v>1</v>
      </c>
      <c r="S300" s="7">
        <v>1</v>
      </c>
      <c r="T300" s="7">
        <v>23</v>
      </c>
      <c r="U300" s="7">
        <v>53.765140000000002</v>
      </c>
      <c r="V300" s="7">
        <v>200</v>
      </c>
      <c r="W300" s="7">
        <v>0</v>
      </c>
      <c r="X300" s="7">
        <v>1</v>
      </c>
      <c r="Y300" s="7">
        <v>2</v>
      </c>
      <c r="Z300" s="7">
        <v>70</v>
      </c>
      <c r="AA300" s="8">
        <v>0</v>
      </c>
    </row>
    <row r="301" spans="1:27" x14ac:dyDescent="0.25">
      <c r="A301" t="s">
        <v>50</v>
      </c>
      <c r="B301">
        <v>0</v>
      </c>
      <c r="C301">
        <v>1</v>
      </c>
      <c r="D301">
        <v>0</v>
      </c>
      <c r="E301">
        <v>0</v>
      </c>
      <c r="F301">
        <v>0</v>
      </c>
      <c r="G301">
        <v>22.964479999999998</v>
      </c>
      <c r="H301">
        <v>0</v>
      </c>
      <c r="I301">
        <v>1</v>
      </c>
      <c r="J301">
        <v>1</v>
      </c>
      <c r="K301">
        <v>0</v>
      </c>
      <c r="L301">
        <v>55</v>
      </c>
      <c r="M301">
        <v>0</v>
      </c>
      <c r="O301" s="3" t="s">
        <v>49</v>
      </c>
      <c r="P301" s="4">
        <v>1</v>
      </c>
      <c r="Q301" s="4">
        <v>2</v>
      </c>
      <c r="R301" s="4">
        <v>1</v>
      </c>
      <c r="S301" s="4">
        <v>0</v>
      </c>
      <c r="T301" s="4">
        <v>0</v>
      </c>
      <c r="U301" s="4">
        <v>67.213620000000006</v>
      </c>
      <c r="V301" s="4">
        <v>200</v>
      </c>
      <c r="W301" s="4">
        <v>0</v>
      </c>
      <c r="X301" s="4">
        <v>1</v>
      </c>
      <c r="Y301" s="4">
        <v>2</v>
      </c>
      <c r="Z301" s="4">
        <v>111</v>
      </c>
      <c r="AA301" s="5">
        <v>0</v>
      </c>
    </row>
    <row r="302" spans="1:27" x14ac:dyDescent="0.25">
      <c r="A302" t="s">
        <v>50</v>
      </c>
      <c r="B302">
        <v>0</v>
      </c>
      <c r="C302">
        <v>1</v>
      </c>
      <c r="D302">
        <v>0</v>
      </c>
      <c r="E302">
        <v>0</v>
      </c>
      <c r="F302">
        <v>0</v>
      </c>
      <c r="G302">
        <v>25.323239999999998</v>
      </c>
      <c r="H302">
        <v>40</v>
      </c>
      <c r="I302">
        <v>1</v>
      </c>
      <c r="J302">
        <v>1</v>
      </c>
      <c r="K302">
        <v>1</v>
      </c>
      <c r="L302">
        <v>47</v>
      </c>
      <c r="M302">
        <v>0</v>
      </c>
      <c r="O302" s="6" t="s">
        <v>49</v>
      </c>
      <c r="P302" s="7">
        <v>1</v>
      </c>
      <c r="Q302" s="7">
        <v>1</v>
      </c>
      <c r="R302" s="7">
        <v>1</v>
      </c>
      <c r="S302" s="7">
        <v>0</v>
      </c>
      <c r="T302" s="7">
        <v>0</v>
      </c>
      <c r="U302" s="7">
        <v>52.474119999999999</v>
      </c>
      <c r="V302" s="7">
        <v>173</v>
      </c>
      <c r="W302" s="7">
        <v>0</v>
      </c>
      <c r="X302" s="7">
        <v>2</v>
      </c>
      <c r="Y302" s="7">
        <v>5</v>
      </c>
      <c r="Z302" s="7">
        <v>91</v>
      </c>
      <c r="AA302" s="8">
        <v>0</v>
      </c>
    </row>
    <row r="303" spans="1:27" x14ac:dyDescent="0.25">
      <c r="A303" t="s">
        <v>50</v>
      </c>
      <c r="B303">
        <v>1</v>
      </c>
      <c r="C303">
        <v>1</v>
      </c>
      <c r="D303">
        <v>0</v>
      </c>
      <c r="E303">
        <v>0</v>
      </c>
      <c r="F303">
        <v>0</v>
      </c>
      <c r="G303">
        <v>64.536739999999995</v>
      </c>
      <c r="H303">
        <v>280</v>
      </c>
      <c r="I303">
        <v>2</v>
      </c>
      <c r="J303">
        <v>2</v>
      </c>
      <c r="K303">
        <v>4</v>
      </c>
      <c r="L303">
        <v>137</v>
      </c>
      <c r="M303">
        <v>0</v>
      </c>
      <c r="O303" s="3" t="s">
        <v>49</v>
      </c>
      <c r="P303" s="4">
        <v>2</v>
      </c>
      <c r="Q303" s="4">
        <v>3</v>
      </c>
      <c r="R303" s="4">
        <v>1</v>
      </c>
      <c r="S303" s="4">
        <v>0</v>
      </c>
      <c r="T303" s="4">
        <v>0</v>
      </c>
      <c r="U303" s="4">
        <v>44.688479999999998</v>
      </c>
      <c r="V303" s="4">
        <v>280</v>
      </c>
      <c r="W303" s="4">
        <v>0</v>
      </c>
      <c r="X303" s="4">
        <v>3</v>
      </c>
      <c r="Y303" s="4">
        <v>4</v>
      </c>
      <c r="Z303" s="4">
        <v>69</v>
      </c>
      <c r="AA303" s="5">
        <v>0</v>
      </c>
    </row>
    <row r="304" spans="1:27" x14ac:dyDescent="0.25">
      <c r="A304" t="s">
        <v>50</v>
      </c>
      <c r="B304">
        <v>0</v>
      </c>
      <c r="C304">
        <v>1</v>
      </c>
      <c r="D304">
        <v>0</v>
      </c>
      <c r="E304">
        <v>0</v>
      </c>
      <c r="F304">
        <v>0</v>
      </c>
      <c r="G304">
        <v>12.185180000000001</v>
      </c>
      <c r="H304">
        <v>0</v>
      </c>
      <c r="I304">
        <v>1</v>
      </c>
      <c r="J304">
        <v>1</v>
      </c>
      <c r="K304">
        <v>0</v>
      </c>
      <c r="L304">
        <v>26</v>
      </c>
      <c r="M304">
        <v>0</v>
      </c>
      <c r="O304" s="10" t="s">
        <v>12</v>
      </c>
      <c r="P304" s="9">
        <f t="shared" ref="P304:AA304" si="11">AVERAGE(P280:P303)</f>
        <v>1.0416666666666667</v>
      </c>
      <c r="Q304" s="9">
        <f t="shared" si="11"/>
        <v>1.875</v>
      </c>
      <c r="R304" s="9">
        <f t="shared" si="11"/>
        <v>0.66666666666666663</v>
      </c>
      <c r="S304" s="9">
        <f t="shared" si="11"/>
        <v>0.33333333333333331</v>
      </c>
      <c r="T304" s="9">
        <f t="shared" si="11"/>
        <v>6.333333333333333</v>
      </c>
      <c r="U304" s="9">
        <f t="shared" si="11"/>
        <v>68.13300760833333</v>
      </c>
      <c r="V304" s="9">
        <f t="shared" si="11"/>
        <v>211.375</v>
      </c>
      <c r="W304" s="9">
        <f t="shared" si="11"/>
        <v>0</v>
      </c>
      <c r="X304" s="9">
        <f t="shared" si="11"/>
        <v>2.0416666666666665</v>
      </c>
      <c r="Y304" s="9">
        <f t="shared" si="11"/>
        <v>5.625</v>
      </c>
      <c r="Z304" s="9">
        <f t="shared" si="11"/>
        <v>92.375</v>
      </c>
      <c r="AA304" s="9">
        <f t="shared" si="11"/>
        <v>1.9166666666666667</v>
      </c>
    </row>
    <row r="305" spans="1:27" x14ac:dyDescent="0.25">
      <c r="A305" t="s">
        <v>50</v>
      </c>
      <c r="B305">
        <v>0</v>
      </c>
      <c r="C305">
        <v>1</v>
      </c>
      <c r="D305">
        <v>0</v>
      </c>
      <c r="E305">
        <v>0</v>
      </c>
      <c r="F305">
        <v>0</v>
      </c>
      <c r="G305">
        <v>25.404910000000001</v>
      </c>
      <c r="H305">
        <v>0</v>
      </c>
      <c r="I305">
        <v>1</v>
      </c>
      <c r="J305">
        <v>1</v>
      </c>
      <c r="K305">
        <v>0</v>
      </c>
      <c r="L305">
        <v>48</v>
      </c>
      <c r="M305">
        <v>0</v>
      </c>
      <c r="O305" s="6" t="s">
        <v>50</v>
      </c>
      <c r="P305" s="7">
        <v>1</v>
      </c>
      <c r="Q305" s="7">
        <v>1</v>
      </c>
      <c r="R305" s="7">
        <v>0</v>
      </c>
      <c r="S305" s="7">
        <v>5</v>
      </c>
      <c r="T305" s="7">
        <v>23</v>
      </c>
      <c r="U305" s="7">
        <v>41.041460000000001</v>
      </c>
      <c r="V305" s="7">
        <v>200</v>
      </c>
      <c r="W305" s="7">
        <v>2</v>
      </c>
      <c r="X305" s="7">
        <v>2</v>
      </c>
      <c r="Y305" s="7">
        <v>0</v>
      </c>
      <c r="Z305" s="7">
        <v>57</v>
      </c>
      <c r="AA305" s="8">
        <v>0</v>
      </c>
    </row>
    <row r="306" spans="1:27" x14ac:dyDescent="0.25">
      <c r="A306" t="s">
        <v>50</v>
      </c>
      <c r="B306">
        <v>0</v>
      </c>
      <c r="C306">
        <v>1</v>
      </c>
      <c r="D306">
        <v>0</v>
      </c>
      <c r="E306">
        <v>1</v>
      </c>
      <c r="F306">
        <v>6</v>
      </c>
      <c r="G306">
        <v>31.581050000000001</v>
      </c>
      <c r="H306">
        <v>80</v>
      </c>
      <c r="I306">
        <v>1</v>
      </c>
      <c r="J306">
        <v>1</v>
      </c>
      <c r="K306">
        <v>1</v>
      </c>
      <c r="L306">
        <v>56</v>
      </c>
      <c r="M306">
        <v>0</v>
      </c>
      <c r="O306" s="3" t="s">
        <v>50</v>
      </c>
      <c r="P306" s="4">
        <v>1</v>
      </c>
      <c r="Q306" s="4">
        <v>1</v>
      </c>
      <c r="R306" s="4">
        <v>0</v>
      </c>
      <c r="S306" s="4">
        <v>6</v>
      </c>
      <c r="T306" s="4">
        <v>32</v>
      </c>
      <c r="U306" s="4">
        <v>50.003050000000002</v>
      </c>
      <c r="V306" s="4">
        <v>120</v>
      </c>
      <c r="W306" s="4">
        <v>2</v>
      </c>
      <c r="X306" s="4">
        <v>2</v>
      </c>
      <c r="Y306" s="4">
        <v>0</v>
      </c>
      <c r="Z306" s="4">
        <v>78</v>
      </c>
      <c r="AA306" s="5">
        <v>0</v>
      </c>
    </row>
    <row r="307" spans="1:27" x14ac:dyDescent="0.25">
      <c r="A307" t="s">
        <v>50</v>
      </c>
      <c r="B307">
        <v>0</v>
      </c>
      <c r="C307">
        <v>1</v>
      </c>
      <c r="D307">
        <v>0</v>
      </c>
      <c r="E307">
        <v>0</v>
      </c>
      <c r="F307">
        <v>0</v>
      </c>
      <c r="G307">
        <v>32.633420000000001</v>
      </c>
      <c r="H307">
        <v>0</v>
      </c>
      <c r="I307">
        <v>1</v>
      </c>
      <c r="J307">
        <v>1</v>
      </c>
      <c r="K307">
        <v>0</v>
      </c>
      <c r="L307">
        <v>50</v>
      </c>
      <c r="M307">
        <v>0</v>
      </c>
      <c r="O307" s="6" t="s">
        <v>50</v>
      </c>
      <c r="P307" s="7">
        <v>0</v>
      </c>
      <c r="Q307" s="7">
        <v>1</v>
      </c>
      <c r="R307" s="7">
        <v>0</v>
      </c>
      <c r="S307" s="7">
        <v>3</v>
      </c>
      <c r="T307" s="7">
        <v>6</v>
      </c>
      <c r="U307" s="7">
        <v>35.37256</v>
      </c>
      <c r="V307" s="7">
        <v>40</v>
      </c>
      <c r="W307" s="7">
        <v>1</v>
      </c>
      <c r="X307" s="7">
        <v>1</v>
      </c>
      <c r="Y307" s="7">
        <v>0</v>
      </c>
      <c r="Z307" s="7">
        <v>43</v>
      </c>
      <c r="AA307" s="8">
        <v>0</v>
      </c>
    </row>
    <row r="308" spans="1:27" x14ac:dyDescent="0.25">
      <c r="A308" t="s">
        <v>50</v>
      </c>
      <c r="B308">
        <v>2</v>
      </c>
      <c r="C308">
        <v>2</v>
      </c>
      <c r="D308">
        <v>0</v>
      </c>
      <c r="E308">
        <v>10</v>
      </c>
      <c r="F308">
        <v>115</v>
      </c>
      <c r="G308">
        <v>85.208740000000006</v>
      </c>
      <c r="H308">
        <v>560</v>
      </c>
      <c r="I308">
        <v>3</v>
      </c>
      <c r="J308">
        <v>3</v>
      </c>
      <c r="K308">
        <v>7</v>
      </c>
      <c r="L308">
        <v>144</v>
      </c>
      <c r="M308">
        <v>0</v>
      </c>
      <c r="O308" s="3" t="s">
        <v>50</v>
      </c>
      <c r="P308" s="4">
        <v>1</v>
      </c>
      <c r="Q308" s="4">
        <v>1</v>
      </c>
      <c r="R308" s="4">
        <v>0</v>
      </c>
      <c r="S308" s="4">
        <v>9</v>
      </c>
      <c r="T308" s="4">
        <v>27</v>
      </c>
      <c r="U308" s="4">
        <v>60.305759999999999</v>
      </c>
      <c r="V308" s="4">
        <v>160</v>
      </c>
      <c r="W308" s="4">
        <v>2</v>
      </c>
      <c r="X308" s="4">
        <v>2</v>
      </c>
      <c r="Y308" s="4">
        <v>0</v>
      </c>
      <c r="Z308" s="4">
        <v>90</v>
      </c>
      <c r="AA308" s="5">
        <v>0</v>
      </c>
    </row>
    <row r="309" spans="1:27" x14ac:dyDescent="0.25">
      <c r="A309" t="s">
        <v>50</v>
      </c>
      <c r="B309">
        <v>0</v>
      </c>
      <c r="C309">
        <v>1</v>
      </c>
      <c r="D309">
        <v>0</v>
      </c>
      <c r="E309">
        <v>4</v>
      </c>
      <c r="F309">
        <v>5</v>
      </c>
      <c r="G309">
        <v>26.735720000000001</v>
      </c>
      <c r="H309">
        <v>40</v>
      </c>
      <c r="I309">
        <v>1</v>
      </c>
      <c r="J309">
        <v>1</v>
      </c>
      <c r="K309">
        <v>1</v>
      </c>
      <c r="L309">
        <v>45</v>
      </c>
      <c r="M309">
        <v>0</v>
      </c>
      <c r="O309" s="6" t="s">
        <v>50</v>
      </c>
      <c r="P309" s="7">
        <v>0</v>
      </c>
      <c r="Q309" s="7">
        <v>1</v>
      </c>
      <c r="R309" s="7">
        <v>0</v>
      </c>
      <c r="S309" s="7">
        <v>2</v>
      </c>
      <c r="T309" s="7">
        <v>11</v>
      </c>
      <c r="U309" s="7">
        <v>15.735200000000001</v>
      </c>
      <c r="V309" s="7">
        <v>80</v>
      </c>
      <c r="W309" s="7">
        <v>1</v>
      </c>
      <c r="X309" s="7">
        <v>1</v>
      </c>
      <c r="Y309" s="7">
        <v>0</v>
      </c>
      <c r="Z309" s="7">
        <v>31</v>
      </c>
      <c r="AA309" s="8">
        <v>0</v>
      </c>
    </row>
    <row r="310" spans="1:27" x14ac:dyDescent="0.25">
      <c r="A310" t="s">
        <v>50</v>
      </c>
      <c r="B310">
        <v>0</v>
      </c>
      <c r="C310">
        <v>1</v>
      </c>
      <c r="D310">
        <v>0</v>
      </c>
      <c r="E310">
        <v>0</v>
      </c>
      <c r="F310">
        <v>0</v>
      </c>
      <c r="G310">
        <v>29.59497</v>
      </c>
      <c r="H310">
        <v>40</v>
      </c>
      <c r="I310">
        <v>1</v>
      </c>
      <c r="J310">
        <v>1</v>
      </c>
      <c r="K310">
        <v>1</v>
      </c>
      <c r="L310">
        <v>51</v>
      </c>
      <c r="M310">
        <v>0</v>
      </c>
      <c r="O310" s="3" t="s">
        <v>50</v>
      </c>
      <c r="P310" s="4">
        <v>0</v>
      </c>
      <c r="Q310" s="4">
        <v>1</v>
      </c>
      <c r="R310" s="4">
        <v>0</v>
      </c>
      <c r="S310" s="4">
        <v>2</v>
      </c>
      <c r="T310" s="4">
        <v>12</v>
      </c>
      <c r="U310" s="4">
        <v>30.670010000000001</v>
      </c>
      <c r="V310" s="4">
        <v>0</v>
      </c>
      <c r="W310" s="4">
        <v>1</v>
      </c>
      <c r="X310" s="4">
        <v>1</v>
      </c>
      <c r="Y310" s="4">
        <v>0</v>
      </c>
      <c r="Z310" s="4">
        <v>67</v>
      </c>
      <c r="AA310" s="5">
        <v>0</v>
      </c>
    </row>
    <row r="311" spans="1:27" x14ac:dyDescent="0.25">
      <c r="A311" t="s">
        <v>50</v>
      </c>
      <c r="B311">
        <v>0</v>
      </c>
      <c r="C311">
        <v>2</v>
      </c>
      <c r="D311">
        <v>0</v>
      </c>
      <c r="E311">
        <v>1</v>
      </c>
      <c r="F311">
        <v>6</v>
      </c>
      <c r="G311">
        <v>25.149290000000001</v>
      </c>
      <c r="H311">
        <v>40</v>
      </c>
      <c r="I311">
        <v>1</v>
      </c>
      <c r="J311">
        <v>1</v>
      </c>
      <c r="K311">
        <v>3</v>
      </c>
      <c r="L311">
        <v>48</v>
      </c>
      <c r="M311">
        <v>0</v>
      </c>
      <c r="O311" s="6" t="s">
        <v>50</v>
      </c>
      <c r="P311" s="7">
        <v>0</v>
      </c>
      <c r="Q311" s="7">
        <v>1</v>
      </c>
      <c r="R311" s="7">
        <v>0</v>
      </c>
      <c r="S311" s="7">
        <v>3</v>
      </c>
      <c r="T311" s="7">
        <v>16</v>
      </c>
      <c r="U311" s="7">
        <v>28.953189999999999</v>
      </c>
      <c r="V311" s="7">
        <v>80</v>
      </c>
      <c r="W311" s="7">
        <v>1</v>
      </c>
      <c r="X311" s="7">
        <v>1</v>
      </c>
      <c r="Y311" s="7">
        <v>0</v>
      </c>
      <c r="Z311" s="7">
        <v>57</v>
      </c>
      <c r="AA311" s="8">
        <v>0</v>
      </c>
    </row>
    <row r="312" spans="1:27" x14ac:dyDescent="0.25">
      <c r="A312" t="s">
        <v>50</v>
      </c>
      <c r="B312">
        <v>2</v>
      </c>
      <c r="C312">
        <v>1</v>
      </c>
      <c r="D312">
        <v>0</v>
      </c>
      <c r="E312">
        <v>1</v>
      </c>
      <c r="F312">
        <v>5</v>
      </c>
      <c r="G312">
        <v>66.324219999999997</v>
      </c>
      <c r="H312">
        <v>352</v>
      </c>
      <c r="I312">
        <v>3</v>
      </c>
      <c r="J312">
        <v>3</v>
      </c>
      <c r="K312">
        <v>1</v>
      </c>
      <c r="L312">
        <v>112</v>
      </c>
      <c r="M312">
        <v>0</v>
      </c>
      <c r="O312" s="3" t="s">
        <v>50</v>
      </c>
      <c r="P312" s="4">
        <v>17</v>
      </c>
      <c r="Q312" s="4">
        <v>2</v>
      </c>
      <c r="R312" s="4">
        <v>0</v>
      </c>
      <c r="S312" s="4">
        <v>64</v>
      </c>
      <c r="T312" s="4">
        <v>639</v>
      </c>
      <c r="U312" s="4">
        <v>611.29169999999999</v>
      </c>
      <c r="V312" s="4">
        <v>2200</v>
      </c>
      <c r="W312" s="4">
        <v>18</v>
      </c>
      <c r="X312" s="4">
        <v>18</v>
      </c>
      <c r="Y312" s="4">
        <v>4</v>
      </c>
      <c r="Z312" s="4">
        <v>1074</v>
      </c>
      <c r="AA312" s="5">
        <v>11</v>
      </c>
    </row>
    <row r="313" spans="1:27" x14ac:dyDescent="0.25">
      <c r="A313" t="s">
        <v>50</v>
      </c>
      <c r="B313">
        <v>2</v>
      </c>
      <c r="C313">
        <v>2</v>
      </c>
      <c r="D313">
        <v>0</v>
      </c>
      <c r="E313">
        <v>7</v>
      </c>
      <c r="F313">
        <v>43</v>
      </c>
      <c r="G313">
        <v>130.59020000000001</v>
      </c>
      <c r="H313">
        <v>560</v>
      </c>
      <c r="I313">
        <v>3</v>
      </c>
      <c r="J313">
        <v>3</v>
      </c>
      <c r="K313">
        <v>7</v>
      </c>
      <c r="L313">
        <v>207</v>
      </c>
      <c r="M313">
        <v>0</v>
      </c>
      <c r="O313" s="6" t="s">
        <v>50</v>
      </c>
      <c r="P313" s="7">
        <v>1</v>
      </c>
      <c r="Q313" s="7">
        <v>1</v>
      </c>
      <c r="R313" s="7">
        <v>0</v>
      </c>
      <c r="S313" s="7">
        <v>6</v>
      </c>
      <c r="T313" s="7">
        <v>126</v>
      </c>
      <c r="U313" s="7">
        <v>53.603879999999997</v>
      </c>
      <c r="V313" s="7">
        <v>360</v>
      </c>
      <c r="W313" s="7">
        <v>2</v>
      </c>
      <c r="X313" s="7">
        <v>2</v>
      </c>
      <c r="Y313" s="7">
        <v>6</v>
      </c>
      <c r="Z313" s="7">
        <v>95</v>
      </c>
      <c r="AA313" s="8">
        <v>0</v>
      </c>
    </row>
    <row r="314" spans="1:27" x14ac:dyDescent="0.25">
      <c r="A314" t="s">
        <v>51</v>
      </c>
      <c r="B314">
        <v>4</v>
      </c>
      <c r="C314">
        <v>3</v>
      </c>
      <c r="D314">
        <v>1</v>
      </c>
      <c r="E314">
        <v>0</v>
      </c>
      <c r="F314">
        <v>0</v>
      </c>
      <c r="G314">
        <v>73.823409999999996</v>
      </c>
      <c r="H314">
        <v>480</v>
      </c>
      <c r="I314">
        <v>0</v>
      </c>
      <c r="J314">
        <v>0</v>
      </c>
      <c r="K314">
        <v>1</v>
      </c>
      <c r="L314">
        <v>99</v>
      </c>
      <c r="M314">
        <v>18</v>
      </c>
      <c r="O314" s="3" t="s">
        <v>50</v>
      </c>
      <c r="P314" s="4">
        <v>0</v>
      </c>
      <c r="Q314" s="4">
        <v>1</v>
      </c>
      <c r="R314" s="4">
        <v>0</v>
      </c>
      <c r="S314" s="4">
        <v>0</v>
      </c>
      <c r="T314" s="4">
        <v>0</v>
      </c>
      <c r="U314" s="4">
        <v>23.447019999999998</v>
      </c>
      <c r="V314" s="4">
        <v>0</v>
      </c>
      <c r="W314" s="4">
        <v>1</v>
      </c>
      <c r="X314" s="4">
        <v>1</v>
      </c>
      <c r="Y314" s="4">
        <v>0</v>
      </c>
      <c r="Z314" s="4">
        <v>49</v>
      </c>
      <c r="AA314" s="5">
        <v>0</v>
      </c>
    </row>
    <row r="315" spans="1:27" x14ac:dyDescent="0.25">
      <c r="A315" t="s">
        <v>51</v>
      </c>
      <c r="B315">
        <v>6</v>
      </c>
      <c r="C315">
        <v>3</v>
      </c>
      <c r="D315">
        <v>1</v>
      </c>
      <c r="E315">
        <v>0</v>
      </c>
      <c r="F315">
        <v>0</v>
      </c>
      <c r="G315">
        <v>130.86099999999999</v>
      </c>
      <c r="H315">
        <v>480</v>
      </c>
      <c r="I315">
        <v>0</v>
      </c>
      <c r="J315">
        <v>0</v>
      </c>
      <c r="K315">
        <v>0</v>
      </c>
      <c r="L315">
        <v>113</v>
      </c>
      <c r="M315">
        <v>4</v>
      </c>
      <c r="O315" s="6" t="s">
        <v>50</v>
      </c>
      <c r="P315" s="7">
        <v>1</v>
      </c>
      <c r="Q315" s="7">
        <v>1</v>
      </c>
      <c r="R315" s="7">
        <v>0</v>
      </c>
      <c r="S315" s="7">
        <v>0</v>
      </c>
      <c r="T315" s="7">
        <v>0</v>
      </c>
      <c r="U315" s="7">
        <v>45.46387</v>
      </c>
      <c r="V315" s="7">
        <v>160</v>
      </c>
      <c r="W315" s="7">
        <v>4</v>
      </c>
      <c r="X315" s="7">
        <v>2</v>
      </c>
      <c r="Y315" s="7">
        <v>3</v>
      </c>
      <c r="Z315" s="7">
        <v>72</v>
      </c>
      <c r="AA315" s="8">
        <v>0</v>
      </c>
    </row>
    <row r="316" spans="1:27" x14ac:dyDescent="0.25">
      <c r="A316" t="s">
        <v>51</v>
      </c>
      <c r="B316">
        <v>5</v>
      </c>
      <c r="C316">
        <v>4</v>
      </c>
      <c r="D316">
        <v>1</v>
      </c>
      <c r="E316">
        <v>0</v>
      </c>
      <c r="F316">
        <v>0</v>
      </c>
      <c r="G316">
        <v>114.5457</v>
      </c>
      <c r="H316">
        <v>600</v>
      </c>
      <c r="I316">
        <v>0</v>
      </c>
      <c r="J316">
        <v>0</v>
      </c>
      <c r="K316">
        <v>0</v>
      </c>
      <c r="L316">
        <v>256</v>
      </c>
      <c r="M316">
        <v>17</v>
      </c>
      <c r="O316" s="3" t="s">
        <v>50</v>
      </c>
      <c r="P316" s="4">
        <v>0</v>
      </c>
      <c r="Q316" s="4">
        <v>1</v>
      </c>
      <c r="R316" s="4">
        <v>0</v>
      </c>
      <c r="S316" s="4">
        <v>0</v>
      </c>
      <c r="T316" s="4">
        <v>0</v>
      </c>
      <c r="U316" s="4">
        <v>22.964479999999998</v>
      </c>
      <c r="V316" s="4">
        <v>0</v>
      </c>
      <c r="W316" s="4">
        <v>1</v>
      </c>
      <c r="X316" s="4">
        <v>1</v>
      </c>
      <c r="Y316" s="4">
        <v>0</v>
      </c>
      <c r="Z316" s="4">
        <v>55</v>
      </c>
      <c r="AA316" s="5">
        <v>0</v>
      </c>
    </row>
    <row r="317" spans="1:27" x14ac:dyDescent="0.25">
      <c r="A317" t="s">
        <v>51</v>
      </c>
      <c r="B317">
        <v>8</v>
      </c>
      <c r="C317">
        <v>3</v>
      </c>
      <c r="D317">
        <v>1</v>
      </c>
      <c r="E317">
        <v>0</v>
      </c>
      <c r="F317">
        <v>0</v>
      </c>
      <c r="G317">
        <v>170.46250000000001</v>
      </c>
      <c r="H317">
        <v>960</v>
      </c>
      <c r="I317">
        <v>0</v>
      </c>
      <c r="J317">
        <v>0</v>
      </c>
      <c r="K317">
        <v>0</v>
      </c>
      <c r="L317">
        <v>379</v>
      </c>
      <c r="M317">
        <v>1</v>
      </c>
      <c r="O317" s="6" t="s">
        <v>50</v>
      </c>
      <c r="P317" s="7">
        <v>0</v>
      </c>
      <c r="Q317" s="7">
        <v>1</v>
      </c>
      <c r="R317" s="7">
        <v>0</v>
      </c>
      <c r="S317" s="7">
        <v>0</v>
      </c>
      <c r="T317" s="7">
        <v>0</v>
      </c>
      <c r="U317" s="7">
        <v>25.323239999999998</v>
      </c>
      <c r="V317" s="7">
        <v>40</v>
      </c>
      <c r="W317" s="7">
        <v>1</v>
      </c>
      <c r="X317" s="7">
        <v>1</v>
      </c>
      <c r="Y317" s="7">
        <v>1</v>
      </c>
      <c r="Z317" s="7">
        <v>47</v>
      </c>
      <c r="AA317" s="8">
        <v>0</v>
      </c>
    </row>
    <row r="318" spans="1:27" x14ac:dyDescent="0.25">
      <c r="A318" t="s">
        <v>51</v>
      </c>
      <c r="B318">
        <v>1</v>
      </c>
      <c r="C318">
        <v>3</v>
      </c>
      <c r="D318">
        <v>1</v>
      </c>
      <c r="E318">
        <v>0</v>
      </c>
      <c r="F318">
        <v>0</v>
      </c>
      <c r="G318">
        <v>46.83887</v>
      </c>
      <c r="H318">
        <v>120</v>
      </c>
      <c r="I318">
        <v>0</v>
      </c>
      <c r="J318">
        <v>0</v>
      </c>
      <c r="K318">
        <v>0</v>
      </c>
      <c r="L318">
        <v>40</v>
      </c>
      <c r="M318">
        <v>0</v>
      </c>
      <c r="O318" s="3" t="s">
        <v>50</v>
      </c>
      <c r="P318" s="4">
        <v>1</v>
      </c>
      <c r="Q318" s="4">
        <v>1</v>
      </c>
      <c r="R318" s="4">
        <v>0</v>
      </c>
      <c r="S318" s="4">
        <v>0</v>
      </c>
      <c r="T318" s="4">
        <v>0</v>
      </c>
      <c r="U318" s="4">
        <v>64.536739999999995</v>
      </c>
      <c r="V318" s="4">
        <v>280</v>
      </c>
      <c r="W318" s="4">
        <v>2</v>
      </c>
      <c r="X318" s="4">
        <v>2</v>
      </c>
      <c r="Y318" s="4">
        <v>4</v>
      </c>
      <c r="Z318" s="4">
        <v>137</v>
      </c>
      <c r="AA318" s="5">
        <v>0</v>
      </c>
    </row>
    <row r="319" spans="1:27" x14ac:dyDescent="0.25">
      <c r="A319" t="s">
        <v>51</v>
      </c>
      <c r="B319">
        <v>5</v>
      </c>
      <c r="C319">
        <v>4</v>
      </c>
      <c r="D319">
        <v>1</v>
      </c>
      <c r="E319">
        <v>0</v>
      </c>
      <c r="F319">
        <v>0</v>
      </c>
      <c r="G319">
        <v>105.2589</v>
      </c>
      <c r="H319">
        <v>600</v>
      </c>
      <c r="I319">
        <v>0</v>
      </c>
      <c r="J319">
        <v>0</v>
      </c>
      <c r="K319">
        <v>0</v>
      </c>
      <c r="L319">
        <v>294</v>
      </c>
      <c r="M319">
        <v>3</v>
      </c>
      <c r="O319" s="6" t="s">
        <v>50</v>
      </c>
      <c r="P319" s="7">
        <v>0</v>
      </c>
      <c r="Q319" s="7">
        <v>1</v>
      </c>
      <c r="R319" s="7">
        <v>0</v>
      </c>
      <c r="S319" s="7">
        <v>0</v>
      </c>
      <c r="T319" s="7">
        <v>0</v>
      </c>
      <c r="U319" s="7">
        <v>12.185180000000001</v>
      </c>
      <c r="V319" s="7">
        <v>0</v>
      </c>
      <c r="W319" s="7">
        <v>1</v>
      </c>
      <c r="X319" s="7">
        <v>1</v>
      </c>
      <c r="Y319" s="7">
        <v>0</v>
      </c>
      <c r="Z319" s="7">
        <v>26</v>
      </c>
      <c r="AA319" s="8">
        <v>0</v>
      </c>
    </row>
    <row r="320" spans="1:27" x14ac:dyDescent="0.25">
      <c r="A320" t="s">
        <v>51</v>
      </c>
      <c r="B320">
        <v>0</v>
      </c>
      <c r="C320">
        <v>3</v>
      </c>
      <c r="D320">
        <v>1</v>
      </c>
      <c r="E320">
        <v>0</v>
      </c>
      <c r="F320">
        <v>0</v>
      </c>
      <c r="G320">
        <v>10.698359999999999</v>
      </c>
      <c r="H320">
        <v>40</v>
      </c>
      <c r="I320">
        <v>0</v>
      </c>
      <c r="J320">
        <v>0</v>
      </c>
      <c r="K320">
        <v>0</v>
      </c>
      <c r="L320">
        <v>8</v>
      </c>
      <c r="M320">
        <v>0</v>
      </c>
      <c r="O320" s="3" t="s">
        <v>50</v>
      </c>
      <c r="P320" s="4">
        <v>0</v>
      </c>
      <c r="Q320" s="4">
        <v>1</v>
      </c>
      <c r="R320" s="4">
        <v>0</v>
      </c>
      <c r="S320" s="4">
        <v>0</v>
      </c>
      <c r="T320" s="4">
        <v>0</v>
      </c>
      <c r="U320" s="4">
        <v>25.404910000000001</v>
      </c>
      <c r="V320" s="4">
        <v>0</v>
      </c>
      <c r="W320" s="4">
        <v>1</v>
      </c>
      <c r="X320" s="4">
        <v>1</v>
      </c>
      <c r="Y320" s="4">
        <v>0</v>
      </c>
      <c r="Z320" s="4">
        <v>48</v>
      </c>
      <c r="AA320" s="5">
        <v>0</v>
      </c>
    </row>
    <row r="321" spans="1:27" x14ac:dyDescent="0.25">
      <c r="A321" t="s">
        <v>51</v>
      </c>
      <c r="B321">
        <v>1</v>
      </c>
      <c r="C321">
        <v>1</v>
      </c>
      <c r="D321">
        <v>1</v>
      </c>
      <c r="E321">
        <v>0</v>
      </c>
      <c r="F321">
        <v>0</v>
      </c>
      <c r="G321">
        <v>9.2817989999999995</v>
      </c>
      <c r="H321">
        <v>120</v>
      </c>
      <c r="I321">
        <v>0</v>
      </c>
      <c r="J321">
        <v>0</v>
      </c>
      <c r="K321">
        <v>0</v>
      </c>
      <c r="L321">
        <v>28</v>
      </c>
      <c r="M321">
        <v>0</v>
      </c>
      <c r="O321" s="6" t="s">
        <v>50</v>
      </c>
      <c r="P321" s="7">
        <v>0</v>
      </c>
      <c r="Q321" s="7">
        <v>1</v>
      </c>
      <c r="R321" s="7">
        <v>0</v>
      </c>
      <c r="S321" s="7">
        <v>1</v>
      </c>
      <c r="T321" s="7">
        <v>6</v>
      </c>
      <c r="U321" s="7">
        <v>31.581050000000001</v>
      </c>
      <c r="V321" s="7">
        <v>80</v>
      </c>
      <c r="W321" s="7">
        <v>1</v>
      </c>
      <c r="X321" s="7">
        <v>1</v>
      </c>
      <c r="Y321" s="7">
        <v>1</v>
      </c>
      <c r="Z321" s="7">
        <v>56</v>
      </c>
      <c r="AA321" s="8">
        <v>0</v>
      </c>
    </row>
    <row r="322" spans="1:27" x14ac:dyDescent="0.25">
      <c r="A322" t="s">
        <v>51</v>
      </c>
      <c r="B322">
        <v>2</v>
      </c>
      <c r="C322">
        <v>2</v>
      </c>
      <c r="D322">
        <v>1</v>
      </c>
      <c r="E322">
        <v>0</v>
      </c>
      <c r="F322">
        <v>0</v>
      </c>
      <c r="G322">
        <v>59.976750000000003</v>
      </c>
      <c r="H322">
        <v>240</v>
      </c>
      <c r="I322">
        <v>0</v>
      </c>
      <c r="J322">
        <v>0</v>
      </c>
      <c r="K322">
        <v>0</v>
      </c>
      <c r="L322">
        <v>69</v>
      </c>
      <c r="M322">
        <v>0</v>
      </c>
      <c r="O322" s="3" t="s">
        <v>50</v>
      </c>
      <c r="P322" s="4">
        <v>0</v>
      </c>
      <c r="Q322" s="4">
        <v>1</v>
      </c>
      <c r="R322" s="4">
        <v>0</v>
      </c>
      <c r="S322" s="4">
        <v>0</v>
      </c>
      <c r="T322" s="4">
        <v>0</v>
      </c>
      <c r="U322" s="4">
        <v>32.633420000000001</v>
      </c>
      <c r="V322" s="4">
        <v>0</v>
      </c>
      <c r="W322" s="4">
        <v>1</v>
      </c>
      <c r="X322" s="4">
        <v>1</v>
      </c>
      <c r="Y322" s="4">
        <v>0</v>
      </c>
      <c r="Z322" s="4">
        <v>50</v>
      </c>
      <c r="AA322" s="5">
        <v>0</v>
      </c>
    </row>
    <row r="323" spans="1:27" x14ac:dyDescent="0.25">
      <c r="A323" t="s">
        <v>51</v>
      </c>
      <c r="B323">
        <v>2</v>
      </c>
      <c r="C323">
        <v>2</v>
      </c>
      <c r="D323">
        <v>1</v>
      </c>
      <c r="E323">
        <v>0</v>
      </c>
      <c r="F323">
        <v>0</v>
      </c>
      <c r="G323">
        <v>55.024900000000002</v>
      </c>
      <c r="H323">
        <v>280</v>
      </c>
      <c r="I323">
        <v>0</v>
      </c>
      <c r="J323">
        <v>0</v>
      </c>
      <c r="K323">
        <v>0</v>
      </c>
      <c r="L323">
        <v>122</v>
      </c>
      <c r="M323">
        <v>0</v>
      </c>
      <c r="O323" s="6" t="s">
        <v>50</v>
      </c>
      <c r="P323" s="7">
        <v>2</v>
      </c>
      <c r="Q323" s="7">
        <v>2</v>
      </c>
      <c r="R323" s="7">
        <v>0</v>
      </c>
      <c r="S323" s="7">
        <v>10</v>
      </c>
      <c r="T323" s="7">
        <v>115</v>
      </c>
      <c r="U323" s="7">
        <v>85.208740000000006</v>
      </c>
      <c r="V323" s="7">
        <v>560</v>
      </c>
      <c r="W323" s="7">
        <v>3</v>
      </c>
      <c r="X323" s="7">
        <v>3</v>
      </c>
      <c r="Y323" s="7">
        <v>7</v>
      </c>
      <c r="Z323" s="7">
        <v>144</v>
      </c>
      <c r="AA323" s="8">
        <v>0</v>
      </c>
    </row>
    <row r="324" spans="1:27" x14ac:dyDescent="0.25">
      <c r="A324" t="s">
        <v>51</v>
      </c>
      <c r="B324">
        <v>2</v>
      </c>
      <c r="C324">
        <v>2</v>
      </c>
      <c r="D324">
        <v>1</v>
      </c>
      <c r="E324">
        <v>0</v>
      </c>
      <c r="F324">
        <v>0</v>
      </c>
      <c r="G324">
        <v>57.474429999999998</v>
      </c>
      <c r="H324">
        <v>240</v>
      </c>
      <c r="I324">
        <v>0</v>
      </c>
      <c r="J324">
        <v>0</v>
      </c>
      <c r="K324">
        <v>0</v>
      </c>
      <c r="L324">
        <v>121</v>
      </c>
      <c r="M324">
        <v>0</v>
      </c>
      <c r="O324" s="3" t="s">
        <v>50</v>
      </c>
      <c r="P324" s="4">
        <v>0</v>
      </c>
      <c r="Q324" s="4">
        <v>1</v>
      </c>
      <c r="R324" s="4">
        <v>0</v>
      </c>
      <c r="S324" s="4">
        <v>4</v>
      </c>
      <c r="T324" s="4">
        <v>5</v>
      </c>
      <c r="U324" s="4">
        <v>26.735720000000001</v>
      </c>
      <c r="V324" s="4">
        <v>40</v>
      </c>
      <c r="W324" s="4">
        <v>1</v>
      </c>
      <c r="X324" s="4">
        <v>1</v>
      </c>
      <c r="Y324" s="4">
        <v>1</v>
      </c>
      <c r="Z324" s="4">
        <v>45</v>
      </c>
      <c r="AA324" s="5">
        <v>0</v>
      </c>
    </row>
    <row r="325" spans="1:27" x14ac:dyDescent="0.25">
      <c r="A325" t="s">
        <v>51</v>
      </c>
      <c r="B325">
        <v>0</v>
      </c>
      <c r="C325">
        <v>1</v>
      </c>
      <c r="D325">
        <v>0</v>
      </c>
      <c r="E325">
        <v>0</v>
      </c>
      <c r="F325">
        <v>0</v>
      </c>
      <c r="G325">
        <v>127.774</v>
      </c>
      <c r="H325">
        <v>0</v>
      </c>
      <c r="I325">
        <v>0</v>
      </c>
      <c r="J325">
        <v>0</v>
      </c>
      <c r="K325">
        <v>0</v>
      </c>
      <c r="L325">
        <v>416</v>
      </c>
      <c r="M325">
        <v>0</v>
      </c>
      <c r="O325" s="6" t="s">
        <v>50</v>
      </c>
      <c r="P325" s="7">
        <v>0</v>
      </c>
      <c r="Q325" s="7">
        <v>1</v>
      </c>
      <c r="R325" s="7">
        <v>0</v>
      </c>
      <c r="S325" s="7">
        <v>0</v>
      </c>
      <c r="T325" s="7">
        <v>0</v>
      </c>
      <c r="U325" s="7">
        <v>29.59497</v>
      </c>
      <c r="V325" s="7">
        <v>40</v>
      </c>
      <c r="W325" s="7">
        <v>1</v>
      </c>
      <c r="X325" s="7">
        <v>1</v>
      </c>
      <c r="Y325" s="7">
        <v>1</v>
      </c>
      <c r="Z325" s="7">
        <v>51</v>
      </c>
      <c r="AA325" s="8">
        <v>0</v>
      </c>
    </row>
    <row r="326" spans="1:27" x14ac:dyDescent="0.25">
      <c r="A326" t="s">
        <v>51</v>
      </c>
      <c r="B326">
        <v>3</v>
      </c>
      <c r="C326">
        <v>4</v>
      </c>
      <c r="D326">
        <v>1</v>
      </c>
      <c r="E326">
        <v>0</v>
      </c>
      <c r="F326">
        <v>0</v>
      </c>
      <c r="G326">
        <v>41.793700000000001</v>
      </c>
      <c r="H326">
        <v>360</v>
      </c>
      <c r="I326">
        <v>0</v>
      </c>
      <c r="J326">
        <v>0</v>
      </c>
      <c r="K326">
        <v>0</v>
      </c>
      <c r="L326">
        <v>142</v>
      </c>
      <c r="M326">
        <v>2</v>
      </c>
      <c r="O326" s="3" t="s">
        <v>50</v>
      </c>
      <c r="P326" s="4">
        <v>0</v>
      </c>
      <c r="Q326" s="4">
        <v>2</v>
      </c>
      <c r="R326" s="4">
        <v>0</v>
      </c>
      <c r="S326" s="4">
        <v>1</v>
      </c>
      <c r="T326" s="4">
        <v>6</v>
      </c>
      <c r="U326" s="4">
        <v>25.149290000000001</v>
      </c>
      <c r="V326" s="4">
        <v>40</v>
      </c>
      <c r="W326" s="4">
        <v>1</v>
      </c>
      <c r="X326" s="4">
        <v>1</v>
      </c>
      <c r="Y326" s="4">
        <v>3</v>
      </c>
      <c r="Z326" s="4">
        <v>48</v>
      </c>
      <c r="AA326" s="5">
        <v>0</v>
      </c>
    </row>
    <row r="327" spans="1:27" x14ac:dyDescent="0.25">
      <c r="A327" t="s">
        <v>51</v>
      </c>
      <c r="B327">
        <v>2</v>
      </c>
      <c r="C327">
        <v>2</v>
      </c>
      <c r="D327">
        <v>1</v>
      </c>
      <c r="E327">
        <v>0</v>
      </c>
      <c r="F327">
        <v>0</v>
      </c>
      <c r="G327">
        <v>24.728390000000001</v>
      </c>
      <c r="H327">
        <v>240</v>
      </c>
      <c r="I327">
        <v>0</v>
      </c>
      <c r="J327">
        <v>0</v>
      </c>
      <c r="K327">
        <v>0</v>
      </c>
      <c r="L327">
        <v>68</v>
      </c>
      <c r="M327">
        <v>0</v>
      </c>
      <c r="O327" s="6" t="s">
        <v>50</v>
      </c>
      <c r="P327" s="7">
        <v>2</v>
      </c>
      <c r="Q327" s="7">
        <v>1</v>
      </c>
      <c r="R327" s="7">
        <v>0</v>
      </c>
      <c r="S327" s="7">
        <v>1</v>
      </c>
      <c r="T327" s="7">
        <v>5</v>
      </c>
      <c r="U327" s="7">
        <v>66.324219999999997</v>
      </c>
      <c r="V327" s="7">
        <v>352</v>
      </c>
      <c r="W327" s="7">
        <v>3</v>
      </c>
      <c r="X327" s="7">
        <v>3</v>
      </c>
      <c r="Y327" s="7">
        <v>1</v>
      </c>
      <c r="Z327" s="7">
        <v>112</v>
      </c>
      <c r="AA327" s="8">
        <v>0</v>
      </c>
    </row>
    <row r="328" spans="1:27" x14ac:dyDescent="0.25">
      <c r="A328" t="s">
        <v>51</v>
      </c>
      <c r="B328">
        <v>2</v>
      </c>
      <c r="C328">
        <v>3</v>
      </c>
      <c r="D328">
        <v>1</v>
      </c>
      <c r="E328">
        <v>0</v>
      </c>
      <c r="F328">
        <v>0</v>
      </c>
      <c r="G328">
        <v>30.896239999999999</v>
      </c>
      <c r="H328">
        <v>240</v>
      </c>
      <c r="I328">
        <v>0</v>
      </c>
      <c r="J328">
        <v>0</v>
      </c>
      <c r="K328">
        <v>0</v>
      </c>
      <c r="L328">
        <v>84</v>
      </c>
      <c r="M328">
        <v>0</v>
      </c>
      <c r="O328" s="3" t="s">
        <v>50</v>
      </c>
      <c r="P328" s="4">
        <v>2</v>
      </c>
      <c r="Q328" s="4">
        <v>2</v>
      </c>
      <c r="R328" s="4">
        <v>0</v>
      </c>
      <c r="S328" s="4">
        <v>7</v>
      </c>
      <c r="T328" s="4">
        <v>43</v>
      </c>
      <c r="U328" s="4">
        <v>130.59020000000001</v>
      </c>
      <c r="V328" s="4">
        <v>560</v>
      </c>
      <c r="W328" s="4">
        <v>3</v>
      </c>
      <c r="X328" s="4">
        <v>3</v>
      </c>
      <c r="Y328" s="4">
        <v>7</v>
      </c>
      <c r="Z328" s="4">
        <v>207</v>
      </c>
      <c r="AA328" s="5">
        <v>0</v>
      </c>
    </row>
    <row r="329" spans="1:27" x14ac:dyDescent="0.25">
      <c r="A329" t="s">
        <v>51</v>
      </c>
      <c r="B329">
        <v>1</v>
      </c>
      <c r="C329">
        <v>1</v>
      </c>
      <c r="D329">
        <v>1</v>
      </c>
      <c r="E329">
        <v>0</v>
      </c>
      <c r="F329">
        <v>0</v>
      </c>
      <c r="G329">
        <v>34.066040000000001</v>
      </c>
      <c r="H329">
        <v>100</v>
      </c>
      <c r="I329">
        <v>0</v>
      </c>
      <c r="J329">
        <v>0</v>
      </c>
      <c r="K329">
        <v>0</v>
      </c>
      <c r="L329">
        <v>121</v>
      </c>
      <c r="M329">
        <v>0</v>
      </c>
      <c r="O329" s="10" t="s">
        <v>12</v>
      </c>
      <c r="P329" s="9">
        <f t="shared" ref="P329:AA329" si="12">AVERAGE(P305:P328)</f>
        <v>1.2083333333333333</v>
      </c>
      <c r="Q329" s="9">
        <f t="shared" si="12"/>
        <v>1.1666666666666667</v>
      </c>
      <c r="R329" s="9">
        <f t="shared" si="12"/>
        <v>0</v>
      </c>
      <c r="S329" s="9">
        <f t="shared" si="12"/>
        <v>5.166666666666667</v>
      </c>
      <c r="T329" s="9">
        <f t="shared" si="12"/>
        <v>44.666666666666664</v>
      </c>
      <c r="U329" s="9">
        <f t="shared" si="12"/>
        <v>65.588327500000005</v>
      </c>
      <c r="V329" s="9">
        <f t="shared" si="12"/>
        <v>224.66666666666666</v>
      </c>
      <c r="W329" s="9">
        <f t="shared" si="12"/>
        <v>2.2916666666666665</v>
      </c>
      <c r="X329" s="9">
        <f t="shared" si="12"/>
        <v>2.2083333333333335</v>
      </c>
      <c r="Y329" s="9">
        <f t="shared" si="12"/>
        <v>1.625</v>
      </c>
      <c r="Z329" s="9">
        <f t="shared" si="12"/>
        <v>114.125</v>
      </c>
      <c r="AA329" s="9">
        <f t="shared" si="12"/>
        <v>0.45833333333333331</v>
      </c>
    </row>
    <row r="330" spans="1:27" x14ac:dyDescent="0.25">
      <c r="A330" t="s">
        <v>51</v>
      </c>
      <c r="B330">
        <v>1</v>
      </c>
      <c r="C330">
        <v>4</v>
      </c>
      <c r="D330">
        <v>1</v>
      </c>
      <c r="E330">
        <v>0</v>
      </c>
      <c r="F330">
        <v>0</v>
      </c>
      <c r="G330">
        <v>14.081300000000001</v>
      </c>
      <c r="H330">
        <v>160</v>
      </c>
      <c r="I330">
        <v>0</v>
      </c>
      <c r="J330">
        <v>0</v>
      </c>
      <c r="K330">
        <v>0</v>
      </c>
      <c r="L330">
        <v>49</v>
      </c>
      <c r="M330">
        <v>0</v>
      </c>
      <c r="O330" s="6" t="s">
        <v>51</v>
      </c>
      <c r="P330" s="7">
        <v>4</v>
      </c>
      <c r="Q330" s="7">
        <v>3</v>
      </c>
      <c r="R330" s="7">
        <v>1</v>
      </c>
      <c r="S330" s="7">
        <v>0</v>
      </c>
      <c r="T330" s="7">
        <v>0</v>
      </c>
      <c r="U330" s="7">
        <v>73.823409999999996</v>
      </c>
      <c r="V330" s="7">
        <v>480</v>
      </c>
      <c r="W330" s="7">
        <v>0</v>
      </c>
      <c r="X330" s="7">
        <v>0</v>
      </c>
      <c r="Y330" s="7">
        <v>1</v>
      </c>
      <c r="Z330" s="7">
        <v>99</v>
      </c>
      <c r="AA330" s="8">
        <v>18</v>
      </c>
    </row>
    <row r="331" spans="1:27" x14ac:dyDescent="0.25">
      <c r="A331" t="s">
        <v>51</v>
      </c>
      <c r="B331">
        <v>1</v>
      </c>
      <c r="C331">
        <v>2</v>
      </c>
      <c r="D331">
        <v>1</v>
      </c>
      <c r="E331">
        <v>0</v>
      </c>
      <c r="F331">
        <v>0</v>
      </c>
      <c r="G331">
        <v>33.224850000000004</v>
      </c>
      <c r="H331">
        <v>120</v>
      </c>
      <c r="I331">
        <v>0</v>
      </c>
      <c r="J331">
        <v>0</v>
      </c>
      <c r="K331">
        <v>0</v>
      </c>
      <c r="L331">
        <v>116</v>
      </c>
      <c r="M331">
        <v>0</v>
      </c>
      <c r="O331" s="3" t="s">
        <v>51</v>
      </c>
      <c r="P331" s="4">
        <v>6</v>
      </c>
      <c r="Q331" s="4">
        <v>3</v>
      </c>
      <c r="R331" s="4">
        <v>1</v>
      </c>
      <c r="S331" s="4">
        <v>0</v>
      </c>
      <c r="T331" s="4">
        <v>0</v>
      </c>
      <c r="U331" s="4">
        <v>130.86099999999999</v>
      </c>
      <c r="V331" s="4">
        <v>480</v>
      </c>
      <c r="W331" s="4">
        <v>0</v>
      </c>
      <c r="X331" s="4">
        <v>0</v>
      </c>
      <c r="Y331" s="4">
        <v>0</v>
      </c>
      <c r="Z331" s="4">
        <v>113</v>
      </c>
      <c r="AA331" s="5">
        <v>4</v>
      </c>
    </row>
    <row r="332" spans="1:27" x14ac:dyDescent="0.25">
      <c r="A332" t="s">
        <v>51</v>
      </c>
      <c r="B332">
        <v>1</v>
      </c>
      <c r="C332">
        <v>2</v>
      </c>
      <c r="D332">
        <v>1</v>
      </c>
      <c r="E332">
        <v>0</v>
      </c>
      <c r="F332">
        <v>0</v>
      </c>
      <c r="G332">
        <v>15.097659999999999</v>
      </c>
      <c r="H332">
        <v>120</v>
      </c>
      <c r="I332">
        <v>0</v>
      </c>
      <c r="J332">
        <v>0</v>
      </c>
      <c r="K332">
        <v>0</v>
      </c>
      <c r="L332">
        <v>52</v>
      </c>
      <c r="M332">
        <v>0</v>
      </c>
      <c r="O332" s="6" t="s">
        <v>51</v>
      </c>
      <c r="P332" s="7">
        <v>5</v>
      </c>
      <c r="Q332" s="7">
        <v>4</v>
      </c>
      <c r="R332" s="7">
        <v>1</v>
      </c>
      <c r="S332" s="7">
        <v>0</v>
      </c>
      <c r="T332" s="7">
        <v>0</v>
      </c>
      <c r="U332" s="7">
        <v>114.5457</v>
      </c>
      <c r="V332" s="7">
        <v>600</v>
      </c>
      <c r="W332" s="7">
        <v>0</v>
      </c>
      <c r="X332" s="7">
        <v>0</v>
      </c>
      <c r="Y332" s="7">
        <v>0</v>
      </c>
      <c r="Z332" s="7">
        <v>256</v>
      </c>
      <c r="AA332" s="8">
        <v>17</v>
      </c>
    </row>
    <row r="333" spans="1:27" x14ac:dyDescent="0.25">
      <c r="A333" t="s">
        <v>51</v>
      </c>
      <c r="B333">
        <v>2</v>
      </c>
      <c r="C333">
        <v>3</v>
      </c>
      <c r="D333">
        <v>1</v>
      </c>
      <c r="E333">
        <v>0</v>
      </c>
      <c r="F333">
        <v>0</v>
      </c>
      <c r="G333">
        <v>36.808959999999999</v>
      </c>
      <c r="H333">
        <v>240</v>
      </c>
      <c r="I333">
        <v>0</v>
      </c>
      <c r="J333">
        <v>0</v>
      </c>
      <c r="K333">
        <v>0</v>
      </c>
      <c r="L333">
        <v>113</v>
      </c>
      <c r="M333">
        <v>0</v>
      </c>
      <c r="O333" s="3" t="s">
        <v>51</v>
      </c>
      <c r="P333" s="4">
        <v>8</v>
      </c>
      <c r="Q333" s="4">
        <v>3</v>
      </c>
      <c r="R333" s="4">
        <v>1</v>
      </c>
      <c r="S333" s="4">
        <v>0</v>
      </c>
      <c r="T333" s="4">
        <v>0</v>
      </c>
      <c r="U333" s="4">
        <v>170.46250000000001</v>
      </c>
      <c r="V333" s="4">
        <v>960</v>
      </c>
      <c r="W333" s="4">
        <v>0</v>
      </c>
      <c r="X333" s="4">
        <v>0</v>
      </c>
      <c r="Y333" s="4">
        <v>0</v>
      </c>
      <c r="Z333" s="4">
        <v>379</v>
      </c>
      <c r="AA333" s="5">
        <v>1</v>
      </c>
    </row>
    <row r="334" spans="1:27" x14ac:dyDescent="0.25">
      <c r="A334" t="s">
        <v>51</v>
      </c>
      <c r="B334">
        <v>2</v>
      </c>
      <c r="C334">
        <v>2</v>
      </c>
      <c r="D334">
        <v>1</v>
      </c>
      <c r="E334">
        <v>0</v>
      </c>
      <c r="F334">
        <v>0</v>
      </c>
      <c r="G334">
        <v>50.869509999999998</v>
      </c>
      <c r="H334">
        <v>240</v>
      </c>
      <c r="I334">
        <v>0</v>
      </c>
      <c r="J334">
        <v>0</v>
      </c>
      <c r="K334">
        <v>0</v>
      </c>
      <c r="L334">
        <v>157</v>
      </c>
      <c r="M334">
        <v>0</v>
      </c>
      <c r="O334" s="6" t="s">
        <v>51</v>
      </c>
      <c r="P334" s="7">
        <v>1</v>
      </c>
      <c r="Q334" s="7">
        <v>3</v>
      </c>
      <c r="R334" s="7">
        <v>1</v>
      </c>
      <c r="S334" s="7">
        <v>0</v>
      </c>
      <c r="T334" s="7">
        <v>0</v>
      </c>
      <c r="U334" s="7">
        <v>46.83887</v>
      </c>
      <c r="V334" s="7">
        <v>120</v>
      </c>
      <c r="W334" s="7">
        <v>0</v>
      </c>
      <c r="X334" s="7">
        <v>0</v>
      </c>
      <c r="Y334" s="7">
        <v>0</v>
      </c>
      <c r="Z334" s="7">
        <v>40</v>
      </c>
      <c r="AA334" s="8">
        <v>0</v>
      </c>
    </row>
    <row r="335" spans="1:27" x14ac:dyDescent="0.25">
      <c r="A335" t="s">
        <v>51</v>
      </c>
      <c r="B335">
        <v>0</v>
      </c>
      <c r="C335">
        <v>1</v>
      </c>
      <c r="D335">
        <v>1</v>
      </c>
      <c r="E335">
        <v>0</v>
      </c>
      <c r="F335">
        <v>0</v>
      </c>
      <c r="G335">
        <v>8.8986820000000009</v>
      </c>
      <c r="H335">
        <v>0</v>
      </c>
      <c r="I335">
        <v>0</v>
      </c>
      <c r="J335">
        <v>0</v>
      </c>
      <c r="K335">
        <v>0</v>
      </c>
      <c r="L335">
        <v>22</v>
      </c>
      <c r="M335">
        <v>0</v>
      </c>
      <c r="O335" s="3" t="s">
        <v>51</v>
      </c>
      <c r="P335" s="4">
        <v>5</v>
      </c>
      <c r="Q335" s="4">
        <v>4</v>
      </c>
      <c r="R335" s="4">
        <v>1</v>
      </c>
      <c r="S335" s="4">
        <v>0</v>
      </c>
      <c r="T335" s="4">
        <v>0</v>
      </c>
      <c r="U335" s="4">
        <v>105.2589</v>
      </c>
      <c r="V335" s="4">
        <v>600</v>
      </c>
      <c r="W335" s="4">
        <v>0</v>
      </c>
      <c r="X335" s="4">
        <v>0</v>
      </c>
      <c r="Y335" s="4">
        <v>0</v>
      </c>
      <c r="Z335" s="4">
        <v>294</v>
      </c>
      <c r="AA335" s="5">
        <v>3</v>
      </c>
    </row>
    <row r="336" spans="1:27" x14ac:dyDescent="0.25">
      <c r="A336" t="s">
        <v>51</v>
      </c>
      <c r="B336">
        <v>1</v>
      </c>
      <c r="C336">
        <v>1</v>
      </c>
      <c r="D336">
        <v>1</v>
      </c>
      <c r="E336">
        <v>0</v>
      </c>
      <c r="F336">
        <v>0</v>
      </c>
      <c r="G336">
        <v>56.02478</v>
      </c>
      <c r="H336">
        <v>103</v>
      </c>
      <c r="I336">
        <v>0</v>
      </c>
      <c r="J336">
        <v>0</v>
      </c>
      <c r="K336">
        <v>0</v>
      </c>
      <c r="L336">
        <v>135</v>
      </c>
      <c r="M336">
        <v>0</v>
      </c>
      <c r="O336" s="6" t="s">
        <v>51</v>
      </c>
      <c r="P336" s="7">
        <v>0</v>
      </c>
      <c r="Q336" s="7">
        <v>3</v>
      </c>
      <c r="R336" s="7">
        <v>1</v>
      </c>
      <c r="S336" s="7">
        <v>0</v>
      </c>
      <c r="T336" s="7">
        <v>0</v>
      </c>
      <c r="U336" s="7">
        <v>10.698359999999999</v>
      </c>
      <c r="V336" s="7">
        <v>40</v>
      </c>
      <c r="W336" s="7">
        <v>0</v>
      </c>
      <c r="X336" s="7">
        <v>0</v>
      </c>
      <c r="Y336" s="7">
        <v>0</v>
      </c>
      <c r="Z336" s="7">
        <v>8</v>
      </c>
      <c r="AA336" s="8">
        <v>0</v>
      </c>
    </row>
    <row r="337" spans="1:27" x14ac:dyDescent="0.25">
      <c r="A337" t="s">
        <v>51</v>
      </c>
      <c r="B337">
        <v>2</v>
      </c>
      <c r="C337">
        <v>4</v>
      </c>
      <c r="D337">
        <v>1</v>
      </c>
      <c r="E337">
        <v>0</v>
      </c>
      <c r="F337">
        <v>0</v>
      </c>
      <c r="G337">
        <v>40.293700000000001</v>
      </c>
      <c r="H337">
        <v>240</v>
      </c>
      <c r="I337">
        <v>0</v>
      </c>
      <c r="J337">
        <v>0</v>
      </c>
      <c r="K337">
        <v>0</v>
      </c>
      <c r="L337">
        <v>91</v>
      </c>
      <c r="M337">
        <v>0</v>
      </c>
      <c r="O337" s="3" t="s">
        <v>51</v>
      </c>
      <c r="P337" s="4">
        <v>1</v>
      </c>
      <c r="Q337" s="4">
        <v>1</v>
      </c>
      <c r="R337" s="4">
        <v>1</v>
      </c>
      <c r="S337" s="4">
        <v>0</v>
      </c>
      <c r="T337" s="4">
        <v>0</v>
      </c>
      <c r="U337" s="4">
        <v>9.2817989999999995</v>
      </c>
      <c r="V337" s="4">
        <v>120</v>
      </c>
      <c r="W337" s="4">
        <v>0</v>
      </c>
      <c r="X337" s="4">
        <v>0</v>
      </c>
      <c r="Y337" s="4">
        <v>0</v>
      </c>
      <c r="Z337" s="4">
        <v>28</v>
      </c>
      <c r="AA337" s="5">
        <v>0</v>
      </c>
    </row>
    <row r="338" spans="1:27" x14ac:dyDescent="0.25">
      <c r="A338" t="s">
        <v>52</v>
      </c>
      <c r="B338">
        <v>7</v>
      </c>
      <c r="C338">
        <v>4</v>
      </c>
      <c r="D338">
        <v>1</v>
      </c>
      <c r="E338">
        <v>37</v>
      </c>
      <c r="F338">
        <v>1382</v>
      </c>
      <c r="G338">
        <v>225.48869999999999</v>
      </c>
      <c r="H338">
        <v>920</v>
      </c>
      <c r="I338">
        <v>5</v>
      </c>
      <c r="J338">
        <v>7</v>
      </c>
      <c r="K338">
        <v>0</v>
      </c>
      <c r="L338">
        <v>48</v>
      </c>
      <c r="M338">
        <v>1</v>
      </c>
      <c r="O338" s="6" t="s">
        <v>51</v>
      </c>
      <c r="P338" s="7">
        <v>2</v>
      </c>
      <c r="Q338" s="7">
        <v>2</v>
      </c>
      <c r="R338" s="7">
        <v>1</v>
      </c>
      <c r="S338" s="7">
        <v>0</v>
      </c>
      <c r="T338" s="7">
        <v>0</v>
      </c>
      <c r="U338" s="7">
        <v>59.976750000000003</v>
      </c>
      <c r="V338" s="7">
        <v>240</v>
      </c>
      <c r="W338" s="7">
        <v>0</v>
      </c>
      <c r="X338" s="7">
        <v>0</v>
      </c>
      <c r="Y338" s="7">
        <v>0</v>
      </c>
      <c r="Z338" s="7">
        <v>69</v>
      </c>
      <c r="AA338" s="8">
        <v>0</v>
      </c>
    </row>
    <row r="339" spans="1:27" x14ac:dyDescent="0.25">
      <c r="A339" t="s">
        <v>52</v>
      </c>
      <c r="B339">
        <v>10</v>
      </c>
      <c r="C339">
        <v>4</v>
      </c>
      <c r="D339">
        <v>1</v>
      </c>
      <c r="E339">
        <v>10</v>
      </c>
      <c r="F339">
        <v>344</v>
      </c>
      <c r="G339">
        <v>171.18430000000001</v>
      </c>
      <c r="H339">
        <v>800</v>
      </c>
      <c r="I339">
        <v>0</v>
      </c>
      <c r="J339">
        <v>12</v>
      </c>
      <c r="K339">
        <v>1</v>
      </c>
      <c r="L339">
        <v>117</v>
      </c>
      <c r="M339">
        <v>241</v>
      </c>
      <c r="O339" s="3" t="s">
        <v>51</v>
      </c>
      <c r="P339" s="4">
        <v>2</v>
      </c>
      <c r="Q339" s="4">
        <v>2</v>
      </c>
      <c r="R339" s="4">
        <v>1</v>
      </c>
      <c r="S339" s="4">
        <v>0</v>
      </c>
      <c r="T339" s="4">
        <v>0</v>
      </c>
      <c r="U339" s="4">
        <v>55.024900000000002</v>
      </c>
      <c r="V339" s="4">
        <v>280</v>
      </c>
      <c r="W339" s="4">
        <v>0</v>
      </c>
      <c r="X339" s="4">
        <v>0</v>
      </c>
      <c r="Y339" s="4">
        <v>0</v>
      </c>
      <c r="Z339" s="4">
        <v>122</v>
      </c>
      <c r="AA339" s="5">
        <v>0</v>
      </c>
    </row>
    <row r="340" spans="1:27" x14ac:dyDescent="0.25">
      <c r="A340" t="s">
        <v>52</v>
      </c>
      <c r="B340">
        <v>3</v>
      </c>
      <c r="C340">
        <v>4</v>
      </c>
      <c r="D340">
        <v>1</v>
      </c>
      <c r="E340">
        <v>0</v>
      </c>
      <c r="F340">
        <v>0</v>
      </c>
      <c r="G340">
        <v>181.76480000000001</v>
      </c>
      <c r="H340">
        <v>440</v>
      </c>
      <c r="I340">
        <v>0</v>
      </c>
      <c r="J340">
        <v>3</v>
      </c>
      <c r="K340">
        <v>2</v>
      </c>
      <c r="L340">
        <v>84</v>
      </c>
      <c r="M340">
        <v>276</v>
      </c>
      <c r="O340" s="6" t="s">
        <v>51</v>
      </c>
      <c r="P340" s="7">
        <v>2</v>
      </c>
      <c r="Q340" s="7">
        <v>2</v>
      </c>
      <c r="R340" s="7">
        <v>1</v>
      </c>
      <c r="S340" s="7">
        <v>0</v>
      </c>
      <c r="T340" s="7">
        <v>0</v>
      </c>
      <c r="U340" s="7">
        <v>57.474429999999998</v>
      </c>
      <c r="V340" s="7">
        <v>240</v>
      </c>
      <c r="W340" s="7">
        <v>0</v>
      </c>
      <c r="X340" s="7">
        <v>0</v>
      </c>
      <c r="Y340" s="7">
        <v>0</v>
      </c>
      <c r="Z340" s="7">
        <v>121</v>
      </c>
      <c r="AA340" s="8">
        <v>0</v>
      </c>
    </row>
    <row r="341" spans="1:27" x14ac:dyDescent="0.25">
      <c r="A341" t="s">
        <v>52</v>
      </c>
      <c r="B341">
        <v>0</v>
      </c>
      <c r="C341">
        <v>2</v>
      </c>
      <c r="D341">
        <v>0</v>
      </c>
      <c r="E341">
        <v>0</v>
      </c>
      <c r="F341">
        <v>0</v>
      </c>
      <c r="G341">
        <v>86.627440000000007</v>
      </c>
      <c r="H341">
        <v>80</v>
      </c>
      <c r="I341">
        <v>0</v>
      </c>
      <c r="J341">
        <v>1</v>
      </c>
      <c r="K341">
        <v>2</v>
      </c>
      <c r="L341">
        <v>55</v>
      </c>
      <c r="M341">
        <v>192</v>
      </c>
      <c r="O341" s="3" t="s">
        <v>51</v>
      </c>
      <c r="P341" s="4">
        <v>0</v>
      </c>
      <c r="Q341" s="4">
        <v>1</v>
      </c>
      <c r="R341" s="4">
        <v>0</v>
      </c>
      <c r="S341" s="4">
        <v>0</v>
      </c>
      <c r="T341" s="4">
        <v>0</v>
      </c>
      <c r="U341" s="4">
        <v>127.774</v>
      </c>
      <c r="V341" s="4">
        <v>0</v>
      </c>
      <c r="W341" s="4">
        <v>0</v>
      </c>
      <c r="X341" s="4">
        <v>0</v>
      </c>
      <c r="Y341" s="4">
        <v>0</v>
      </c>
      <c r="Z341" s="4">
        <v>416</v>
      </c>
      <c r="AA341" s="5">
        <v>0</v>
      </c>
    </row>
    <row r="342" spans="1:27" x14ac:dyDescent="0.25">
      <c r="A342" t="s">
        <v>52</v>
      </c>
      <c r="B342">
        <v>1</v>
      </c>
      <c r="C342">
        <v>1</v>
      </c>
      <c r="D342">
        <v>0</v>
      </c>
      <c r="E342">
        <v>0</v>
      </c>
      <c r="F342">
        <v>0</v>
      </c>
      <c r="G342">
        <v>40.755369999999999</v>
      </c>
      <c r="H342">
        <v>200</v>
      </c>
      <c r="I342">
        <v>0</v>
      </c>
      <c r="J342">
        <v>4</v>
      </c>
      <c r="K342">
        <v>0</v>
      </c>
      <c r="L342">
        <v>24</v>
      </c>
      <c r="M342">
        <v>4</v>
      </c>
      <c r="O342" s="6" t="s">
        <v>51</v>
      </c>
      <c r="P342" s="7">
        <v>3</v>
      </c>
      <c r="Q342" s="7">
        <v>4</v>
      </c>
      <c r="R342" s="7">
        <v>1</v>
      </c>
      <c r="S342" s="7">
        <v>0</v>
      </c>
      <c r="T342" s="7">
        <v>0</v>
      </c>
      <c r="U342" s="7">
        <v>41.793700000000001</v>
      </c>
      <c r="V342" s="7">
        <v>360</v>
      </c>
      <c r="W342" s="7">
        <v>0</v>
      </c>
      <c r="X342" s="7">
        <v>0</v>
      </c>
      <c r="Y342" s="7">
        <v>0</v>
      </c>
      <c r="Z342" s="7">
        <v>142</v>
      </c>
      <c r="AA342" s="8">
        <v>2</v>
      </c>
    </row>
    <row r="343" spans="1:27" x14ac:dyDescent="0.25">
      <c r="A343" t="s">
        <v>52</v>
      </c>
      <c r="B343">
        <v>1</v>
      </c>
      <c r="C343">
        <v>2</v>
      </c>
      <c r="D343">
        <v>0</v>
      </c>
      <c r="E343">
        <v>0</v>
      </c>
      <c r="F343">
        <v>0</v>
      </c>
      <c r="G343">
        <v>135.3596</v>
      </c>
      <c r="H343">
        <v>240</v>
      </c>
      <c r="I343">
        <v>0</v>
      </c>
      <c r="J343">
        <v>3</v>
      </c>
      <c r="K343">
        <v>2</v>
      </c>
      <c r="L343">
        <v>59</v>
      </c>
      <c r="M343">
        <v>196</v>
      </c>
      <c r="O343" s="3" t="s">
        <v>51</v>
      </c>
      <c r="P343" s="4">
        <v>2</v>
      </c>
      <c r="Q343" s="4">
        <v>2</v>
      </c>
      <c r="R343" s="4">
        <v>1</v>
      </c>
      <c r="S343" s="4">
        <v>0</v>
      </c>
      <c r="T343" s="4">
        <v>0</v>
      </c>
      <c r="U343" s="4">
        <v>24.728390000000001</v>
      </c>
      <c r="V343" s="4">
        <v>240</v>
      </c>
      <c r="W343" s="4">
        <v>0</v>
      </c>
      <c r="X343" s="4">
        <v>0</v>
      </c>
      <c r="Y343" s="4">
        <v>0</v>
      </c>
      <c r="Z343" s="4">
        <v>68</v>
      </c>
      <c r="AA343" s="5">
        <v>0</v>
      </c>
    </row>
    <row r="344" spans="1:27" x14ac:dyDescent="0.25">
      <c r="A344" t="s">
        <v>52</v>
      </c>
      <c r="B344">
        <v>0</v>
      </c>
      <c r="C344">
        <v>1</v>
      </c>
      <c r="D344">
        <v>0</v>
      </c>
      <c r="E344">
        <v>0</v>
      </c>
      <c r="F344">
        <v>0</v>
      </c>
      <c r="G344">
        <v>110.1335</v>
      </c>
      <c r="H344">
        <v>80</v>
      </c>
      <c r="I344">
        <v>0</v>
      </c>
      <c r="J344">
        <v>1</v>
      </c>
      <c r="K344">
        <v>1</v>
      </c>
      <c r="L344">
        <v>56</v>
      </c>
      <c r="M344">
        <v>258</v>
      </c>
      <c r="O344" s="6" t="s">
        <v>51</v>
      </c>
      <c r="P344" s="7">
        <v>2</v>
      </c>
      <c r="Q344" s="7">
        <v>3</v>
      </c>
      <c r="R344" s="7">
        <v>1</v>
      </c>
      <c r="S344" s="7">
        <v>0</v>
      </c>
      <c r="T344" s="7">
        <v>0</v>
      </c>
      <c r="U344" s="7">
        <v>30.896239999999999</v>
      </c>
      <c r="V344" s="7">
        <v>240</v>
      </c>
      <c r="W344" s="7">
        <v>0</v>
      </c>
      <c r="X344" s="7">
        <v>0</v>
      </c>
      <c r="Y344" s="7">
        <v>0</v>
      </c>
      <c r="Z344" s="7">
        <v>84</v>
      </c>
      <c r="AA344" s="8">
        <v>0</v>
      </c>
    </row>
    <row r="345" spans="1:27" x14ac:dyDescent="0.25">
      <c r="A345" t="s">
        <v>52</v>
      </c>
      <c r="B345">
        <v>0</v>
      </c>
      <c r="C345">
        <v>1</v>
      </c>
      <c r="D345">
        <v>0</v>
      </c>
      <c r="E345">
        <v>0</v>
      </c>
      <c r="F345">
        <v>0</v>
      </c>
      <c r="G345">
        <v>114.8584</v>
      </c>
      <c r="H345">
        <v>120</v>
      </c>
      <c r="I345">
        <v>0</v>
      </c>
      <c r="J345">
        <v>1</v>
      </c>
      <c r="K345">
        <v>2</v>
      </c>
      <c r="L345">
        <v>60</v>
      </c>
      <c r="M345">
        <v>264</v>
      </c>
      <c r="O345" s="3" t="s">
        <v>51</v>
      </c>
      <c r="P345" s="4">
        <v>1</v>
      </c>
      <c r="Q345" s="4">
        <v>1</v>
      </c>
      <c r="R345" s="4">
        <v>1</v>
      </c>
      <c r="S345" s="4">
        <v>0</v>
      </c>
      <c r="T345" s="4">
        <v>0</v>
      </c>
      <c r="U345" s="4">
        <v>34.066040000000001</v>
      </c>
      <c r="V345" s="4">
        <v>100</v>
      </c>
      <c r="W345" s="4">
        <v>0</v>
      </c>
      <c r="X345" s="4">
        <v>0</v>
      </c>
      <c r="Y345" s="4">
        <v>0</v>
      </c>
      <c r="Z345" s="4">
        <v>121</v>
      </c>
      <c r="AA345" s="5">
        <v>0</v>
      </c>
    </row>
    <row r="346" spans="1:27" x14ac:dyDescent="0.25">
      <c r="A346" t="s">
        <v>52</v>
      </c>
      <c r="B346">
        <v>1</v>
      </c>
      <c r="C346">
        <v>4</v>
      </c>
      <c r="D346">
        <v>1</v>
      </c>
      <c r="E346">
        <v>3</v>
      </c>
      <c r="F346">
        <v>93</v>
      </c>
      <c r="G346">
        <v>224.36670000000001</v>
      </c>
      <c r="H346">
        <v>280</v>
      </c>
      <c r="I346">
        <v>0</v>
      </c>
      <c r="J346">
        <v>3</v>
      </c>
      <c r="K346">
        <v>3</v>
      </c>
      <c r="L346">
        <v>25</v>
      </c>
      <c r="M346">
        <v>207</v>
      </c>
      <c r="O346" s="6" t="s">
        <v>51</v>
      </c>
      <c r="P346" s="7">
        <v>1</v>
      </c>
      <c r="Q346" s="7">
        <v>4</v>
      </c>
      <c r="R346" s="7">
        <v>1</v>
      </c>
      <c r="S346" s="7">
        <v>0</v>
      </c>
      <c r="T346" s="7">
        <v>0</v>
      </c>
      <c r="U346" s="7">
        <v>14.081300000000001</v>
      </c>
      <c r="V346" s="7">
        <v>160</v>
      </c>
      <c r="W346" s="7">
        <v>0</v>
      </c>
      <c r="X346" s="7">
        <v>0</v>
      </c>
      <c r="Y346" s="7">
        <v>0</v>
      </c>
      <c r="Z346" s="7">
        <v>49</v>
      </c>
      <c r="AA346" s="8">
        <v>0</v>
      </c>
    </row>
    <row r="347" spans="1:27" x14ac:dyDescent="0.25">
      <c r="A347" t="s">
        <v>52</v>
      </c>
      <c r="B347">
        <v>0</v>
      </c>
      <c r="C347">
        <v>1</v>
      </c>
      <c r="D347">
        <v>0</v>
      </c>
      <c r="E347">
        <v>0</v>
      </c>
      <c r="F347">
        <v>0</v>
      </c>
      <c r="G347">
        <v>115.9551</v>
      </c>
      <c r="H347">
        <v>120</v>
      </c>
      <c r="I347">
        <v>0</v>
      </c>
      <c r="J347">
        <v>2</v>
      </c>
      <c r="K347">
        <v>2</v>
      </c>
      <c r="L347">
        <v>52</v>
      </c>
      <c r="M347">
        <v>278</v>
      </c>
      <c r="O347" s="3" t="s">
        <v>51</v>
      </c>
      <c r="P347" s="4">
        <v>1</v>
      </c>
      <c r="Q347" s="4">
        <v>2</v>
      </c>
      <c r="R347" s="4">
        <v>1</v>
      </c>
      <c r="S347" s="4">
        <v>0</v>
      </c>
      <c r="T347" s="4">
        <v>0</v>
      </c>
      <c r="U347" s="4">
        <v>33.224850000000004</v>
      </c>
      <c r="V347" s="4">
        <v>120</v>
      </c>
      <c r="W347" s="4">
        <v>0</v>
      </c>
      <c r="X347" s="4">
        <v>0</v>
      </c>
      <c r="Y347" s="4">
        <v>0</v>
      </c>
      <c r="Z347" s="4">
        <v>116</v>
      </c>
      <c r="AA347" s="5">
        <v>0</v>
      </c>
    </row>
    <row r="348" spans="1:27" x14ac:dyDescent="0.25">
      <c r="A348" t="s">
        <v>52</v>
      </c>
      <c r="B348">
        <v>1</v>
      </c>
      <c r="C348">
        <v>1</v>
      </c>
      <c r="D348">
        <v>0</v>
      </c>
      <c r="E348">
        <v>0</v>
      </c>
      <c r="F348">
        <v>0</v>
      </c>
      <c r="G348">
        <v>139.58459999999999</v>
      </c>
      <c r="H348">
        <v>200</v>
      </c>
      <c r="I348">
        <v>0</v>
      </c>
      <c r="J348">
        <v>2</v>
      </c>
      <c r="K348">
        <v>1</v>
      </c>
      <c r="L348">
        <v>47</v>
      </c>
      <c r="M348">
        <v>281</v>
      </c>
      <c r="O348" s="6" t="s">
        <v>51</v>
      </c>
      <c r="P348" s="7">
        <v>1</v>
      </c>
      <c r="Q348" s="7">
        <v>2</v>
      </c>
      <c r="R348" s="7">
        <v>1</v>
      </c>
      <c r="S348" s="7">
        <v>0</v>
      </c>
      <c r="T348" s="7">
        <v>0</v>
      </c>
      <c r="U348" s="7">
        <v>15.097659999999999</v>
      </c>
      <c r="V348" s="7">
        <v>120</v>
      </c>
      <c r="W348" s="7">
        <v>0</v>
      </c>
      <c r="X348" s="7">
        <v>0</v>
      </c>
      <c r="Y348" s="7">
        <v>0</v>
      </c>
      <c r="Z348" s="7">
        <v>52</v>
      </c>
      <c r="AA348" s="8">
        <v>0</v>
      </c>
    </row>
    <row r="349" spans="1:27" x14ac:dyDescent="0.25">
      <c r="A349" t="s">
        <v>52</v>
      </c>
      <c r="B349">
        <v>0</v>
      </c>
      <c r="C349">
        <v>1</v>
      </c>
      <c r="D349">
        <v>0</v>
      </c>
      <c r="E349">
        <v>0</v>
      </c>
      <c r="F349">
        <v>0</v>
      </c>
      <c r="G349">
        <v>84.896850000000001</v>
      </c>
      <c r="H349">
        <v>0</v>
      </c>
      <c r="I349">
        <v>0</v>
      </c>
      <c r="J349">
        <v>2</v>
      </c>
      <c r="K349">
        <v>0</v>
      </c>
      <c r="L349">
        <v>93</v>
      </c>
      <c r="M349">
        <v>29</v>
      </c>
      <c r="O349" s="3" t="s">
        <v>51</v>
      </c>
      <c r="P349" s="4">
        <v>2</v>
      </c>
      <c r="Q349" s="4">
        <v>3</v>
      </c>
      <c r="R349" s="4">
        <v>1</v>
      </c>
      <c r="S349" s="4">
        <v>0</v>
      </c>
      <c r="T349" s="4">
        <v>0</v>
      </c>
      <c r="U349" s="4">
        <v>36.808959999999999</v>
      </c>
      <c r="V349" s="4">
        <v>240</v>
      </c>
      <c r="W349" s="4">
        <v>0</v>
      </c>
      <c r="X349" s="4">
        <v>0</v>
      </c>
      <c r="Y349" s="4">
        <v>0</v>
      </c>
      <c r="Z349" s="4">
        <v>113</v>
      </c>
      <c r="AA349" s="5">
        <v>0</v>
      </c>
    </row>
    <row r="350" spans="1:27" x14ac:dyDescent="0.25">
      <c r="A350" t="s">
        <v>52</v>
      </c>
      <c r="B350">
        <v>2</v>
      </c>
      <c r="C350">
        <v>1</v>
      </c>
      <c r="D350">
        <v>0</v>
      </c>
      <c r="E350">
        <v>0</v>
      </c>
      <c r="F350">
        <v>0</v>
      </c>
      <c r="G350">
        <v>103.8796</v>
      </c>
      <c r="H350">
        <v>280</v>
      </c>
      <c r="I350">
        <v>0</v>
      </c>
      <c r="J350">
        <v>3</v>
      </c>
      <c r="K350">
        <v>0</v>
      </c>
      <c r="L350">
        <v>76</v>
      </c>
      <c r="M350">
        <v>238</v>
      </c>
      <c r="O350" s="6" t="s">
        <v>51</v>
      </c>
      <c r="P350" s="7">
        <v>2</v>
      </c>
      <c r="Q350" s="7">
        <v>2</v>
      </c>
      <c r="R350" s="7">
        <v>1</v>
      </c>
      <c r="S350" s="7">
        <v>0</v>
      </c>
      <c r="T350" s="7">
        <v>0</v>
      </c>
      <c r="U350" s="7">
        <v>50.869509999999998</v>
      </c>
      <c r="V350" s="7">
        <v>240</v>
      </c>
      <c r="W350" s="7">
        <v>0</v>
      </c>
      <c r="X350" s="7">
        <v>0</v>
      </c>
      <c r="Y350" s="7">
        <v>0</v>
      </c>
      <c r="Z350" s="7">
        <v>157</v>
      </c>
      <c r="AA350" s="8">
        <v>0</v>
      </c>
    </row>
    <row r="351" spans="1:27" x14ac:dyDescent="0.25">
      <c r="A351" t="s">
        <v>52</v>
      </c>
      <c r="B351">
        <v>0</v>
      </c>
      <c r="C351">
        <v>4</v>
      </c>
      <c r="D351">
        <v>1</v>
      </c>
      <c r="E351">
        <v>0</v>
      </c>
      <c r="F351">
        <v>0</v>
      </c>
      <c r="G351">
        <v>14.910640000000001</v>
      </c>
      <c r="H351">
        <v>80</v>
      </c>
      <c r="I351">
        <v>0</v>
      </c>
      <c r="J351">
        <v>1</v>
      </c>
      <c r="K351">
        <v>0</v>
      </c>
      <c r="L351">
        <v>3</v>
      </c>
      <c r="M351">
        <v>4</v>
      </c>
      <c r="O351" s="3" t="s">
        <v>51</v>
      </c>
      <c r="P351" s="4">
        <v>0</v>
      </c>
      <c r="Q351" s="4">
        <v>1</v>
      </c>
      <c r="R351" s="4">
        <v>1</v>
      </c>
      <c r="S351" s="4">
        <v>0</v>
      </c>
      <c r="T351" s="4">
        <v>0</v>
      </c>
      <c r="U351" s="4">
        <v>8.8986820000000009</v>
      </c>
      <c r="V351" s="4">
        <v>0</v>
      </c>
      <c r="W351" s="4">
        <v>0</v>
      </c>
      <c r="X351" s="4">
        <v>0</v>
      </c>
      <c r="Y351" s="4">
        <v>0</v>
      </c>
      <c r="Z351" s="4">
        <v>22</v>
      </c>
      <c r="AA351" s="5">
        <v>0</v>
      </c>
    </row>
    <row r="352" spans="1:27" x14ac:dyDescent="0.25">
      <c r="A352" t="s">
        <v>52</v>
      </c>
      <c r="B352">
        <v>1</v>
      </c>
      <c r="C352">
        <v>2</v>
      </c>
      <c r="D352">
        <v>1</v>
      </c>
      <c r="E352">
        <v>0</v>
      </c>
      <c r="F352">
        <v>0</v>
      </c>
      <c r="G352">
        <v>14.022460000000001</v>
      </c>
      <c r="H352">
        <v>120</v>
      </c>
      <c r="I352">
        <v>0</v>
      </c>
      <c r="J352">
        <v>1</v>
      </c>
      <c r="K352">
        <v>0</v>
      </c>
      <c r="L352">
        <v>5</v>
      </c>
      <c r="M352">
        <v>17</v>
      </c>
      <c r="O352" s="6" t="s">
        <v>51</v>
      </c>
      <c r="P352" s="7">
        <v>1</v>
      </c>
      <c r="Q352" s="7">
        <v>1</v>
      </c>
      <c r="R352" s="7">
        <v>1</v>
      </c>
      <c r="S352" s="7">
        <v>0</v>
      </c>
      <c r="T352" s="7">
        <v>0</v>
      </c>
      <c r="U352" s="7">
        <v>56.02478</v>
      </c>
      <c r="V352" s="7">
        <v>103</v>
      </c>
      <c r="W352" s="7">
        <v>0</v>
      </c>
      <c r="X352" s="7">
        <v>0</v>
      </c>
      <c r="Y352" s="7">
        <v>0</v>
      </c>
      <c r="Z352" s="7">
        <v>135</v>
      </c>
      <c r="AA352" s="8">
        <v>0</v>
      </c>
    </row>
    <row r="353" spans="1:27" x14ac:dyDescent="0.25">
      <c r="A353" t="s">
        <v>52</v>
      </c>
      <c r="B353">
        <v>0</v>
      </c>
      <c r="C353">
        <v>1</v>
      </c>
      <c r="D353">
        <v>0</v>
      </c>
      <c r="E353">
        <v>0</v>
      </c>
      <c r="F353">
        <v>0</v>
      </c>
      <c r="G353">
        <v>61.824710000000003</v>
      </c>
      <c r="H353">
        <v>40</v>
      </c>
      <c r="I353">
        <v>0</v>
      </c>
      <c r="J353">
        <v>1</v>
      </c>
      <c r="K353">
        <v>1</v>
      </c>
      <c r="L353">
        <v>64</v>
      </c>
      <c r="M353">
        <v>109</v>
      </c>
      <c r="O353" s="3" t="s">
        <v>51</v>
      </c>
      <c r="P353" s="4">
        <v>2</v>
      </c>
      <c r="Q353" s="4">
        <v>4</v>
      </c>
      <c r="R353" s="4">
        <v>1</v>
      </c>
      <c r="S353" s="4">
        <v>0</v>
      </c>
      <c r="T353" s="4">
        <v>0</v>
      </c>
      <c r="U353" s="4">
        <v>40.293700000000001</v>
      </c>
      <c r="V353" s="4">
        <v>240</v>
      </c>
      <c r="W353" s="4">
        <v>0</v>
      </c>
      <c r="X353" s="4">
        <v>0</v>
      </c>
      <c r="Y353" s="4">
        <v>0</v>
      </c>
      <c r="Z353" s="4">
        <v>91</v>
      </c>
      <c r="AA353" s="5">
        <v>0</v>
      </c>
    </row>
    <row r="354" spans="1:27" x14ac:dyDescent="0.25">
      <c r="A354" t="s">
        <v>52</v>
      </c>
      <c r="B354">
        <v>2</v>
      </c>
      <c r="C354">
        <v>4</v>
      </c>
      <c r="D354">
        <v>1</v>
      </c>
      <c r="E354">
        <v>0</v>
      </c>
      <c r="F354">
        <v>0</v>
      </c>
      <c r="G354">
        <v>41.129390000000001</v>
      </c>
      <c r="H354">
        <v>320</v>
      </c>
      <c r="I354">
        <v>0</v>
      </c>
      <c r="J354">
        <v>2</v>
      </c>
      <c r="K354">
        <v>1</v>
      </c>
      <c r="L354">
        <v>39</v>
      </c>
      <c r="M354">
        <v>75</v>
      </c>
      <c r="O354" s="10" t="s">
        <v>12</v>
      </c>
      <c r="P354" s="9">
        <f t="shared" ref="P354:AA354" si="13">AVERAGE(P330:P353)</f>
        <v>2.25</v>
      </c>
      <c r="Q354" s="9">
        <f t="shared" si="13"/>
        <v>2.5</v>
      </c>
      <c r="R354" s="9">
        <f t="shared" si="13"/>
        <v>0.95833333333333337</v>
      </c>
      <c r="S354" s="9">
        <f t="shared" si="13"/>
        <v>0</v>
      </c>
      <c r="T354" s="9">
        <f t="shared" si="13"/>
        <v>0</v>
      </c>
      <c r="U354" s="9">
        <f t="shared" si="13"/>
        <v>56.200184624999999</v>
      </c>
      <c r="V354" s="9">
        <f t="shared" si="13"/>
        <v>263.45833333333331</v>
      </c>
      <c r="W354" s="9">
        <f t="shared" si="13"/>
        <v>0</v>
      </c>
      <c r="X354" s="9">
        <f t="shared" si="13"/>
        <v>0</v>
      </c>
      <c r="Y354" s="9">
        <f t="shared" si="13"/>
        <v>4.1666666666666664E-2</v>
      </c>
      <c r="Z354" s="9">
        <f t="shared" si="13"/>
        <v>128.95833333333334</v>
      </c>
      <c r="AA354" s="9">
        <f t="shared" si="13"/>
        <v>1.875</v>
      </c>
    </row>
    <row r="355" spans="1:27" x14ac:dyDescent="0.25">
      <c r="A355" t="s">
        <v>52</v>
      </c>
      <c r="B355">
        <v>0</v>
      </c>
      <c r="C355">
        <v>1</v>
      </c>
      <c r="D355">
        <v>0</v>
      </c>
      <c r="E355">
        <v>0</v>
      </c>
      <c r="F355">
        <v>0</v>
      </c>
      <c r="G355">
        <v>86.384280000000004</v>
      </c>
      <c r="H355">
        <v>80</v>
      </c>
      <c r="I355">
        <v>0</v>
      </c>
      <c r="J355">
        <v>1</v>
      </c>
      <c r="K355">
        <v>1</v>
      </c>
      <c r="L355">
        <v>68</v>
      </c>
      <c r="M355">
        <v>166</v>
      </c>
      <c r="O355" s="6" t="s">
        <v>52</v>
      </c>
      <c r="P355" s="7">
        <v>7</v>
      </c>
      <c r="Q355" s="7">
        <v>4</v>
      </c>
      <c r="R355" s="7">
        <v>1</v>
      </c>
      <c r="S355" s="7">
        <v>37</v>
      </c>
      <c r="T355" s="7">
        <v>1382</v>
      </c>
      <c r="U355" s="7">
        <v>225.48869999999999</v>
      </c>
      <c r="V355" s="7">
        <v>920</v>
      </c>
      <c r="W355" s="7">
        <v>5</v>
      </c>
      <c r="X355" s="7">
        <v>7</v>
      </c>
      <c r="Y355" s="7">
        <v>0</v>
      </c>
      <c r="Z355" s="7">
        <v>48</v>
      </c>
      <c r="AA355" s="8">
        <v>1</v>
      </c>
    </row>
    <row r="356" spans="1:27" x14ac:dyDescent="0.25">
      <c r="A356" t="s">
        <v>52</v>
      </c>
      <c r="B356">
        <v>1</v>
      </c>
      <c r="C356">
        <v>3</v>
      </c>
      <c r="D356">
        <v>1</v>
      </c>
      <c r="E356">
        <v>1</v>
      </c>
      <c r="F356">
        <v>32</v>
      </c>
      <c r="G356">
        <v>50.173340000000003</v>
      </c>
      <c r="H356">
        <v>200</v>
      </c>
      <c r="I356">
        <v>0</v>
      </c>
      <c r="J356">
        <v>2</v>
      </c>
      <c r="K356">
        <v>1</v>
      </c>
      <c r="L356">
        <v>78</v>
      </c>
      <c r="M356">
        <v>73</v>
      </c>
      <c r="O356" s="3" t="s">
        <v>52</v>
      </c>
      <c r="P356" s="4">
        <v>10</v>
      </c>
      <c r="Q356" s="4">
        <v>4</v>
      </c>
      <c r="R356" s="4">
        <v>1</v>
      </c>
      <c r="S356" s="4">
        <v>10</v>
      </c>
      <c r="T356" s="4">
        <v>344</v>
      </c>
      <c r="U356" s="4">
        <v>171.18430000000001</v>
      </c>
      <c r="V356" s="4">
        <v>800</v>
      </c>
      <c r="W356" s="4">
        <v>0</v>
      </c>
      <c r="X356" s="4">
        <v>12</v>
      </c>
      <c r="Y356" s="4">
        <v>1</v>
      </c>
      <c r="Z356" s="4">
        <v>117</v>
      </c>
      <c r="AA356" s="5">
        <v>241</v>
      </c>
    </row>
    <row r="357" spans="1:27" x14ac:dyDescent="0.25">
      <c r="A357" t="s">
        <v>52</v>
      </c>
      <c r="B357">
        <v>2</v>
      </c>
      <c r="C357">
        <v>3</v>
      </c>
      <c r="D357">
        <v>1</v>
      </c>
      <c r="E357">
        <v>0</v>
      </c>
      <c r="F357">
        <v>0</v>
      </c>
      <c r="G357">
        <v>92.186520000000002</v>
      </c>
      <c r="H357">
        <v>240</v>
      </c>
      <c r="I357">
        <v>0</v>
      </c>
      <c r="J357">
        <v>2</v>
      </c>
      <c r="K357">
        <v>0</v>
      </c>
      <c r="L357">
        <v>58</v>
      </c>
      <c r="M357">
        <v>135</v>
      </c>
      <c r="O357" s="6" t="s">
        <v>52</v>
      </c>
      <c r="P357" s="7">
        <v>3</v>
      </c>
      <c r="Q357" s="7">
        <v>4</v>
      </c>
      <c r="R357" s="7">
        <v>1</v>
      </c>
      <c r="S357" s="7">
        <v>0</v>
      </c>
      <c r="T357" s="7">
        <v>0</v>
      </c>
      <c r="U357" s="7">
        <v>181.76480000000001</v>
      </c>
      <c r="V357" s="7">
        <v>440</v>
      </c>
      <c r="W357" s="7">
        <v>0</v>
      </c>
      <c r="X357" s="7">
        <v>3</v>
      </c>
      <c r="Y357" s="7">
        <v>2</v>
      </c>
      <c r="Z357" s="7">
        <v>84</v>
      </c>
      <c r="AA357" s="8">
        <v>276</v>
      </c>
    </row>
    <row r="358" spans="1:27" x14ac:dyDescent="0.25">
      <c r="A358" t="s">
        <v>52</v>
      </c>
      <c r="B358">
        <v>0</v>
      </c>
      <c r="C358">
        <v>1</v>
      </c>
      <c r="D358">
        <v>0</v>
      </c>
      <c r="E358">
        <v>0</v>
      </c>
      <c r="F358">
        <v>0</v>
      </c>
      <c r="G358">
        <v>80.691159999999996</v>
      </c>
      <c r="H358">
        <v>120</v>
      </c>
      <c r="I358">
        <v>0</v>
      </c>
      <c r="J358">
        <v>1</v>
      </c>
      <c r="K358">
        <v>2</v>
      </c>
      <c r="L358">
        <v>42</v>
      </c>
      <c r="M358">
        <v>94</v>
      </c>
      <c r="O358" s="3" t="s">
        <v>52</v>
      </c>
      <c r="P358" s="4">
        <v>0</v>
      </c>
      <c r="Q358" s="4">
        <v>2</v>
      </c>
      <c r="R358" s="4">
        <v>0</v>
      </c>
      <c r="S358" s="4">
        <v>0</v>
      </c>
      <c r="T358" s="4">
        <v>0</v>
      </c>
      <c r="U358" s="4">
        <v>86.627440000000007</v>
      </c>
      <c r="V358" s="4">
        <v>80</v>
      </c>
      <c r="W358" s="4">
        <v>0</v>
      </c>
      <c r="X358" s="4">
        <v>1</v>
      </c>
      <c r="Y358" s="4">
        <v>2</v>
      </c>
      <c r="Z358" s="4">
        <v>55</v>
      </c>
      <c r="AA358" s="5">
        <v>192</v>
      </c>
    </row>
    <row r="359" spans="1:27" x14ac:dyDescent="0.25">
      <c r="A359" t="s">
        <v>52</v>
      </c>
      <c r="B359">
        <v>0</v>
      </c>
      <c r="C359">
        <v>1</v>
      </c>
      <c r="D359">
        <v>0</v>
      </c>
      <c r="E359">
        <v>0</v>
      </c>
      <c r="F359">
        <v>0</v>
      </c>
      <c r="G359">
        <v>79.347409999999996</v>
      </c>
      <c r="H359">
        <v>40</v>
      </c>
      <c r="I359">
        <v>0</v>
      </c>
      <c r="J359">
        <v>1</v>
      </c>
      <c r="K359">
        <v>1</v>
      </c>
      <c r="L359">
        <v>103</v>
      </c>
      <c r="M359">
        <v>124</v>
      </c>
      <c r="O359" s="6" t="s">
        <v>52</v>
      </c>
      <c r="P359" s="7">
        <v>1</v>
      </c>
      <c r="Q359" s="7">
        <v>1</v>
      </c>
      <c r="R359" s="7">
        <v>0</v>
      </c>
      <c r="S359" s="7">
        <v>0</v>
      </c>
      <c r="T359" s="7">
        <v>0</v>
      </c>
      <c r="U359" s="7">
        <v>40.755369999999999</v>
      </c>
      <c r="V359" s="7">
        <v>200</v>
      </c>
      <c r="W359" s="7">
        <v>0</v>
      </c>
      <c r="X359" s="7">
        <v>4</v>
      </c>
      <c r="Y359" s="7">
        <v>0</v>
      </c>
      <c r="Z359" s="7">
        <v>24</v>
      </c>
      <c r="AA359" s="8">
        <v>4</v>
      </c>
    </row>
    <row r="360" spans="1:27" x14ac:dyDescent="0.25">
      <c r="A360" t="s">
        <v>52</v>
      </c>
      <c r="B360">
        <v>0</v>
      </c>
      <c r="C360">
        <v>1</v>
      </c>
      <c r="D360">
        <v>0</v>
      </c>
      <c r="E360">
        <v>0</v>
      </c>
      <c r="F360">
        <v>0</v>
      </c>
      <c r="G360">
        <v>54.069580000000002</v>
      </c>
      <c r="H360">
        <v>44</v>
      </c>
      <c r="I360">
        <v>0</v>
      </c>
      <c r="J360">
        <v>1</v>
      </c>
      <c r="K360">
        <v>0</v>
      </c>
      <c r="L360">
        <v>70</v>
      </c>
      <c r="M360">
        <v>7</v>
      </c>
      <c r="O360" s="3" t="s">
        <v>52</v>
      </c>
      <c r="P360" s="4">
        <v>1</v>
      </c>
      <c r="Q360" s="4">
        <v>2</v>
      </c>
      <c r="R360" s="4">
        <v>0</v>
      </c>
      <c r="S360" s="4">
        <v>0</v>
      </c>
      <c r="T360" s="4">
        <v>0</v>
      </c>
      <c r="U360" s="4">
        <v>135.3596</v>
      </c>
      <c r="V360" s="4">
        <v>240</v>
      </c>
      <c r="W360" s="4">
        <v>0</v>
      </c>
      <c r="X360" s="4">
        <v>3</v>
      </c>
      <c r="Y360" s="4">
        <v>2</v>
      </c>
      <c r="Z360" s="4">
        <v>59</v>
      </c>
      <c r="AA360" s="5">
        <v>196</v>
      </c>
    </row>
    <row r="361" spans="1:27" x14ac:dyDescent="0.25">
      <c r="A361" t="s">
        <v>52</v>
      </c>
      <c r="B361">
        <v>1</v>
      </c>
      <c r="C361">
        <v>2</v>
      </c>
      <c r="D361">
        <v>1</v>
      </c>
      <c r="E361">
        <v>0</v>
      </c>
      <c r="F361">
        <v>0</v>
      </c>
      <c r="G361">
        <v>24.535160000000001</v>
      </c>
      <c r="H361">
        <v>160</v>
      </c>
      <c r="I361">
        <v>0</v>
      </c>
      <c r="J361">
        <v>2</v>
      </c>
      <c r="K361">
        <v>1</v>
      </c>
      <c r="L361">
        <v>9</v>
      </c>
      <c r="M361">
        <v>9</v>
      </c>
      <c r="O361" s="6" t="s">
        <v>52</v>
      </c>
      <c r="P361" s="7">
        <v>0</v>
      </c>
      <c r="Q361" s="7">
        <v>1</v>
      </c>
      <c r="R361" s="7">
        <v>0</v>
      </c>
      <c r="S361" s="7">
        <v>0</v>
      </c>
      <c r="T361" s="7">
        <v>0</v>
      </c>
      <c r="U361" s="7">
        <v>110.1335</v>
      </c>
      <c r="V361" s="7">
        <v>80</v>
      </c>
      <c r="W361" s="7">
        <v>0</v>
      </c>
      <c r="X361" s="7">
        <v>1</v>
      </c>
      <c r="Y361" s="7">
        <v>1</v>
      </c>
      <c r="Z361" s="7">
        <v>56</v>
      </c>
      <c r="AA361" s="8">
        <v>258</v>
      </c>
    </row>
    <row r="362" spans="1:27" x14ac:dyDescent="0.25">
      <c r="A362" t="s">
        <v>53</v>
      </c>
      <c r="B362">
        <v>10</v>
      </c>
      <c r="C362">
        <v>2</v>
      </c>
      <c r="D362">
        <v>0</v>
      </c>
      <c r="E362">
        <v>65</v>
      </c>
      <c r="F362">
        <v>97</v>
      </c>
      <c r="G362">
        <v>487.0625</v>
      </c>
      <c r="H362">
        <v>1280</v>
      </c>
      <c r="I362">
        <v>4</v>
      </c>
      <c r="J362">
        <v>13</v>
      </c>
      <c r="K362">
        <v>0</v>
      </c>
      <c r="L362">
        <v>94</v>
      </c>
      <c r="M362">
        <v>56</v>
      </c>
      <c r="O362" s="3" t="s">
        <v>52</v>
      </c>
      <c r="P362" s="4">
        <v>0</v>
      </c>
      <c r="Q362" s="4">
        <v>1</v>
      </c>
      <c r="R362" s="4">
        <v>0</v>
      </c>
      <c r="S362" s="4">
        <v>0</v>
      </c>
      <c r="T362" s="4">
        <v>0</v>
      </c>
      <c r="U362" s="4">
        <v>114.8584</v>
      </c>
      <c r="V362" s="4">
        <v>120</v>
      </c>
      <c r="W362" s="4">
        <v>0</v>
      </c>
      <c r="X362" s="4">
        <v>1</v>
      </c>
      <c r="Y362" s="4">
        <v>2</v>
      </c>
      <c r="Z362" s="4">
        <v>60</v>
      </c>
      <c r="AA362" s="5">
        <v>264</v>
      </c>
    </row>
    <row r="363" spans="1:27" x14ac:dyDescent="0.25">
      <c r="A363" t="s">
        <v>53</v>
      </c>
      <c r="B363">
        <v>6</v>
      </c>
      <c r="C363">
        <v>4</v>
      </c>
      <c r="D363">
        <v>0</v>
      </c>
      <c r="E363">
        <v>63</v>
      </c>
      <c r="F363">
        <v>109</v>
      </c>
      <c r="G363">
        <v>292.43869999999998</v>
      </c>
      <c r="H363">
        <v>520</v>
      </c>
      <c r="I363">
        <v>7</v>
      </c>
      <c r="J363">
        <v>7</v>
      </c>
      <c r="K363">
        <v>1</v>
      </c>
      <c r="L363">
        <v>75</v>
      </c>
      <c r="M363">
        <v>1</v>
      </c>
      <c r="O363" s="6" t="s">
        <v>52</v>
      </c>
      <c r="P363" s="7">
        <v>1</v>
      </c>
      <c r="Q363" s="7">
        <v>4</v>
      </c>
      <c r="R363" s="7">
        <v>1</v>
      </c>
      <c r="S363" s="7">
        <v>3</v>
      </c>
      <c r="T363" s="7">
        <v>93</v>
      </c>
      <c r="U363" s="7">
        <v>224.36670000000001</v>
      </c>
      <c r="V363" s="7">
        <v>280</v>
      </c>
      <c r="W363" s="7">
        <v>0</v>
      </c>
      <c r="X363" s="7">
        <v>3</v>
      </c>
      <c r="Y363" s="7">
        <v>3</v>
      </c>
      <c r="Z363" s="7">
        <v>25</v>
      </c>
      <c r="AA363" s="8">
        <v>207</v>
      </c>
    </row>
    <row r="364" spans="1:27" x14ac:dyDescent="0.25">
      <c r="A364" t="s">
        <v>53</v>
      </c>
      <c r="B364">
        <v>0</v>
      </c>
      <c r="C364">
        <v>1</v>
      </c>
      <c r="D364">
        <v>0</v>
      </c>
      <c r="E364">
        <v>10</v>
      </c>
      <c r="F364">
        <v>19</v>
      </c>
      <c r="G364">
        <v>62.211300000000001</v>
      </c>
      <c r="H364">
        <v>40</v>
      </c>
      <c r="I364">
        <v>1</v>
      </c>
      <c r="J364">
        <v>1</v>
      </c>
      <c r="K364">
        <v>0</v>
      </c>
      <c r="L364">
        <v>16</v>
      </c>
      <c r="M364">
        <v>0</v>
      </c>
      <c r="O364" s="3" t="s">
        <v>52</v>
      </c>
      <c r="P364" s="4">
        <v>0</v>
      </c>
      <c r="Q364" s="4">
        <v>1</v>
      </c>
      <c r="R364" s="4">
        <v>0</v>
      </c>
      <c r="S364" s="4">
        <v>0</v>
      </c>
      <c r="T364" s="4">
        <v>0</v>
      </c>
      <c r="U364" s="4">
        <v>115.9551</v>
      </c>
      <c r="V364" s="4">
        <v>120</v>
      </c>
      <c r="W364" s="4">
        <v>0</v>
      </c>
      <c r="X364" s="4">
        <v>2</v>
      </c>
      <c r="Y364" s="4">
        <v>2</v>
      </c>
      <c r="Z364" s="4">
        <v>52</v>
      </c>
      <c r="AA364" s="5">
        <v>278</v>
      </c>
    </row>
    <row r="365" spans="1:27" x14ac:dyDescent="0.25">
      <c r="A365" t="s">
        <v>53</v>
      </c>
      <c r="B365">
        <v>1</v>
      </c>
      <c r="C365">
        <v>1</v>
      </c>
      <c r="D365">
        <v>0</v>
      </c>
      <c r="E365">
        <v>15</v>
      </c>
      <c r="F365">
        <v>26</v>
      </c>
      <c r="G365">
        <v>72.202820000000003</v>
      </c>
      <c r="H365">
        <v>280</v>
      </c>
      <c r="I365">
        <v>2</v>
      </c>
      <c r="J365">
        <v>2</v>
      </c>
      <c r="K365">
        <v>5</v>
      </c>
      <c r="L365">
        <v>40</v>
      </c>
      <c r="M365">
        <v>0</v>
      </c>
      <c r="O365" s="6" t="s">
        <v>52</v>
      </c>
      <c r="P365" s="7">
        <v>1</v>
      </c>
      <c r="Q365" s="7">
        <v>1</v>
      </c>
      <c r="R365" s="7">
        <v>0</v>
      </c>
      <c r="S365" s="7">
        <v>0</v>
      </c>
      <c r="T365" s="7">
        <v>0</v>
      </c>
      <c r="U365" s="7">
        <v>139.58459999999999</v>
      </c>
      <c r="V365" s="7">
        <v>200</v>
      </c>
      <c r="W365" s="7">
        <v>0</v>
      </c>
      <c r="X365" s="7">
        <v>2</v>
      </c>
      <c r="Y365" s="7">
        <v>1</v>
      </c>
      <c r="Z365" s="7">
        <v>47</v>
      </c>
      <c r="AA365" s="8">
        <v>281</v>
      </c>
    </row>
    <row r="366" spans="1:27" x14ac:dyDescent="0.25">
      <c r="A366" t="s">
        <v>53</v>
      </c>
      <c r="B366">
        <v>1</v>
      </c>
      <c r="C366">
        <v>1</v>
      </c>
      <c r="D366">
        <v>0</v>
      </c>
      <c r="E366">
        <v>4</v>
      </c>
      <c r="F366">
        <v>9</v>
      </c>
      <c r="G366">
        <v>28.829470000000001</v>
      </c>
      <c r="H366">
        <v>240</v>
      </c>
      <c r="I366">
        <v>2</v>
      </c>
      <c r="J366">
        <v>2</v>
      </c>
      <c r="K366">
        <v>1</v>
      </c>
      <c r="L366">
        <v>10</v>
      </c>
      <c r="M366">
        <v>0</v>
      </c>
      <c r="O366" s="3" t="s">
        <v>52</v>
      </c>
      <c r="P366" s="4">
        <v>0</v>
      </c>
      <c r="Q366" s="4">
        <v>1</v>
      </c>
      <c r="R366" s="4">
        <v>0</v>
      </c>
      <c r="S366" s="4">
        <v>0</v>
      </c>
      <c r="T366" s="4">
        <v>0</v>
      </c>
      <c r="U366" s="4">
        <v>84.896850000000001</v>
      </c>
      <c r="V366" s="4">
        <v>0</v>
      </c>
      <c r="W366" s="4">
        <v>0</v>
      </c>
      <c r="X366" s="4">
        <v>2</v>
      </c>
      <c r="Y366" s="4">
        <v>0</v>
      </c>
      <c r="Z366" s="4">
        <v>93</v>
      </c>
      <c r="AA366" s="5">
        <v>29</v>
      </c>
    </row>
    <row r="367" spans="1:27" x14ac:dyDescent="0.25">
      <c r="A367" t="s">
        <v>53</v>
      </c>
      <c r="B367">
        <v>0</v>
      </c>
      <c r="C367">
        <v>1</v>
      </c>
      <c r="D367">
        <v>0</v>
      </c>
      <c r="E367">
        <v>5</v>
      </c>
      <c r="F367">
        <v>11</v>
      </c>
      <c r="G367">
        <v>37.040280000000003</v>
      </c>
      <c r="H367">
        <v>120</v>
      </c>
      <c r="I367">
        <v>1</v>
      </c>
      <c r="J367">
        <v>1</v>
      </c>
      <c r="K367">
        <v>2</v>
      </c>
      <c r="L367">
        <v>16</v>
      </c>
      <c r="M367">
        <v>0</v>
      </c>
      <c r="O367" s="6" t="s">
        <v>52</v>
      </c>
      <c r="P367" s="7">
        <v>2</v>
      </c>
      <c r="Q367" s="7">
        <v>1</v>
      </c>
      <c r="R367" s="7">
        <v>0</v>
      </c>
      <c r="S367" s="7">
        <v>0</v>
      </c>
      <c r="T367" s="7">
        <v>0</v>
      </c>
      <c r="U367" s="7">
        <v>103.8796</v>
      </c>
      <c r="V367" s="7">
        <v>280</v>
      </c>
      <c r="W367" s="7">
        <v>0</v>
      </c>
      <c r="X367" s="7">
        <v>3</v>
      </c>
      <c r="Y367" s="7">
        <v>0</v>
      </c>
      <c r="Z367" s="7">
        <v>76</v>
      </c>
      <c r="AA367" s="8">
        <v>238</v>
      </c>
    </row>
    <row r="368" spans="1:27" x14ac:dyDescent="0.25">
      <c r="A368" t="s">
        <v>53</v>
      </c>
      <c r="B368">
        <v>0</v>
      </c>
      <c r="C368">
        <v>1</v>
      </c>
      <c r="D368">
        <v>0</v>
      </c>
      <c r="E368">
        <v>6</v>
      </c>
      <c r="F368">
        <v>10</v>
      </c>
      <c r="G368">
        <v>34.693240000000003</v>
      </c>
      <c r="H368">
        <v>160</v>
      </c>
      <c r="I368">
        <v>1</v>
      </c>
      <c r="J368">
        <v>1</v>
      </c>
      <c r="K368">
        <v>5</v>
      </c>
      <c r="L368">
        <v>13</v>
      </c>
      <c r="M368">
        <v>0</v>
      </c>
      <c r="O368" s="3" t="s">
        <v>52</v>
      </c>
      <c r="P368" s="4">
        <v>0</v>
      </c>
      <c r="Q368" s="4">
        <v>4</v>
      </c>
      <c r="R368" s="4">
        <v>1</v>
      </c>
      <c r="S368" s="4">
        <v>0</v>
      </c>
      <c r="T368" s="4">
        <v>0</v>
      </c>
      <c r="U368" s="4">
        <v>14.910640000000001</v>
      </c>
      <c r="V368" s="4">
        <v>80</v>
      </c>
      <c r="W368" s="4">
        <v>0</v>
      </c>
      <c r="X368" s="4">
        <v>1</v>
      </c>
      <c r="Y368" s="4">
        <v>0</v>
      </c>
      <c r="Z368" s="4">
        <v>3</v>
      </c>
      <c r="AA368" s="5">
        <v>4</v>
      </c>
    </row>
    <row r="369" spans="1:27" x14ac:dyDescent="0.25">
      <c r="A369" t="s">
        <v>53</v>
      </c>
      <c r="B369">
        <v>0</v>
      </c>
      <c r="C369">
        <v>2</v>
      </c>
      <c r="D369">
        <v>0</v>
      </c>
      <c r="E369">
        <v>19</v>
      </c>
      <c r="F369">
        <v>39</v>
      </c>
      <c r="G369">
        <v>77.542479999999998</v>
      </c>
      <c r="H369">
        <v>280</v>
      </c>
      <c r="I369">
        <v>1</v>
      </c>
      <c r="J369">
        <v>1</v>
      </c>
      <c r="K369">
        <v>9</v>
      </c>
      <c r="L369">
        <v>52</v>
      </c>
      <c r="M369">
        <v>0</v>
      </c>
      <c r="O369" s="6" t="s">
        <v>52</v>
      </c>
      <c r="P369" s="7">
        <v>1</v>
      </c>
      <c r="Q369" s="7">
        <v>2</v>
      </c>
      <c r="R369" s="7">
        <v>1</v>
      </c>
      <c r="S369" s="7">
        <v>0</v>
      </c>
      <c r="T369" s="7">
        <v>0</v>
      </c>
      <c r="U369" s="7">
        <v>14.022460000000001</v>
      </c>
      <c r="V369" s="7">
        <v>120</v>
      </c>
      <c r="W369" s="7">
        <v>0</v>
      </c>
      <c r="X369" s="7">
        <v>1</v>
      </c>
      <c r="Y369" s="7">
        <v>0</v>
      </c>
      <c r="Z369" s="7">
        <v>5</v>
      </c>
      <c r="AA369" s="8">
        <v>17</v>
      </c>
    </row>
    <row r="370" spans="1:27" x14ac:dyDescent="0.25">
      <c r="A370" t="s">
        <v>53</v>
      </c>
      <c r="B370">
        <v>0</v>
      </c>
      <c r="C370">
        <v>1</v>
      </c>
      <c r="D370">
        <v>0</v>
      </c>
      <c r="E370">
        <v>8</v>
      </c>
      <c r="F370">
        <v>15</v>
      </c>
      <c r="G370">
        <v>48.243160000000003</v>
      </c>
      <c r="H370">
        <v>120</v>
      </c>
      <c r="I370">
        <v>1</v>
      </c>
      <c r="J370">
        <v>1</v>
      </c>
      <c r="K370">
        <v>3</v>
      </c>
      <c r="L370">
        <v>30</v>
      </c>
      <c r="M370">
        <v>0</v>
      </c>
      <c r="O370" s="3" t="s">
        <v>52</v>
      </c>
      <c r="P370" s="4">
        <v>0</v>
      </c>
      <c r="Q370" s="4">
        <v>1</v>
      </c>
      <c r="R370" s="4">
        <v>0</v>
      </c>
      <c r="S370" s="4">
        <v>0</v>
      </c>
      <c r="T370" s="4">
        <v>0</v>
      </c>
      <c r="U370" s="4">
        <v>61.824710000000003</v>
      </c>
      <c r="V370" s="4">
        <v>40</v>
      </c>
      <c r="W370" s="4">
        <v>0</v>
      </c>
      <c r="X370" s="4">
        <v>1</v>
      </c>
      <c r="Y370" s="4">
        <v>1</v>
      </c>
      <c r="Z370" s="4">
        <v>64</v>
      </c>
      <c r="AA370" s="5">
        <v>109</v>
      </c>
    </row>
    <row r="371" spans="1:27" x14ac:dyDescent="0.25">
      <c r="A371" t="s">
        <v>53</v>
      </c>
      <c r="B371">
        <v>0</v>
      </c>
      <c r="C371">
        <v>1</v>
      </c>
      <c r="D371">
        <v>0</v>
      </c>
      <c r="E371">
        <v>7</v>
      </c>
      <c r="F371">
        <v>14</v>
      </c>
      <c r="G371">
        <v>44.533810000000003</v>
      </c>
      <c r="H371">
        <v>80</v>
      </c>
      <c r="I371">
        <v>1</v>
      </c>
      <c r="J371">
        <v>1</v>
      </c>
      <c r="K371">
        <v>1</v>
      </c>
      <c r="L371">
        <v>15</v>
      </c>
      <c r="M371">
        <v>0</v>
      </c>
      <c r="O371" s="6" t="s">
        <v>52</v>
      </c>
      <c r="P371" s="7">
        <v>2</v>
      </c>
      <c r="Q371" s="7">
        <v>4</v>
      </c>
      <c r="R371" s="7">
        <v>1</v>
      </c>
      <c r="S371" s="7">
        <v>0</v>
      </c>
      <c r="T371" s="7">
        <v>0</v>
      </c>
      <c r="U371" s="7">
        <v>41.129390000000001</v>
      </c>
      <c r="V371" s="7">
        <v>320</v>
      </c>
      <c r="W371" s="7">
        <v>0</v>
      </c>
      <c r="X371" s="7">
        <v>2</v>
      </c>
      <c r="Y371" s="7">
        <v>1</v>
      </c>
      <c r="Z371" s="7">
        <v>39</v>
      </c>
      <c r="AA371" s="8">
        <v>75</v>
      </c>
    </row>
    <row r="372" spans="1:27" x14ac:dyDescent="0.25">
      <c r="A372" t="s">
        <v>53</v>
      </c>
      <c r="B372">
        <v>0</v>
      </c>
      <c r="C372">
        <v>1</v>
      </c>
      <c r="D372">
        <v>0</v>
      </c>
      <c r="E372">
        <v>4</v>
      </c>
      <c r="F372">
        <v>9</v>
      </c>
      <c r="G372">
        <v>48.923340000000003</v>
      </c>
      <c r="H372">
        <v>80</v>
      </c>
      <c r="I372">
        <v>1</v>
      </c>
      <c r="J372">
        <v>1</v>
      </c>
      <c r="K372">
        <v>2</v>
      </c>
      <c r="L372">
        <v>13</v>
      </c>
      <c r="M372">
        <v>0</v>
      </c>
      <c r="O372" s="3" t="s">
        <v>52</v>
      </c>
      <c r="P372" s="4">
        <v>0</v>
      </c>
      <c r="Q372" s="4">
        <v>1</v>
      </c>
      <c r="R372" s="4">
        <v>0</v>
      </c>
      <c r="S372" s="4">
        <v>0</v>
      </c>
      <c r="T372" s="4">
        <v>0</v>
      </c>
      <c r="U372" s="4">
        <v>86.384280000000004</v>
      </c>
      <c r="V372" s="4">
        <v>80</v>
      </c>
      <c r="W372" s="4">
        <v>0</v>
      </c>
      <c r="X372" s="4">
        <v>1</v>
      </c>
      <c r="Y372" s="4">
        <v>1</v>
      </c>
      <c r="Z372" s="4">
        <v>68</v>
      </c>
      <c r="AA372" s="5">
        <v>166</v>
      </c>
    </row>
    <row r="373" spans="1:27" x14ac:dyDescent="0.25">
      <c r="A373" t="s">
        <v>53</v>
      </c>
      <c r="B373">
        <v>0</v>
      </c>
      <c r="C373">
        <v>3</v>
      </c>
      <c r="D373">
        <v>0</v>
      </c>
      <c r="E373">
        <v>4</v>
      </c>
      <c r="F373">
        <v>10</v>
      </c>
      <c r="G373">
        <v>39.011839999999999</v>
      </c>
      <c r="H373">
        <v>0</v>
      </c>
      <c r="I373">
        <v>1</v>
      </c>
      <c r="J373">
        <v>1</v>
      </c>
      <c r="K373">
        <v>0</v>
      </c>
      <c r="L373">
        <v>39</v>
      </c>
      <c r="M373">
        <v>0</v>
      </c>
      <c r="O373" s="6" t="s">
        <v>52</v>
      </c>
      <c r="P373" s="7">
        <v>1</v>
      </c>
      <c r="Q373" s="7">
        <v>3</v>
      </c>
      <c r="R373" s="7">
        <v>1</v>
      </c>
      <c r="S373" s="7">
        <v>1</v>
      </c>
      <c r="T373" s="7">
        <v>32</v>
      </c>
      <c r="U373" s="7">
        <v>50.173340000000003</v>
      </c>
      <c r="V373" s="7">
        <v>200</v>
      </c>
      <c r="W373" s="7">
        <v>0</v>
      </c>
      <c r="X373" s="7">
        <v>2</v>
      </c>
      <c r="Y373" s="7">
        <v>1</v>
      </c>
      <c r="Z373" s="7">
        <v>78</v>
      </c>
      <c r="AA373" s="8">
        <v>73</v>
      </c>
    </row>
    <row r="374" spans="1:27" x14ac:dyDescent="0.25">
      <c r="A374" t="s">
        <v>53</v>
      </c>
      <c r="B374">
        <v>4</v>
      </c>
      <c r="C374">
        <v>4</v>
      </c>
      <c r="D374">
        <v>0</v>
      </c>
      <c r="E374">
        <v>21</v>
      </c>
      <c r="F374">
        <v>34</v>
      </c>
      <c r="G374">
        <v>131.82320000000001</v>
      </c>
      <c r="H374">
        <v>880</v>
      </c>
      <c r="I374">
        <v>5</v>
      </c>
      <c r="J374">
        <v>5</v>
      </c>
      <c r="K374">
        <v>17</v>
      </c>
      <c r="L374">
        <v>86</v>
      </c>
      <c r="M374">
        <v>0</v>
      </c>
      <c r="O374" s="3" t="s">
        <v>52</v>
      </c>
      <c r="P374" s="4">
        <v>2</v>
      </c>
      <c r="Q374" s="4">
        <v>3</v>
      </c>
      <c r="R374" s="4">
        <v>1</v>
      </c>
      <c r="S374" s="4">
        <v>0</v>
      </c>
      <c r="T374" s="4">
        <v>0</v>
      </c>
      <c r="U374" s="4">
        <v>92.186520000000002</v>
      </c>
      <c r="V374" s="4">
        <v>240</v>
      </c>
      <c r="W374" s="4">
        <v>0</v>
      </c>
      <c r="X374" s="4">
        <v>2</v>
      </c>
      <c r="Y374" s="4">
        <v>0</v>
      </c>
      <c r="Z374" s="4">
        <v>58</v>
      </c>
      <c r="AA374" s="5">
        <v>135</v>
      </c>
    </row>
    <row r="375" spans="1:27" x14ac:dyDescent="0.25">
      <c r="A375" t="s">
        <v>53</v>
      </c>
      <c r="B375">
        <v>0</v>
      </c>
      <c r="C375">
        <v>3</v>
      </c>
      <c r="D375">
        <v>0</v>
      </c>
      <c r="E375">
        <v>7</v>
      </c>
      <c r="F375">
        <v>15</v>
      </c>
      <c r="G375">
        <v>47.343020000000003</v>
      </c>
      <c r="H375">
        <v>200</v>
      </c>
      <c r="I375">
        <v>1</v>
      </c>
      <c r="J375">
        <v>1</v>
      </c>
      <c r="K375">
        <v>3</v>
      </c>
      <c r="L375">
        <v>31</v>
      </c>
      <c r="M375">
        <v>1</v>
      </c>
      <c r="O375" s="6" t="s">
        <v>52</v>
      </c>
      <c r="P375" s="7">
        <v>0</v>
      </c>
      <c r="Q375" s="7">
        <v>1</v>
      </c>
      <c r="R375" s="7">
        <v>0</v>
      </c>
      <c r="S375" s="7">
        <v>0</v>
      </c>
      <c r="T375" s="7">
        <v>0</v>
      </c>
      <c r="U375" s="7">
        <v>80.691159999999996</v>
      </c>
      <c r="V375" s="7">
        <v>120</v>
      </c>
      <c r="W375" s="7">
        <v>0</v>
      </c>
      <c r="X375" s="7">
        <v>1</v>
      </c>
      <c r="Y375" s="7">
        <v>2</v>
      </c>
      <c r="Z375" s="7">
        <v>42</v>
      </c>
      <c r="AA375" s="8">
        <v>94</v>
      </c>
    </row>
    <row r="376" spans="1:27" x14ac:dyDescent="0.25">
      <c r="A376" t="s">
        <v>53</v>
      </c>
      <c r="B376">
        <v>0</v>
      </c>
      <c r="C376">
        <v>2</v>
      </c>
      <c r="D376">
        <v>0</v>
      </c>
      <c r="E376">
        <v>7</v>
      </c>
      <c r="F376">
        <v>3</v>
      </c>
      <c r="G376">
        <v>19.335570000000001</v>
      </c>
      <c r="H376">
        <v>120</v>
      </c>
      <c r="I376">
        <v>1</v>
      </c>
      <c r="J376">
        <v>1</v>
      </c>
      <c r="K376">
        <v>3</v>
      </c>
      <c r="L376">
        <v>19</v>
      </c>
      <c r="M376">
        <v>0</v>
      </c>
      <c r="O376" s="3" t="s">
        <v>52</v>
      </c>
      <c r="P376" s="4">
        <v>0</v>
      </c>
      <c r="Q376" s="4">
        <v>1</v>
      </c>
      <c r="R376" s="4">
        <v>0</v>
      </c>
      <c r="S376" s="4">
        <v>0</v>
      </c>
      <c r="T376" s="4">
        <v>0</v>
      </c>
      <c r="U376" s="4">
        <v>79.347409999999996</v>
      </c>
      <c r="V376" s="4">
        <v>40</v>
      </c>
      <c r="W376" s="4">
        <v>0</v>
      </c>
      <c r="X376" s="4">
        <v>1</v>
      </c>
      <c r="Y376" s="4">
        <v>1</v>
      </c>
      <c r="Z376" s="4">
        <v>103</v>
      </c>
      <c r="AA376" s="5">
        <v>124</v>
      </c>
    </row>
    <row r="377" spans="1:27" x14ac:dyDescent="0.25">
      <c r="A377" t="s">
        <v>53</v>
      </c>
      <c r="B377">
        <v>0</v>
      </c>
      <c r="C377">
        <v>1</v>
      </c>
      <c r="D377">
        <v>0</v>
      </c>
      <c r="E377">
        <v>5</v>
      </c>
      <c r="F377">
        <v>11</v>
      </c>
      <c r="G377">
        <v>38.709960000000002</v>
      </c>
      <c r="H377">
        <v>80</v>
      </c>
      <c r="I377">
        <v>1</v>
      </c>
      <c r="J377">
        <v>1</v>
      </c>
      <c r="K377">
        <v>2</v>
      </c>
      <c r="L377">
        <v>17</v>
      </c>
      <c r="M377">
        <v>0</v>
      </c>
      <c r="O377" s="6" t="s">
        <v>52</v>
      </c>
      <c r="P377" s="7">
        <v>0</v>
      </c>
      <c r="Q377" s="7">
        <v>1</v>
      </c>
      <c r="R377" s="7">
        <v>0</v>
      </c>
      <c r="S377" s="7">
        <v>0</v>
      </c>
      <c r="T377" s="7">
        <v>0</v>
      </c>
      <c r="U377" s="7">
        <v>54.069580000000002</v>
      </c>
      <c r="V377" s="7">
        <v>44</v>
      </c>
      <c r="W377" s="7">
        <v>0</v>
      </c>
      <c r="X377" s="7">
        <v>1</v>
      </c>
      <c r="Y377" s="7">
        <v>0</v>
      </c>
      <c r="Z377" s="7">
        <v>70</v>
      </c>
      <c r="AA377" s="8">
        <v>7</v>
      </c>
    </row>
    <row r="378" spans="1:27" x14ac:dyDescent="0.25">
      <c r="A378" t="s">
        <v>53</v>
      </c>
      <c r="B378">
        <v>0</v>
      </c>
      <c r="C378">
        <v>2</v>
      </c>
      <c r="D378">
        <v>0</v>
      </c>
      <c r="E378">
        <v>9</v>
      </c>
      <c r="F378">
        <v>18</v>
      </c>
      <c r="G378">
        <v>52.152709999999999</v>
      </c>
      <c r="H378">
        <v>240</v>
      </c>
      <c r="I378">
        <v>1</v>
      </c>
      <c r="J378">
        <v>1</v>
      </c>
      <c r="K378">
        <v>9</v>
      </c>
      <c r="L378">
        <v>29</v>
      </c>
      <c r="M378">
        <v>0</v>
      </c>
      <c r="O378" s="3" t="s">
        <v>52</v>
      </c>
      <c r="P378" s="4">
        <v>1</v>
      </c>
      <c r="Q378" s="4">
        <v>2</v>
      </c>
      <c r="R378" s="4">
        <v>1</v>
      </c>
      <c r="S378" s="4">
        <v>0</v>
      </c>
      <c r="T378" s="4">
        <v>0</v>
      </c>
      <c r="U378" s="4">
        <v>24.535160000000001</v>
      </c>
      <c r="V378" s="4">
        <v>160</v>
      </c>
      <c r="W378" s="4">
        <v>0</v>
      </c>
      <c r="X378" s="4">
        <v>2</v>
      </c>
      <c r="Y378" s="4">
        <v>1</v>
      </c>
      <c r="Z378" s="4">
        <v>9</v>
      </c>
      <c r="AA378" s="5">
        <v>9</v>
      </c>
    </row>
    <row r="379" spans="1:27" x14ac:dyDescent="0.25">
      <c r="A379" t="s">
        <v>53</v>
      </c>
      <c r="B379">
        <v>0</v>
      </c>
      <c r="C379">
        <v>1</v>
      </c>
      <c r="D379">
        <v>0</v>
      </c>
      <c r="E379">
        <v>10</v>
      </c>
      <c r="F379">
        <v>24</v>
      </c>
      <c r="G379">
        <v>64.56335</v>
      </c>
      <c r="H379">
        <v>80</v>
      </c>
      <c r="I379">
        <v>1</v>
      </c>
      <c r="J379">
        <v>1</v>
      </c>
      <c r="K379">
        <v>4</v>
      </c>
      <c r="L379">
        <v>15</v>
      </c>
      <c r="M379">
        <v>0</v>
      </c>
      <c r="O379" s="10" t="s">
        <v>12</v>
      </c>
      <c r="P379" s="9">
        <f t="shared" ref="P379:AA379" si="14">AVERAGE(P355:P378)</f>
        <v>1.375</v>
      </c>
      <c r="Q379" s="9">
        <f t="shared" si="14"/>
        <v>2.0833333333333335</v>
      </c>
      <c r="R379" s="9">
        <f t="shared" si="14"/>
        <v>0.41666666666666669</v>
      </c>
      <c r="S379" s="9">
        <f t="shared" si="14"/>
        <v>2.125</v>
      </c>
      <c r="T379" s="9">
        <f t="shared" si="14"/>
        <v>77.125</v>
      </c>
      <c r="U379" s="9">
        <f t="shared" si="14"/>
        <v>97.255400416666646</v>
      </c>
      <c r="V379" s="9">
        <f t="shared" si="14"/>
        <v>216.83333333333334</v>
      </c>
      <c r="W379" s="9">
        <f t="shared" si="14"/>
        <v>0.20833333333333334</v>
      </c>
      <c r="X379" s="9">
        <f t="shared" si="14"/>
        <v>2.4583333333333335</v>
      </c>
      <c r="Y379" s="9">
        <f t="shared" si="14"/>
        <v>1</v>
      </c>
      <c r="Z379" s="9">
        <f t="shared" si="14"/>
        <v>55.625</v>
      </c>
      <c r="AA379" s="9">
        <f t="shared" si="14"/>
        <v>136.58333333333334</v>
      </c>
    </row>
    <row r="380" spans="1:27" x14ac:dyDescent="0.25">
      <c r="A380" t="s">
        <v>53</v>
      </c>
      <c r="B380">
        <v>0</v>
      </c>
      <c r="C380">
        <v>2</v>
      </c>
      <c r="D380">
        <v>0</v>
      </c>
      <c r="E380">
        <v>11</v>
      </c>
      <c r="F380">
        <v>19</v>
      </c>
      <c r="G380">
        <v>56.6449</v>
      </c>
      <c r="H380">
        <v>240</v>
      </c>
      <c r="I380">
        <v>3</v>
      </c>
      <c r="J380">
        <v>1</v>
      </c>
      <c r="K380">
        <v>4</v>
      </c>
      <c r="L380">
        <v>17</v>
      </c>
      <c r="M380">
        <v>0</v>
      </c>
      <c r="O380" s="6" t="s">
        <v>53</v>
      </c>
      <c r="P380" s="7">
        <v>10</v>
      </c>
      <c r="Q380" s="7">
        <v>2</v>
      </c>
      <c r="R380" s="7">
        <v>0</v>
      </c>
      <c r="S380" s="7">
        <v>65</v>
      </c>
      <c r="T380" s="7">
        <v>97</v>
      </c>
      <c r="U380" s="7">
        <v>487.0625</v>
      </c>
      <c r="V380" s="7">
        <v>1280</v>
      </c>
      <c r="W380" s="7">
        <v>4</v>
      </c>
      <c r="X380" s="7">
        <v>13</v>
      </c>
      <c r="Y380" s="7">
        <v>0</v>
      </c>
      <c r="Z380" s="7">
        <v>94</v>
      </c>
      <c r="AA380" s="8">
        <v>56</v>
      </c>
    </row>
    <row r="381" spans="1:27" x14ac:dyDescent="0.25">
      <c r="A381" t="s">
        <v>53</v>
      </c>
      <c r="B381">
        <v>0</v>
      </c>
      <c r="C381">
        <v>2</v>
      </c>
      <c r="D381">
        <v>0</v>
      </c>
      <c r="E381">
        <v>6</v>
      </c>
      <c r="F381">
        <v>10</v>
      </c>
      <c r="G381">
        <v>40.65784</v>
      </c>
      <c r="H381">
        <v>120</v>
      </c>
      <c r="I381">
        <v>1</v>
      </c>
      <c r="J381">
        <v>1</v>
      </c>
      <c r="K381">
        <v>3</v>
      </c>
      <c r="L381">
        <v>16</v>
      </c>
      <c r="M381">
        <v>0</v>
      </c>
      <c r="O381" s="3" t="s">
        <v>53</v>
      </c>
      <c r="P381" s="4">
        <v>6</v>
      </c>
      <c r="Q381" s="4">
        <v>4</v>
      </c>
      <c r="R381" s="4">
        <v>0</v>
      </c>
      <c r="S381" s="4">
        <v>63</v>
      </c>
      <c r="T381" s="4">
        <v>109</v>
      </c>
      <c r="U381" s="4">
        <v>292.43869999999998</v>
      </c>
      <c r="V381" s="4">
        <v>520</v>
      </c>
      <c r="W381" s="4">
        <v>7</v>
      </c>
      <c r="X381" s="4">
        <v>7</v>
      </c>
      <c r="Y381" s="4">
        <v>1</v>
      </c>
      <c r="Z381" s="4">
        <v>75</v>
      </c>
      <c r="AA381" s="5">
        <v>1</v>
      </c>
    </row>
    <row r="382" spans="1:27" x14ac:dyDescent="0.25">
      <c r="A382" t="s">
        <v>53</v>
      </c>
      <c r="B382">
        <v>0</v>
      </c>
      <c r="C382">
        <v>2</v>
      </c>
      <c r="D382">
        <v>0</v>
      </c>
      <c r="E382">
        <v>12</v>
      </c>
      <c r="F382">
        <v>21</v>
      </c>
      <c r="G382">
        <v>57.358519999999999</v>
      </c>
      <c r="H382">
        <v>200</v>
      </c>
      <c r="I382">
        <v>1</v>
      </c>
      <c r="J382">
        <v>1</v>
      </c>
      <c r="K382">
        <v>9</v>
      </c>
      <c r="L382">
        <v>16</v>
      </c>
      <c r="M382">
        <v>1</v>
      </c>
      <c r="O382" s="6" t="s">
        <v>53</v>
      </c>
      <c r="P382" s="7">
        <v>0</v>
      </c>
      <c r="Q382" s="7">
        <v>1</v>
      </c>
      <c r="R382" s="7">
        <v>0</v>
      </c>
      <c r="S382" s="7">
        <v>10</v>
      </c>
      <c r="T382" s="7">
        <v>19</v>
      </c>
      <c r="U382" s="7">
        <v>62.211300000000001</v>
      </c>
      <c r="V382" s="7">
        <v>40</v>
      </c>
      <c r="W382" s="7">
        <v>1</v>
      </c>
      <c r="X382" s="7">
        <v>1</v>
      </c>
      <c r="Y382" s="7">
        <v>0</v>
      </c>
      <c r="Z382" s="7">
        <v>16</v>
      </c>
      <c r="AA382" s="8">
        <v>0</v>
      </c>
    </row>
    <row r="383" spans="1:27" x14ac:dyDescent="0.25">
      <c r="A383" t="s">
        <v>53</v>
      </c>
      <c r="B383">
        <v>0</v>
      </c>
      <c r="C383">
        <v>1</v>
      </c>
      <c r="D383">
        <v>0</v>
      </c>
      <c r="E383">
        <v>5</v>
      </c>
      <c r="F383">
        <v>11</v>
      </c>
      <c r="G383">
        <v>24.58154</v>
      </c>
      <c r="H383">
        <v>0</v>
      </c>
      <c r="I383">
        <v>1</v>
      </c>
      <c r="J383">
        <v>1</v>
      </c>
      <c r="K383">
        <v>0</v>
      </c>
      <c r="L383">
        <v>12</v>
      </c>
      <c r="M383">
        <v>0</v>
      </c>
      <c r="O383" s="3" t="s">
        <v>53</v>
      </c>
      <c r="P383" s="4">
        <v>1</v>
      </c>
      <c r="Q383" s="4">
        <v>1</v>
      </c>
      <c r="R383" s="4">
        <v>0</v>
      </c>
      <c r="S383" s="4">
        <v>15</v>
      </c>
      <c r="T383" s="4">
        <v>26</v>
      </c>
      <c r="U383" s="4">
        <v>72.202820000000003</v>
      </c>
      <c r="V383" s="4">
        <v>280</v>
      </c>
      <c r="W383" s="4">
        <v>2</v>
      </c>
      <c r="X383" s="4">
        <v>2</v>
      </c>
      <c r="Y383" s="4">
        <v>5</v>
      </c>
      <c r="Z383" s="4">
        <v>40</v>
      </c>
      <c r="AA383" s="5">
        <v>0</v>
      </c>
    </row>
    <row r="384" spans="1:27" x14ac:dyDescent="0.25">
      <c r="A384" t="s">
        <v>53</v>
      </c>
      <c r="B384">
        <v>1</v>
      </c>
      <c r="C384">
        <v>3</v>
      </c>
      <c r="D384">
        <v>0</v>
      </c>
      <c r="E384">
        <v>17</v>
      </c>
      <c r="F384">
        <v>18</v>
      </c>
      <c r="G384">
        <v>67.342770000000002</v>
      </c>
      <c r="H384">
        <v>330</v>
      </c>
      <c r="I384">
        <v>2</v>
      </c>
      <c r="J384">
        <v>2</v>
      </c>
      <c r="K384">
        <v>8</v>
      </c>
      <c r="L384">
        <v>42</v>
      </c>
      <c r="M384">
        <v>0</v>
      </c>
      <c r="O384" s="6" t="s">
        <v>53</v>
      </c>
      <c r="P384" s="7">
        <v>1</v>
      </c>
      <c r="Q384" s="7">
        <v>1</v>
      </c>
      <c r="R384" s="7">
        <v>0</v>
      </c>
      <c r="S384" s="7">
        <v>4</v>
      </c>
      <c r="T384" s="7">
        <v>9</v>
      </c>
      <c r="U384" s="7">
        <v>28.829470000000001</v>
      </c>
      <c r="V384" s="7">
        <v>240</v>
      </c>
      <c r="W384" s="7">
        <v>2</v>
      </c>
      <c r="X384" s="7">
        <v>2</v>
      </c>
      <c r="Y384" s="7">
        <v>1</v>
      </c>
      <c r="Z384" s="7">
        <v>10</v>
      </c>
      <c r="AA384" s="8">
        <v>0</v>
      </c>
    </row>
    <row r="385" spans="1:27" x14ac:dyDescent="0.25">
      <c r="A385" t="s">
        <v>53</v>
      </c>
      <c r="B385">
        <v>0</v>
      </c>
      <c r="C385">
        <v>2</v>
      </c>
      <c r="D385">
        <v>0</v>
      </c>
      <c r="E385">
        <v>9</v>
      </c>
      <c r="F385">
        <v>17</v>
      </c>
      <c r="G385">
        <v>66.193359999999998</v>
      </c>
      <c r="H385">
        <v>160</v>
      </c>
      <c r="I385">
        <v>1</v>
      </c>
      <c r="J385">
        <v>1</v>
      </c>
      <c r="K385">
        <v>4</v>
      </c>
      <c r="L385">
        <v>45</v>
      </c>
      <c r="M385">
        <v>0</v>
      </c>
      <c r="O385" s="3" t="s">
        <v>53</v>
      </c>
      <c r="P385" s="4">
        <v>0</v>
      </c>
      <c r="Q385" s="4">
        <v>1</v>
      </c>
      <c r="R385" s="4">
        <v>0</v>
      </c>
      <c r="S385" s="4">
        <v>5</v>
      </c>
      <c r="T385" s="4">
        <v>11</v>
      </c>
      <c r="U385" s="4">
        <v>37.040280000000003</v>
      </c>
      <c r="V385" s="4">
        <v>120</v>
      </c>
      <c r="W385" s="4">
        <v>1</v>
      </c>
      <c r="X385" s="4">
        <v>1</v>
      </c>
      <c r="Y385" s="4">
        <v>2</v>
      </c>
      <c r="Z385" s="4">
        <v>16</v>
      </c>
      <c r="AA385" s="5">
        <v>0</v>
      </c>
    </row>
    <row r="386" spans="1:27" x14ac:dyDescent="0.25">
      <c r="A386" t="s">
        <v>54</v>
      </c>
      <c r="B386">
        <v>3</v>
      </c>
      <c r="C386">
        <v>2</v>
      </c>
      <c r="D386">
        <v>0</v>
      </c>
      <c r="E386">
        <v>104</v>
      </c>
      <c r="F386">
        <v>291</v>
      </c>
      <c r="G386">
        <v>203.2704</v>
      </c>
      <c r="H386">
        <v>880</v>
      </c>
      <c r="I386">
        <v>3</v>
      </c>
      <c r="J386">
        <v>4</v>
      </c>
      <c r="K386">
        <v>11</v>
      </c>
      <c r="L386">
        <v>46</v>
      </c>
      <c r="M386">
        <v>0</v>
      </c>
      <c r="O386" s="6" t="s">
        <v>53</v>
      </c>
      <c r="P386" s="7">
        <v>0</v>
      </c>
      <c r="Q386" s="7">
        <v>1</v>
      </c>
      <c r="R386" s="7">
        <v>0</v>
      </c>
      <c r="S386" s="7">
        <v>6</v>
      </c>
      <c r="T386" s="7">
        <v>10</v>
      </c>
      <c r="U386" s="7">
        <v>34.693240000000003</v>
      </c>
      <c r="V386" s="7">
        <v>160</v>
      </c>
      <c r="W386" s="7">
        <v>1</v>
      </c>
      <c r="X386" s="7">
        <v>1</v>
      </c>
      <c r="Y386" s="7">
        <v>5</v>
      </c>
      <c r="Z386" s="7">
        <v>13</v>
      </c>
      <c r="AA386" s="8">
        <v>0</v>
      </c>
    </row>
    <row r="387" spans="1:27" x14ac:dyDescent="0.25">
      <c r="A387" t="s">
        <v>54</v>
      </c>
      <c r="B387">
        <v>3</v>
      </c>
      <c r="C387">
        <v>3</v>
      </c>
      <c r="D387">
        <v>0</v>
      </c>
      <c r="E387">
        <v>54</v>
      </c>
      <c r="F387">
        <v>173</v>
      </c>
      <c r="G387">
        <v>188.93819999999999</v>
      </c>
      <c r="H387">
        <v>680</v>
      </c>
      <c r="I387">
        <v>6</v>
      </c>
      <c r="J387">
        <v>7</v>
      </c>
      <c r="K387">
        <v>9</v>
      </c>
      <c r="L387">
        <v>44</v>
      </c>
      <c r="M387">
        <v>0</v>
      </c>
      <c r="O387" s="3" t="s">
        <v>53</v>
      </c>
      <c r="P387" s="4">
        <v>0</v>
      </c>
      <c r="Q387" s="4">
        <v>2</v>
      </c>
      <c r="R387" s="4">
        <v>0</v>
      </c>
      <c r="S387" s="4">
        <v>19</v>
      </c>
      <c r="T387" s="4">
        <v>39</v>
      </c>
      <c r="U387" s="4">
        <v>77.542479999999998</v>
      </c>
      <c r="V387" s="4">
        <v>280</v>
      </c>
      <c r="W387" s="4">
        <v>1</v>
      </c>
      <c r="X387" s="4">
        <v>1</v>
      </c>
      <c r="Y387" s="4">
        <v>9</v>
      </c>
      <c r="Z387" s="4">
        <v>52</v>
      </c>
      <c r="AA387" s="5">
        <v>0</v>
      </c>
    </row>
    <row r="388" spans="1:27" x14ac:dyDescent="0.25">
      <c r="A388" t="s">
        <v>54</v>
      </c>
      <c r="B388">
        <v>0</v>
      </c>
      <c r="C388">
        <v>1</v>
      </c>
      <c r="D388">
        <v>0</v>
      </c>
      <c r="E388">
        <v>18</v>
      </c>
      <c r="F388">
        <v>51</v>
      </c>
      <c r="G388">
        <v>76.376649999999998</v>
      </c>
      <c r="H388">
        <v>200</v>
      </c>
      <c r="I388">
        <v>1</v>
      </c>
      <c r="J388">
        <v>3</v>
      </c>
      <c r="K388">
        <v>4</v>
      </c>
      <c r="L388">
        <v>15</v>
      </c>
      <c r="M388">
        <v>0</v>
      </c>
      <c r="O388" s="6" t="s">
        <v>53</v>
      </c>
      <c r="P388" s="7">
        <v>0</v>
      </c>
      <c r="Q388" s="7">
        <v>1</v>
      </c>
      <c r="R388" s="7">
        <v>0</v>
      </c>
      <c r="S388" s="7">
        <v>8</v>
      </c>
      <c r="T388" s="7">
        <v>15</v>
      </c>
      <c r="U388" s="7">
        <v>48.243160000000003</v>
      </c>
      <c r="V388" s="7">
        <v>120</v>
      </c>
      <c r="W388" s="7">
        <v>1</v>
      </c>
      <c r="X388" s="7">
        <v>1</v>
      </c>
      <c r="Y388" s="7">
        <v>3</v>
      </c>
      <c r="Z388" s="7">
        <v>30</v>
      </c>
      <c r="AA388" s="8">
        <v>0</v>
      </c>
    </row>
    <row r="389" spans="1:27" x14ac:dyDescent="0.25">
      <c r="A389" t="s">
        <v>54</v>
      </c>
      <c r="B389">
        <v>0</v>
      </c>
      <c r="C389">
        <v>1</v>
      </c>
      <c r="D389">
        <v>0</v>
      </c>
      <c r="E389">
        <v>11</v>
      </c>
      <c r="F389">
        <v>33</v>
      </c>
      <c r="G389">
        <v>48.377200000000002</v>
      </c>
      <c r="H389">
        <v>120</v>
      </c>
      <c r="I389">
        <v>1</v>
      </c>
      <c r="J389">
        <v>1</v>
      </c>
      <c r="K389">
        <v>2</v>
      </c>
      <c r="L389">
        <v>9</v>
      </c>
      <c r="M389">
        <v>0</v>
      </c>
      <c r="O389" s="3" t="s">
        <v>53</v>
      </c>
      <c r="P389" s="4">
        <v>0</v>
      </c>
      <c r="Q389" s="4">
        <v>1</v>
      </c>
      <c r="R389" s="4">
        <v>0</v>
      </c>
      <c r="S389" s="4">
        <v>7</v>
      </c>
      <c r="T389" s="4">
        <v>14</v>
      </c>
      <c r="U389" s="4">
        <v>44.533810000000003</v>
      </c>
      <c r="V389" s="4">
        <v>80</v>
      </c>
      <c r="W389" s="4">
        <v>1</v>
      </c>
      <c r="X389" s="4">
        <v>1</v>
      </c>
      <c r="Y389" s="4">
        <v>1</v>
      </c>
      <c r="Z389" s="4">
        <v>15</v>
      </c>
      <c r="AA389" s="5">
        <v>0</v>
      </c>
    </row>
    <row r="390" spans="1:27" x14ac:dyDescent="0.25">
      <c r="A390" t="s">
        <v>54</v>
      </c>
      <c r="B390">
        <v>0</v>
      </c>
      <c r="C390">
        <v>1</v>
      </c>
      <c r="D390">
        <v>0</v>
      </c>
      <c r="E390">
        <v>1</v>
      </c>
      <c r="F390">
        <v>4</v>
      </c>
      <c r="G390">
        <v>15.61975</v>
      </c>
      <c r="H390">
        <v>40</v>
      </c>
      <c r="I390">
        <v>1</v>
      </c>
      <c r="J390">
        <v>1</v>
      </c>
      <c r="K390">
        <v>0</v>
      </c>
      <c r="L390">
        <v>28</v>
      </c>
      <c r="M390">
        <v>0</v>
      </c>
      <c r="O390" s="6" t="s">
        <v>53</v>
      </c>
      <c r="P390" s="7">
        <v>0</v>
      </c>
      <c r="Q390" s="7">
        <v>1</v>
      </c>
      <c r="R390" s="7">
        <v>0</v>
      </c>
      <c r="S390" s="7">
        <v>4</v>
      </c>
      <c r="T390" s="7">
        <v>9</v>
      </c>
      <c r="U390" s="7">
        <v>48.923340000000003</v>
      </c>
      <c r="V390" s="7">
        <v>80</v>
      </c>
      <c r="W390" s="7">
        <v>1</v>
      </c>
      <c r="X390" s="7">
        <v>1</v>
      </c>
      <c r="Y390" s="7">
        <v>2</v>
      </c>
      <c r="Z390" s="7">
        <v>13</v>
      </c>
      <c r="AA390" s="8">
        <v>0</v>
      </c>
    </row>
    <row r="391" spans="1:27" x14ac:dyDescent="0.25">
      <c r="A391" t="s">
        <v>54</v>
      </c>
      <c r="B391">
        <v>0</v>
      </c>
      <c r="C391">
        <v>1</v>
      </c>
      <c r="D391">
        <v>0</v>
      </c>
      <c r="E391">
        <v>2</v>
      </c>
      <c r="F391">
        <v>3</v>
      </c>
      <c r="G391">
        <v>31.024170000000002</v>
      </c>
      <c r="H391">
        <v>80</v>
      </c>
      <c r="I391">
        <v>1</v>
      </c>
      <c r="J391">
        <v>2</v>
      </c>
      <c r="K391">
        <v>1</v>
      </c>
      <c r="L391">
        <v>49</v>
      </c>
      <c r="M391">
        <v>0</v>
      </c>
      <c r="O391" s="3" t="s">
        <v>53</v>
      </c>
      <c r="P391" s="4">
        <v>0</v>
      </c>
      <c r="Q391" s="4">
        <v>3</v>
      </c>
      <c r="R391" s="4">
        <v>0</v>
      </c>
      <c r="S391" s="4">
        <v>4</v>
      </c>
      <c r="T391" s="4">
        <v>10</v>
      </c>
      <c r="U391" s="4">
        <v>39.011839999999999</v>
      </c>
      <c r="V391" s="4">
        <v>0</v>
      </c>
      <c r="W391" s="4">
        <v>1</v>
      </c>
      <c r="X391" s="4">
        <v>1</v>
      </c>
      <c r="Y391" s="4">
        <v>0</v>
      </c>
      <c r="Z391" s="4">
        <v>39</v>
      </c>
      <c r="AA391" s="5">
        <v>0</v>
      </c>
    </row>
    <row r="392" spans="1:27" x14ac:dyDescent="0.25">
      <c r="A392" t="s">
        <v>54</v>
      </c>
      <c r="B392">
        <v>0</v>
      </c>
      <c r="C392">
        <v>1</v>
      </c>
      <c r="D392">
        <v>0</v>
      </c>
      <c r="E392">
        <v>3</v>
      </c>
      <c r="F392">
        <v>9</v>
      </c>
      <c r="G392">
        <v>43.022460000000002</v>
      </c>
      <c r="H392">
        <v>40</v>
      </c>
      <c r="I392">
        <v>1</v>
      </c>
      <c r="J392">
        <v>1</v>
      </c>
      <c r="K392">
        <v>0</v>
      </c>
      <c r="L392">
        <v>18</v>
      </c>
      <c r="M392">
        <v>0</v>
      </c>
      <c r="O392" s="6" t="s">
        <v>53</v>
      </c>
      <c r="P392" s="7">
        <v>4</v>
      </c>
      <c r="Q392" s="7">
        <v>4</v>
      </c>
      <c r="R392" s="7">
        <v>0</v>
      </c>
      <c r="S392" s="7">
        <v>21</v>
      </c>
      <c r="T392" s="7">
        <v>34</v>
      </c>
      <c r="U392" s="7">
        <v>131.82320000000001</v>
      </c>
      <c r="V392" s="7">
        <v>880</v>
      </c>
      <c r="W392" s="7">
        <v>5</v>
      </c>
      <c r="X392" s="7">
        <v>5</v>
      </c>
      <c r="Y392" s="7">
        <v>17</v>
      </c>
      <c r="Z392" s="7">
        <v>86</v>
      </c>
      <c r="AA392" s="8">
        <v>0</v>
      </c>
    </row>
    <row r="393" spans="1:27" x14ac:dyDescent="0.25">
      <c r="A393" t="s">
        <v>54</v>
      </c>
      <c r="B393">
        <v>4</v>
      </c>
      <c r="C393">
        <v>3</v>
      </c>
      <c r="D393">
        <v>0</v>
      </c>
      <c r="E393">
        <v>87</v>
      </c>
      <c r="F393">
        <v>274</v>
      </c>
      <c r="G393">
        <v>353.1087</v>
      </c>
      <c r="H393">
        <v>1280</v>
      </c>
      <c r="I393">
        <v>7</v>
      </c>
      <c r="J393">
        <v>6</v>
      </c>
      <c r="K393">
        <v>13</v>
      </c>
      <c r="L393">
        <v>113</v>
      </c>
      <c r="M393">
        <v>0</v>
      </c>
      <c r="O393" s="3" t="s">
        <v>53</v>
      </c>
      <c r="P393" s="4">
        <v>0</v>
      </c>
      <c r="Q393" s="4">
        <v>3</v>
      </c>
      <c r="R393" s="4">
        <v>0</v>
      </c>
      <c r="S393" s="4">
        <v>7</v>
      </c>
      <c r="T393" s="4">
        <v>15</v>
      </c>
      <c r="U393" s="4">
        <v>47.343020000000003</v>
      </c>
      <c r="V393" s="4">
        <v>200</v>
      </c>
      <c r="W393" s="4">
        <v>1</v>
      </c>
      <c r="X393" s="4">
        <v>1</v>
      </c>
      <c r="Y393" s="4">
        <v>3</v>
      </c>
      <c r="Z393" s="4">
        <v>31</v>
      </c>
      <c r="AA393" s="5">
        <v>1</v>
      </c>
    </row>
    <row r="394" spans="1:27" x14ac:dyDescent="0.25">
      <c r="A394" t="s">
        <v>54</v>
      </c>
      <c r="B394">
        <v>0</v>
      </c>
      <c r="C394">
        <v>1</v>
      </c>
      <c r="D394">
        <v>0</v>
      </c>
      <c r="E394">
        <v>7</v>
      </c>
      <c r="F394">
        <v>24</v>
      </c>
      <c r="G394">
        <v>55.380189999999999</v>
      </c>
      <c r="H394">
        <v>160</v>
      </c>
      <c r="I394">
        <v>1</v>
      </c>
      <c r="J394">
        <v>1</v>
      </c>
      <c r="K394">
        <v>2</v>
      </c>
      <c r="L394">
        <v>9</v>
      </c>
      <c r="M394">
        <v>0</v>
      </c>
      <c r="O394" s="6" t="s">
        <v>53</v>
      </c>
      <c r="P394" s="7">
        <v>0</v>
      </c>
      <c r="Q394" s="7">
        <v>2</v>
      </c>
      <c r="R394" s="7">
        <v>0</v>
      </c>
      <c r="S394" s="7">
        <v>7</v>
      </c>
      <c r="T394" s="7">
        <v>3</v>
      </c>
      <c r="U394" s="7">
        <v>19.335570000000001</v>
      </c>
      <c r="V394" s="7">
        <v>120</v>
      </c>
      <c r="W394" s="7">
        <v>1</v>
      </c>
      <c r="X394" s="7">
        <v>1</v>
      </c>
      <c r="Y394" s="7">
        <v>3</v>
      </c>
      <c r="Z394" s="7">
        <v>19</v>
      </c>
      <c r="AA394" s="8">
        <v>0</v>
      </c>
    </row>
    <row r="395" spans="1:27" x14ac:dyDescent="0.25">
      <c r="A395" t="s">
        <v>54</v>
      </c>
      <c r="B395">
        <v>0</v>
      </c>
      <c r="C395">
        <v>1</v>
      </c>
      <c r="D395">
        <v>0</v>
      </c>
      <c r="E395">
        <v>2</v>
      </c>
      <c r="F395">
        <v>7</v>
      </c>
      <c r="G395">
        <v>40.525509999999997</v>
      </c>
      <c r="H395">
        <v>120</v>
      </c>
      <c r="I395">
        <v>1</v>
      </c>
      <c r="J395">
        <v>1</v>
      </c>
      <c r="K395">
        <v>1</v>
      </c>
      <c r="L395">
        <v>10</v>
      </c>
      <c r="M395">
        <v>0</v>
      </c>
      <c r="O395" s="3" t="s">
        <v>53</v>
      </c>
      <c r="P395" s="4">
        <v>0</v>
      </c>
      <c r="Q395" s="4">
        <v>1</v>
      </c>
      <c r="R395" s="4">
        <v>0</v>
      </c>
      <c r="S395" s="4">
        <v>5</v>
      </c>
      <c r="T395" s="4">
        <v>11</v>
      </c>
      <c r="U395" s="4">
        <v>38.709960000000002</v>
      </c>
      <c r="V395" s="4">
        <v>80</v>
      </c>
      <c r="W395" s="4">
        <v>1</v>
      </c>
      <c r="X395" s="4">
        <v>1</v>
      </c>
      <c r="Y395" s="4">
        <v>2</v>
      </c>
      <c r="Z395" s="4">
        <v>17</v>
      </c>
      <c r="AA395" s="5">
        <v>0</v>
      </c>
    </row>
    <row r="396" spans="1:27" x14ac:dyDescent="0.25">
      <c r="A396" t="s">
        <v>54</v>
      </c>
      <c r="B396">
        <v>1</v>
      </c>
      <c r="C396">
        <v>2</v>
      </c>
      <c r="D396">
        <v>0</v>
      </c>
      <c r="E396">
        <v>6</v>
      </c>
      <c r="F396">
        <v>18</v>
      </c>
      <c r="G396">
        <v>62.942019999999999</v>
      </c>
      <c r="H396">
        <v>200</v>
      </c>
      <c r="I396">
        <v>2</v>
      </c>
      <c r="J396">
        <v>3</v>
      </c>
      <c r="K396">
        <v>2</v>
      </c>
      <c r="L396">
        <v>13</v>
      </c>
      <c r="M396">
        <v>0</v>
      </c>
      <c r="O396" s="6" t="s">
        <v>53</v>
      </c>
      <c r="P396" s="7">
        <v>0</v>
      </c>
      <c r="Q396" s="7">
        <v>2</v>
      </c>
      <c r="R396" s="7">
        <v>0</v>
      </c>
      <c r="S396" s="7">
        <v>9</v>
      </c>
      <c r="T396" s="7">
        <v>18</v>
      </c>
      <c r="U396" s="7">
        <v>52.152709999999999</v>
      </c>
      <c r="V396" s="7">
        <v>240</v>
      </c>
      <c r="W396" s="7">
        <v>1</v>
      </c>
      <c r="X396" s="7">
        <v>1</v>
      </c>
      <c r="Y396" s="7">
        <v>9</v>
      </c>
      <c r="Z396" s="7">
        <v>29</v>
      </c>
      <c r="AA396" s="8">
        <v>0</v>
      </c>
    </row>
    <row r="397" spans="1:27" x14ac:dyDescent="0.25">
      <c r="A397" t="s">
        <v>54</v>
      </c>
      <c r="B397">
        <v>0</v>
      </c>
      <c r="C397">
        <v>1</v>
      </c>
      <c r="D397">
        <v>0</v>
      </c>
      <c r="E397">
        <v>1</v>
      </c>
      <c r="F397">
        <v>5</v>
      </c>
      <c r="G397">
        <v>36.341430000000003</v>
      </c>
      <c r="H397">
        <v>0</v>
      </c>
      <c r="I397">
        <v>1</v>
      </c>
      <c r="J397">
        <v>1</v>
      </c>
      <c r="K397">
        <v>0</v>
      </c>
      <c r="L397">
        <v>21</v>
      </c>
      <c r="M397">
        <v>0</v>
      </c>
      <c r="O397" s="3" t="s">
        <v>53</v>
      </c>
      <c r="P397" s="4">
        <v>0</v>
      </c>
      <c r="Q397" s="4">
        <v>1</v>
      </c>
      <c r="R397" s="4">
        <v>0</v>
      </c>
      <c r="S397" s="4">
        <v>10</v>
      </c>
      <c r="T397" s="4">
        <v>24</v>
      </c>
      <c r="U397" s="4">
        <v>64.56335</v>
      </c>
      <c r="V397" s="4">
        <v>80</v>
      </c>
      <c r="W397" s="4">
        <v>1</v>
      </c>
      <c r="X397" s="4">
        <v>1</v>
      </c>
      <c r="Y397" s="4">
        <v>4</v>
      </c>
      <c r="Z397" s="4">
        <v>15</v>
      </c>
      <c r="AA397" s="5">
        <v>0</v>
      </c>
    </row>
    <row r="398" spans="1:27" x14ac:dyDescent="0.25">
      <c r="A398" t="s">
        <v>54</v>
      </c>
      <c r="B398">
        <v>2</v>
      </c>
      <c r="C398">
        <v>3</v>
      </c>
      <c r="D398">
        <v>0</v>
      </c>
      <c r="E398">
        <v>16</v>
      </c>
      <c r="F398">
        <v>50</v>
      </c>
      <c r="G398">
        <v>99.227170000000001</v>
      </c>
      <c r="H398">
        <v>520</v>
      </c>
      <c r="I398">
        <v>3</v>
      </c>
      <c r="J398">
        <v>3</v>
      </c>
      <c r="K398">
        <v>4</v>
      </c>
      <c r="L398">
        <v>40</v>
      </c>
      <c r="M398">
        <v>0</v>
      </c>
      <c r="O398" s="6" t="s">
        <v>53</v>
      </c>
      <c r="P398" s="7">
        <v>0</v>
      </c>
      <c r="Q398" s="7">
        <v>2</v>
      </c>
      <c r="R398" s="7">
        <v>0</v>
      </c>
      <c r="S398" s="7">
        <v>11</v>
      </c>
      <c r="T398" s="7">
        <v>19</v>
      </c>
      <c r="U398" s="7">
        <v>56.6449</v>
      </c>
      <c r="V398" s="7">
        <v>240</v>
      </c>
      <c r="W398" s="7">
        <v>3</v>
      </c>
      <c r="X398" s="7">
        <v>1</v>
      </c>
      <c r="Y398" s="7">
        <v>4</v>
      </c>
      <c r="Z398" s="7">
        <v>17</v>
      </c>
      <c r="AA398" s="8">
        <v>0</v>
      </c>
    </row>
    <row r="399" spans="1:27" x14ac:dyDescent="0.25">
      <c r="A399" t="s">
        <v>54</v>
      </c>
      <c r="B399">
        <v>1</v>
      </c>
      <c r="C399">
        <v>2</v>
      </c>
      <c r="D399">
        <v>0</v>
      </c>
      <c r="E399">
        <v>15</v>
      </c>
      <c r="F399">
        <v>42</v>
      </c>
      <c r="G399">
        <v>108.1279</v>
      </c>
      <c r="H399">
        <v>440</v>
      </c>
      <c r="I399">
        <v>2</v>
      </c>
      <c r="J399">
        <v>2</v>
      </c>
      <c r="K399">
        <v>9</v>
      </c>
      <c r="L399">
        <v>32</v>
      </c>
      <c r="M399">
        <v>0</v>
      </c>
      <c r="O399" s="3" t="s">
        <v>53</v>
      </c>
      <c r="P399" s="4">
        <v>0</v>
      </c>
      <c r="Q399" s="4">
        <v>2</v>
      </c>
      <c r="R399" s="4">
        <v>0</v>
      </c>
      <c r="S399" s="4">
        <v>6</v>
      </c>
      <c r="T399" s="4">
        <v>10</v>
      </c>
      <c r="U399" s="4">
        <v>40.65784</v>
      </c>
      <c r="V399" s="4">
        <v>120</v>
      </c>
      <c r="W399" s="4">
        <v>1</v>
      </c>
      <c r="X399" s="4">
        <v>1</v>
      </c>
      <c r="Y399" s="4">
        <v>3</v>
      </c>
      <c r="Z399" s="4">
        <v>16</v>
      </c>
      <c r="AA399" s="5">
        <v>0</v>
      </c>
    </row>
    <row r="400" spans="1:27" x14ac:dyDescent="0.25">
      <c r="A400" t="s">
        <v>54</v>
      </c>
      <c r="B400">
        <v>1</v>
      </c>
      <c r="C400">
        <v>1</v>
      </c>
      <c r="D400">
        <v>0</v>
      </c>
      <c r="E400">
        <v>3</v>
      </c>
      <c r="F400">
        <v>7</v>
      </c>
      <c r="G400">
        <v>28.954350000000002</v>
      </c>
      <c r="H400">
        <v>160</v>
      </c>
      <c r="I400">
        <v>2</v>
      </c>
      <c r="J400">
        <v>2</v>
      </c>
      <c r="K400">
        <v>0</v>
      </c>
      <c r="L400">
        <v>32</v>
      </c>
      <c r="M400">
        <v>0</v>
      </c>
      <c r="O400" s="6" t="s">
        <v>53</v>
      </c>
      <c r="P400" s="7">
        <v>0</v>
      </c>
      <c r="Q400" s="7">
        <v>2</v>
      </c>
      <c r="R400" s="7">
        <v>0</v>
      </c>
      <c r="S400" s="7">
        <v>12</v>
      </c>
      <c r="T400" s="7">
        <v>21</v>
      </c>
      <c r="U400" s="7">
        <v>57.358519999999999</v>
      </c>
      <c r="V400" s="7">
        <v>200</v>
      </c>
      <c r="W400" s="7">
        <v>1</v>
      </c>
      <c r="X400" s="7">
        <v>1</v>
      </c>
      <c r="Y400" s="7">
        <v>9</v>
      </c>
      <c r="Z400" s="7">
        <v>16</v>
      </c>
      <c r="AA400" s="8">
        <v>1</v>
      </c>
    </row>
    <row r="401" spans="1:27" x14ac:dyDescent="0.25">
      <c r="A401" t="s">
        <v>54</v>
      </c>
      <c r="B401">
        <v>0</v>
      </c>
      <c r="C401">
        <v>1</v>
      </c>
      <c r="D401">
        <v>0</v>
      </c>
      <c r="E401">
        <v>3</v>
      </c>
      <c r="F401">
        <v>11</v>
      </c>
      <c r="G401">
        <v>42.228879999999997</v>
      </c>
      <c r="H401">
        <v>80</v>
      </c>
      <c r="I401">
        <v>1</v>
      </c>
      <c r="J401">
        <v>1</v>
      </c>
      <c r="K401">
        <v>3</v>
      </c>
      <c r="L401">
        <v>28</v>
      </c>
      <c r="M401">
        <v>0</v>
      </c>
      <c r="O401" s="3" t="s">
        <v>53</v>
      </c>
      <c r="P401" s="4">
        <v>0</v>
      </c>
      <c r="Q401" s="4">
        <v>1</v>
      </c>
      <c r="R401" s="4">
        <v>0</v>
      </c>
      <c r="S401" s="4">
        <v>5</v>
      </c>
      <c r="T401" s="4">
        <v>11</v>
      </c>
      <c r="U401" s="4">
        <v>24.58154</v>
      </c>
      <c r="V401" s="4">
        <v>0</v>
      </c>
      <c r="W401" s="4">
        <v>1</v>
      </c>
      <c r="X401" s="4">
        <v>1</v>
      </c>
      <c r="Y401" s="4">
        <v>0</v>
      </c>
      <c r="Z401" s="4">
        <v>12</v>
      </c>
      <c r="AA401" s="5">
        <v>0</v>
      </c>
    </row>
    <row r="402" spans="1:27" x14ac:dyDescent="0.25">
      <c r="A402" t="s">
        <v>54</v>
      </c>
      <c r="B402">
        <v>1</v>
      </c>
      <c r="C402">
        <v>1</v>
      </c>
      <c r="D402">
        <v>0</v>
      </c>
      <c r="E402">
        <v>6</v>
      </c>
      <c r="F402">
        <v>20</v>
      </c>
      <c r="G402">
        <v>43.705199999999998</v>
      </c>
      <c r="H402">
        <v>320</v>
      </c>
      <c r="I402">
        <v>2</v>
      </c>
      <c r="J402">
        <v>2</v>
      </c>
      <c r="K402">
        <v>1</v>
      </c>
      <c r="L402">
        <v>11</v>
      </c>
      <c r="M402">
        <v>0</v>
      </c>
      <c r="O402" s="6" t="s">
        <v>53</v>
      </c>
      <c r="P402" s="7">
        <v>1</v>
      </c>
      <c r="Q402" s="7">
        <v>3</v>
      </c>
      <c r="R402" s="7">
        <v>0</v>
      </c>
      <c r="S402" s="7">
        <v>17</v>
      </c>
      <c r="T402" s="7">
        <v>18</v>
      </c>
      <c r="U402" s="7">
        <v>67.342770000000002</v>
      </c>
      <c r="V402" s="7">
        <v>330</v>
      </c>
      <c r="W402" s="7">
        <v>2</v>
      </c>
      <c r="X402" s="7">
        <v>2</v>
      </c>
      <c r="Y402" s="7">
        <v>8</v>
      </c>
      <c r="Z402" s="7">
        <v>42</v>
      </c>
      <c r="AA402" s="8">
        <v>0</v>
      </c>
    </row>
    <row r="403" spans="1:27" x14ac:dyDescent="0.25">
      <c r="A403" t="s">
        <v>54</v>
      </c>
      <c r="B403">
        <v>0</v>
      </c>
      <c r="C403">
        <v>1</v>
      </c>
      <c r="D403">
        <v>0</v>
      </c>
      <c r="E403">
        <v>0</v>
      </c>
      <c r="F403">
        <v>0</v>
      </c>
      <c r="G403">
        <v>93.413210000000007</v>
      </c>
      <c r="H403">
        <v>80</v>
      </c>
      <c r="I403">
        <v>1</v>
      </c>
      <c r="J403">
        <v>2</v>
      </c>
      <c r="K403">
        <v>2</v>
      </c>
      <c r="L403">
        <v>11</v>
      </c>
      <c r="M403">
        <v>0</v>
      </c>
      <c r="O403" s="3" t="s">
        <v>53</v>
      </c>
      <c r="P403" s="4">
        <v>0</v>
      </c>
      <c r="Q403" s="4">
        <v>2</v>
      </c>
      <c r="R403" s="4">
        <v>0</v>
      </c>
      <c r="S403" s="4">
        <v>9</v>
      </c>
      <c r="T403" s="4">
        <v>17</v>
      </c>
      <c r="U403" s="4">
        <v>66.193359999999998</v>
      </c>
      <c r="V403" s="4">
        <v>160</v>
      </c>
      <c r="W403" s="4">
        <v>1</v>
      </c>
      <c r="X403" s="4">
        <v>1</v>
      </c>
      <c r="Y403" s="4">
        <v>4</v>
      </c>
      <c r="Z403" s="4">
        <v>45</v>
      </c>
      <c r="AA403" s="5">
        <v>0</v>
      </c>
    </row>
    <row r="404" spans="1:27" x14ac:dyDescent="0.25">
      <c r="A404" t="s">
        <v>54</v>
      </c>
      <c r="B404">
        <v>2</v>
      </c>
      <c r="C404">
        <v>2</v>
      </c>
      <c r="D404">
        <v>0</v>
      </c>
      <c r="E404">
        <v>7</v>
      </c>
      <c r="F404">
        <v>27</v>
      </c>
      <c r="G404">
        <v>82.938720000000004</v>
      </c>
      <c r="H404">
        <v>520</v>
      </c>
      <c r="I404">
        <v>3</v>
      </c>
      <c r="J404">
        <v>3</v>
      </c>
      <c r="K404">
        <v>6</v>
      </c>
      <c r="L404">
        <v>23</v>
      </c>
      <c r="M404">
        <v>0</v>
      </c>
      <c r="O404" s="10" t="s">
        <v>12</v>
      </c>
      <c r="P404" s="9">
        <f t="shared" ref="P404:AA404" si="15">AVERAGE(P380:P403)</f>
        <v>0.95833333333333337</v>
      </c>
      <c r="Q404" s="9">
        <f t="shared" si="15"/>
        <v>1.8333333333333333</v>
      </c>
      <c r="R404" s="9">
        <f t="shared" si="15"/>
        <v>0</v>
      </c>
      <c r="S404" s="9">
        <f t="shared" si="15"/>
        <v>13.708333333333334</v>
      </c>
      <c r="T404" s="9">
        <f t="shared" si="15"/>
        <v>23.708333333333332</v>
      </c>
      <c r="U404" s="9">
        <f t="shared" si="15"/>
        <v>80.80998666666666</v>
      </c>
      <c r="V404" s="9">
        <f t="shared" si="15"/>
        <v>243.75</v>
      </c>
      <c r="W404" s="9">
        <f t="shared" si="15"/>
        <v>1.75</v>
      </c>
      <c r="X404" s="9">
        <f t="shared" si="15"/>
        <v>2.0416666666666665</v>
      </c>
      <c r="Y404" s="9">
        <f t="shared" si="15"/>
        <v>3.9583333333333335</v>
      </c>
      <c r="Z404" s="9">
        <f t="shared" si="15"/>
        <v>31.583333333333332</v>
      </c>
      <c r="AA404" s="9">
        <f t="shared" si="15"/>
        <v>2.4583333333333335</v>
      </c>
    </row>
    <row r="405" spans="1:27" x14ac:dyDescent="0.25">
      <c r="A405" t="s">
        <v>54</v>
      </c>
      <c r="B405">
        <v>1</v>
      </c>
      <c r="C405">
        <v>1</v>
      </c>
      <c r="D405">
        <v>0</v>
      </c>
      <c r="E405">
        <v>2</v>
      </c>
      <c r="F405">
        <v>4</v>
      </c>
      <c r="G405">
        <v>45.083010000000002</v>
      </c>
      <c r="H405">
        <v>120</v>
      </c>
      <c r="I405">
        <v>2</v>
      </c>
      <c r="J405">
        <v>2</v>
      </c>
      <c r="K405">
        <v>0</v>
      </c>
      <c r="L405">
        <v>23</v>
      </c>
      <c r="M405">
        <v>0</v>
      </c>
      <c r="O405" s="6" t="s">
        <v>54</v>
      </c>
      <c r="P405" s="7">
        <v>3</v>
      </c>
      <c r="Q405" s="7">
        <v>2</v>
      </c>
      <c r="R405" s="7">
        <v>0</v>
      </c>
      <c r="S405" s="7">
        <v>104</v>
      </c>
      <c r="T405" s="7">
        <v>291</v>
      </c>
      <c r="U405" s="7">
        <v>203.2704</v>
      </c>
      <c r="V405" s="7">
        <v>880</v>
      </c>
      <c r="W405" s="7">
        <v>3</v>
      </c>
      <c r="X405" s="7">
        <v>4</v>
      </c>
      <c r="Y405" s="7">
        <v>11</v>
      </c>
      <c r="Z405" s="7">
        <v>46</v>
      </c>
      <c r="AA405" s="8">
        <v>0</v>
      </c>
    </row>
    <row r="406" spans="1:27" x14ac:dyDescent="0.25">
      <c r="A406" t="s">
        <v>54</v>
      </c>
      <c r="B406">
        <v>0</v>
      </c>
      <c r="C406">
        <v>1</v>
      </c>
      <c r="D406">
        <v>0</v>
      </c>
      <c r="E406">
        <v>3</v>
      </c>
      <c r="F406">
        <v>10</v>
      </c>
      <c r="G406">
        <v>35.409910000000004</v>
      </c>
      <c r="H406">
        <v>120</v>
      </c>
      <c r="I406">
        <v>1</v>
      </c>
      <c r="J406">
        <v>1</v>
      </c>
      <c r="K406">
        <v>1</v>
      </c>
      <c r="L406">
        <v>14</v>
      </c>
      <c r="M406">
        <v>0</v>
      </c>
      <c r="O406" s="3" t="s">
        <v>54</v>
      </c>
      <c r="P406" s="4">
        <v>3</v>
      </c>
      <c r="Q406" s="4">
        <v>3</v>
      </c>
      <c r="R406" s="4">
        <v>0</v>
      </c>
      <c r="S406" s="4">
        <v>54</v>
      </c>
      <c r="T406" s="4">
        <v>173</v>
      </c>
      <c r="U406" s="4">
        <v>188.93819999999999</v>
      </c>
      <c r="V406" s="4">
        <v>680</v>
      </c>
      <c r="W406" s="4">
        <v>6</v>
      </c>
      <c r="X406" s="4">
        <v>7</v>
      </c>
      <c r="Y406" s="4">
        <v>9</v>
      </c>
      <c r="Z406" s="4">
        <v>44</v>
      </c>
      <c r="AA406" s="5">
        <v>0</v>
      </c>
    </row>
    <row r="407" spans="1:27" x14ac:dyDescent="0.25">
      <c r="A407" t="s">
        <v>54</v>
      </c>
      <c r="B407">
        <v>2</v>
      </c>
      <c r="C407">
        <v>1</v>
      </c>
      <c r="D407">
        <v>0</v>
      </c>
      <c r="E407">
        <v>8</v>
      </c>
      <c r="F407">
        <v>29</v>
      </c>
      <c r="G407">
        <v>78.735839999999996</v>
      </c>
      <c r="H407">
        <v>320</v>
      </c>
      <c r="I407">
        <v>3</v>
      </c>
      <c r="J407">
        <v>3</v>
      </c>
      <c r="K407">
        <v>1</v>
      </c>
      <c r="L407">
        <v>20</v>
      </c>
      <c r="M407">
        <v>0</v>
      </c>
      <c r="O407" s="6" t="s">
        <v>54</v>
      </c>
      <c r="P407" s="7">
        <v>0</v>
      </c>
      <c r="Q407" s="7">
        <v>1</v>
      </c>
      <c r="R407" s="7">
        <v>0</v>
      </c>
      <c r="S407" s="7">
        <v>18</v>
      </c>
      <c r="T407" s="7">
        <v>51</v>
      </c>
      <c r="U407" s="7">
        <v>76.376649999999998</v>
      </c>
      <c r="V407" s="7">
        <v>200</v>
      </c>
      <c r="W407" s="7">
        <v>1</v>
      </c>
      <c r="X407" s="7">
        <v>3</v>
      </c>
      <c r="Y407" s="7">
        <v>4</v>
      </c>
      <c r="Z407" s="7">
        <v>15</v>
      </c>
      <c r="AA407" s="8">
        <v>0</v>
      </c>
    </row>
    <row r="408" spans="1:27" x14ac:dyDescent="0.25">
      <c r="A408" t="s">
        <v>54</v>
      </c>
      <c r="B408">
        <v>1</v>
      </c>
      <c r="C408">
        <v>1</v>
      </c>
      <c r="D408">
        <v>0</v>
      </c>
      <c r="E408">
        <v>3</v>
      </c>
      <c r="F408">
        <v>7</v>
      </c>
      <c r="G408">
        <v>48.294429999999998</v>
      </c>
      <c r="H408">
        <v>148</v>
      </c>
      <c r="I408">
        <v>2</v>
      </c>
      <c r="J408">
        <v>2</v>
      </c>
      <c r="K408">
        <v>1</v>
      </c>
      <c r="L408">
        <v>15</v>
      </c>
      <c r="M408">
        <v>0</v>
      </c>
      <c r="O408" s="3" t="s">
        <v>54</v>
      </c>
      <c r="P408" s="4">
        <v>0</v>
      </c>
      <c r="Q408" s="4">
        <v>1</v>
      </c>
      <c r="R408" s="4">
        <v>0</v>
      </c>
      <c r="S408" s="4">
        <v>11</v>
      </c>
      <c r="T408" s="4">
        <v>33</v>
      </c>
      <c r="U408" s="4">
        <v>48.377200000000002</v>
      </c>
      <c r="V408" s="4">
        <v>120</v>
      </c>
      <c r="W408" s="4">
        <v>1</v>
      </c>
      <c r="X408" s="4">
        <v>1</v>
      </c>
      <c r="Y408" s="4">
        <v>2</v>
      </c>
      <c r="Z408" s="4">
        <v>9</v>
      </c>
      <c r="AA408" s="5">
        <v>0</v>
      </c>
    </row>
    <row r="409" spans="1:27" x14ac:dyDescent="0.25">
      <c r="A409" t="s">
        <v>54</v>
      </c>
      <c r="B409">
        <v>0</v>
      </c>
      <c r="C409">
        <v>3</v>
      </c>
      <c r="D409">
        <v>0</v>
      </c>
      <c r="E409">
        <v>2</v>
      </c>
      <c r="F409">
        <v>9</v>
      </c>
      <c r="G409">
        <v>65.351070000000007</v>
      </c>
      <c r="H409">
        <v>160</v>
      </c>
      <c r="I409">
        <v>1</v>
      </c>
      <c r="J409">
        <v>1</v>
      </c>
      <c r="K409">
        <v>2</v>
      </c>
      <c r="L409">
        <v>23</v>
      </c>
      <c r="M409">
        <v>0</v>
      </c>
      <c r="O409" s="6" t="s">
        <v>54</v>
      </c>
      <c r="P409" s="7">
        <v>0</v>
      </c>
      <c r="Q409" s="7">
        <v>1</v>
      </c>
      <c r="R409" s="7">
        <v>0</v>
      </c>
      <c r="S409" s="7">
        <v>1</v>
      </c>
      <c r="T409" s="7">
        <v>4</v>
      </c>
      <c r="U409" s="7">
        <v>15.61975</v>
      </c>
      <c r="V409" s="7">
        <v>40</v>
      </c>
      <c r="W409" s="7">
        <v>1</v>
      </c>
      <c r="X409" s="7">
        <v>1</v>
      </c>
      <c r="Y409" s="7">
        <v>0</v>
      </c>
      <c r="Z409" s="7">
        <v>28</v>
      </c>
      <c r="AA409" s="8">
        <v>0</v>
      </c>
    </row>
    <row r="410" spans="1:27" x14ac:dyDescent="0.25">
      <c r="A410" t="s">
        <v>55</v>
      </c>
      <c r="B410">
        <v>0</v>
      </c>
      <c r="C410">
        <v>3</v>
      </c>
      <c r="D410">
        <v>0</v>
      </c>
      <c r="E410">
        <v>1</v>
      </c>
      <c r="F410">
        <v>135</v>
      </c>
      <c r="G410">
        <v>57.148910000000001</v>
      </c>
      <c r="H410">
        <v>200</v>
      </c>
      <c r="I410">
        <v>1</v>
      </c>
      <c r="J410">
        <v>3</v>
      </c>
      <c r="K410">
        <v>6</v>
      </c>
      <c r="L410">
        <v>122</v>
      </c>
      <c r="M410">
        <v>2</v>
      </c>
      <c r="O410" s="3" t="s">
        <v>54</v>
      </c>
      <c r="P410" s="4">
        <v>0</v>
      </c>
      <c r="Q410" s="4">
        <v>1</v>
      </c>
      <c r="R410" s="4">
        <v>0</v>
      </c>
      <c r="S410" s="4">
        <v>2</v>
      </c>
      <c r="T410" s="4">
        <v>3</v>
      </c>
      <c r="U410" s="4">
        <v>31.024170000000002</v>
      </c>
      <c r="V410" s="4">
        <v>80</v>
      </c>
      <c r="W410" s="4">
        <v>1</v>
      </c>
      <c r="X410" s="4">
        <v>2</v>
      </c>
      <c r="Y410" s="4">
        <v>1</v>
      </c>
      <c r="Z410" s="4">
        <v>49</v>
      </c>
      <c r="AA410" s="5">
        <v>0</v>
      </c>
    </row>
    <row r="411" spans="1:27" x14ac:dyDescent="0.25">
      <c r="A411" t="s">
        <v>55</v>
      </c>
      <c r="B411">
        <v>4</v>
      </c>
      <c r="C411">
        <v>2</v>
      </c>
      <c r="D411">
        <v>0</v>
      </c>
      <c r="E411">
        <v>1</v>
      </c>
      <c r="F411">
        <v>154</v>
      </c>
      <c r="G411">
        <v>84.624110000000002</v>
      </c>
      <c r="H411">
        <v>440</v>
      </c>
      <c r="I411">
        <v>1</v>
      </c>
      <c r="J411">
        <v>4</v>
      </c>
      <c r="K411">
        <v>2</v>
      </c>
      <c r="L411">
        <v>189</v>
      </c>
      <c r="M411">
        <v>7</v>
      </c>
      <c r="O411" s="6" t="s">
        <v>54</v>
      </c>
      <c r="P411" s="7">
        <v>0</v>
      </c>
      <c r="Q411" s="7">
        <v>1</v>
      </c>
      <c r="R411" s="7">
        <v>0</v>
      </c>
      <c r="S411" s="7">
        <v>3</v>
      </c>
      <c r="T411" s="7">
        <v>9</v>
      </c>
      <c r="U411" s="7">
        <v>43.022460000000002</v>
      </c>
      <c r="V411" s="7">
        <v>40</v>
      </c>
      <c r="W411" s="7">
        <v>1</v>
      </c>
      <c r="X411" s="7">
        <v>1</v>
      </c>
      <c r="Y411" s="7">
        <v>0</v>
      </c>
      <c r="Z411" s="7">
        <v>18</v>
      </c>
      <c r="AA411" s="8">
        <v>0</v>
      </c>
    </row>
    <row r="412" spans="1:27" x14ac:dyDescent="0.25">
      <c r="A412" t="s">
        <v>55</v>
      </c>
      <c r="B412">
        <v>5</v>
      </c>
      <c r="C412">
        <v>4</v>
      </c>
      <c r="D412">
        <v>0</v>
      </c>
      <c r="E412">
        <v>5</v>
      </c>
      <c r="F412">
        <v>305</v>
      </c>
      <c r="G412">
        <v>188.2946</v>
      </c>
      <c r="H412">
        <v>1120</v>
      </c>
      <c r="I412">
        <v>6</v>
      </c>
      <c r="J412">
        <v>6</v>
      </c>
      <c r="K412">
        <v>13</v>
      </c>
      <c r="L412">
        <v>568</v>
      </c>
      <c r="M412">
        <v>6</v>
      </c>
      <c r="O412" s="3" t="s">
        <v>54</v>
      </c>
      <c r="P412" s="4">
        <v>4</v>
      </c>
      <c r="Q412" s="4">
        <v>3</v>
      </c>
      <c r="R412" s="4">
        <v>0</v>
      </c>
      <c r="S412" s="4">
        <v>87</v>
      </c>
      <c r="T412" s="4">
        <v>274</v>
      </c>
      <c r="U412" s="4">
        <v>353.1087</v>
      </c>
      <c r="V412" s="4">
        <v>1280</v>
      </c>
      <c r="W412" s="4">
        <v>7</v>
      </c>
      <c r="X412" s="4">
        <v>6</v>
      </c>
      <c r="Y412" s="4">
        <v>13</v>
      </c>
      <c r="Z412" s="4">
        <v>113</v>
      </c>
      <c r="AA412" s="5">
        <v>0</v>
      </c>
    </row>
    <row r="413" spans="1:27" x14ac:dyDescent="0.25">
      <c r="A413" t="s">
        <v>55</v>
      </c>
      <c r="B413">
        <v>0</v>
      </c>
      <c r="C413">
        <v>1</v>
      </c>
      <c r="D413">
        <v>0</v>
      </c>
      <c r="E413">
        <v>0</v>
      </c>
      <c r="F413">
        <v>69</v>
      </c>
      <c r="G413">
        <v>39.654719999999998</v>
      </c>
      <c r="H413">
        <v>120</v>
      </c>
      <c r="I413">
        <v>1</v>
      </c>
      <c r="J413">
        <v>1</v>
      </c>
      <c r="K413">
        <v>2</v>
      </c>
      <c r="L413">
        <v>148</v>
      </c>
      <c r="M413">
        <v>0</v>
      </c>
      <c r="O413" s="6" t="s">
        <v>54</v>
      </c>
      <c r="P413" s="7">
        <v>0</v>
      </c>
      <c r="Q413" s="7">
        <v>1</v>
      </c>
      <c r="R413" s="7">
        <v>0</v>
      </c>
      <c r="S413" s="7">
        <v>7</v>
      </c>
      <c r="T413" s="7">
        <v>24</v>
      </c>
      <c r="U413" s="7">
        <v>55.380189999999999</v>
      </c>
      <c r="V413" s="7">
        <v>160</v>
      </c>
      <c r="W413" s="7">
        <v>1</v>
      </c>
      <c r="X413" s="7">
        <v>1</v>
      </c>
      <c r="Y413" s="7">
        <v>2</v>
      </c>
      <c r="Z413" s="7">
        <v>9</v>
      </c>
      <c r="AA413" s="8">
        <v>0</v>
      </c>
    </row>
    <row r="414" spans="1:27" x14ac:dyDescent="0.25">
      <c r="A414" t="s">
        <v>55</v>
      </c>
      <c r="B414">
        <v>0</v>
      </c>
      <c r="C414">
        <v>1</v>
      </c>
      <c r="D414">
        <v>0</v>
      </c>
      <c r="E414">
        <v>0</v>
      </c>
      <c r="F414">
        <v>63</v>
      </c>
      <c r="G414">
        <v>37.199890000000003</v>
      </c>
      <c r="H414">
        <v>120</v>
      </c>
      <c r="I414">
        <v>1</v>
      </c>
      <c r="J414">
        <v>1</v>
      </c>
      <c r="K414">
        <v>6</v>
      </c>
      <c r="L414">
        <v>149</v>
      </c>
      <c r="M414">
        <v>0</v>
      </c>
      <c r="O414" s="3" t="s">
        <v>54</v>
      </c>
      <c r="P414" s="4">
        <v>0</v>
      </c>
      <c r="Q414" s="4">
        <v>1</v>
      </c>
      <c r="R414" s="4">
        <v>0</v>
      </c>
      <c r="S414" s="4">
        <v>2</v>
      </c>
      <c r="T414" s="4">
        <v>7</v>
      </c>
      <c r="U414" s="4">
        <v>40.525509999999997</v>
      </c>
      <c r="V414" s="4">
        <v>120</v>
      </c>
      <c r="W414" s="4">
        <v>1</v>
      </c>
      <c r="X414" s="4">
        <v>1</v>
      </c>
      <c r="Y414" s="4">
        <v>1</v>
      </c>
      <c r="Z414" s="4">
        <v>10</v>
      </c>
      <c r="AA414" s="5">
        <v>0</v>
      </c>
    </row>
    <row r="415" spans="1:27" x14ac:dyDescent="0.25">
      <c r="A415" t="s">
        <v>55</v>
      </c>
      <c r="B415">
        <v>1</v>
      </c>
      <c r="C415">
        <v>2</v>
      </c>
      <c r="D415">
        <v>0</v>
      </c>
      <c r="E415">
        <v>0</v>
      </c>
      <c r="F415">
        <v>0</v>
      </c>
      <c r="G415">
        <v>65.314760000000007</v>
      </c>
      <c r="H415">
        <v>280</v>
      </c>
      <c r="I415">
        <v>2</v>
      </c>
      <c r="J415">
        <v>2</v>
      </c>
      <c r="K415">
        <v>9</v>
      </c>
      <c r="L415">
        <v>255</v>
      </c>
      <c r="M415">
        <v>0</v>
      </c>
      <c r="O415" s="6" t="s">
        <v>54</v>
      </c>
      <c r="P415" s="7">
        <v>1</v>
      </c>
      <c r="Q415" s="7">
        <v>2</v>
      </c>
      <c r="R415" s="7">
        <v>0</v>
      </c>
      <c r="S415" s="7">
        <v>6</v>
      </c>
      <c r="T415" s="7">
        <v>18</v>
      </c>
      <c r="U415" s="7">
        <v>62.942019999999999</v>
      </c>
      <c r="V415" s="7">
        <v>200</v>
      </c>
      <c r="W415" s="7">
        <v>2</v>
      </c>
      <c r="X415" s="7">
        <v>3</v>
      </c>
      <c r="Y415" s="7">
        <v>2</v>
      </c>
      <c r="Z415" s="7">
        <v>13</v>
      </c>
      <c r="AA415" s="8">
        <v>0</v>
      </c>
    </row>
    <row r="416" spans="1:27" x14ac:dyDescent="0.25">
      <c r="A416" t="s">
        <v>55</v>
      </c>
      <c r="B416">
        <v>0</v>
      </c>
      <c r="C416">
        <v>1</v>
      </c>
      <c r="D416">
        <v>0</v>
      </c>
      <c r="E416">
        <v>2</v>
      </c>
      <c r="F416">
        <v>180</v>
      </c>
      <c r="G416">
        <v>66.989620000000002</v>
      </c>
      <c r="H416">
        <v>120</v>
      </c>
      <c r="I416">
        <v>1</v>
      </c>
      <c r="J416">
        <v>2</v>
      </c>
      <c r="K416">
        <v>3</v>
      </c>
      <c r="L416">
        <v>166</v>
      </c>
      <c r="M416">
        <v>0</v>
      </c>
      <c r="O416" s="3" t="s">
        <v>54</v>
      </c>
      <c r="P416" s="4">
        <v>0</v>
      </c>
      <c r="Q416" s="4">
        <v>1</v>
      </c>
      <c r="R416" s="4">
        <v>0</v>
      </c>
      <c r="S416" s="4">
        <v>1</v>
      </c>
      <c r="T416" s="4">
        <v>5</v>
      </c>
      <c r="U416" s="4">
        <v>36.341430000000003</v>
      </c>
      <c r="V416" s="4">
        <v>0</v>
      </c>
      <c r="W416" s="4">
        <v>1</v>
      </c>
      <c r="X416" s="4">
        <v>1</v>
      </c>
      <c r="Y416" s="4">
        <v>0</v>
      </c>
      <c r="Z416" s="4">
        <v>21</v>
      </c>
      <c r="AA416" s="5">
        <v>0</v>
      </c>
    </row>
    <row r="417" spans="1:27" x14ac:dyDescent="0.25">
      <c r="A417" t="s">
        <v>55</v>
      </c>
      <c r="B417">
        <v>0</v>
      </c>
      <c r="C417">
        <v>2</v>
      </c>
      <c r="D417">
        <v>0</v>
      </c>
      <c r="E417">
        <v>1</v>
      </c>
      <c r="F417">
        <v>221</v>
      </c>
      <c r="G417">
        <v>83.087220000000002</v>
      </c>
      <c r="H417">
        <v>200</v>
      </c>
      <c r="I417">
        <v>1</v>
      </c>
      <c r="J417">
        <v>1</v>
      </c>
      <c r="K417">
        <v>24</v>
      </c>
      <c r="L417">
        <v>176</v>
      </c>
      <c r="M417">
        <v>0</v>
      </c>
      <c r="O417" s="6" t="s">
        <v>54</v>
      </c>
      <c r="P417" s="7">
        <v>2</v>
      </c>
      <c r="Q417" s="7">
        <v>3</v>
      </c>
      <c r="R417" s="7">
        <v>0</v>
      </c>
      <c r="S417" s="7">
        <v>16</v>
      </c>
      <c r="T417" s="7">
        <v>50</v>
      </c>
      <c r="U417" s="7">
        <v>99.227170000000001</v>
      </c>
      <c r="V417" s="7">
        <v>520</v>
      </c>
      <c r="W417" s="7">
        <v>3</v>
      </c>
      <c r="X417" s="7">
        <v>3</v>
      </c>
      <c r="Y417" s="7">
        <v>4</v>
      </c>
      <c r="Z417" s="7">
        <v>40</v>
      </c>
      <c r="AA417" s="8">
        <v>0</v>
      </c>
    </row>
    <row r="418" spans="1:27" x14ac:dyDescent="0.25">
      <c r="A418" t="s">
        <v>55</v>
      </c>
      <c r="B418">
        <v>0</v>
      </c>
      <c r="C418">
        <v>1</v>
      </c>
      <c r="D418">
        <v>1</v>
      </c>
      <c r="E418">
        <v>2</v>
      </c>
      <c r="F418">
        <v>999</v>
      </c>
      <c r="G418">
        <v>92.750370000000004</v>
      </c>
      <c r="H418">
        <v>120</v>
      </c>
      <c r="I418">
        <v>0</v>
      </c>
      <c r="J418">
        <v>1</v>
      </c>
      <c r="K418">
        <v>1</v>
      </c>
      <c r="L418">
        <v>17</v>
      </c>
      <c r="M418">
        <v>0</v>
      </c>
      <c r="O418" s="3" t="s">
        <v>54</v>
      </c>
      <c r="P418" s="4">
        <v>1</v>
      </c>
      <c r="Q418" s="4">
        <v>2</v>
      </c>
      <c r="R418" s="4">
        <v>0</v>
      </c>
      <c r="S418" s="4">
        <v>15</v>
      </c>
      <c r="T418" s="4">
        <v>42</v>
      </c>
      <c r="U418" s="4">
        <v>108.1279</v>
      </c>
      <c r="V418" s="4">
        <v>440</v>
      </c>
      <c r="W418" s="4">
        <v>2</v>
      </c>
      <c r="X418" s="4">
        <v>2</v>
      </c>
      <c r="Y418" s="4">
        <v>9</v>
      </c>
      <c r="Z418" s="4">
        <v>32</v>
      </c>
      <c r="AA418" s="5">
        <v>0</v>
      </c>
    </row>
    <row r="419" spans="1:27" x14ac:dyDescent="0.25">
      <c r="A419" t="s">
        <v>55</v>
      </c>
      <c r="B419">
        <v>0</v>
      </c>
      <c r="C419">
        <v>4</v>
      </c>
      <c r="D419">
        <v>1</v>
      </c>
      <c r="E419">
        <v>1</v>
      </c>
      <c r="F419">
        <v>181</v>
      </c>
      <c r="G419">
        <v>20.774290000000001</v>
      </c>
      <c r="H419">
        <v>0</v>
      </c>
      <c r="I419">
        <v>0</v>
      </c>
      <c r="J419">
        <v>0</v>
      </c>
      <c r="K419">
        <v>0</v>
      </c>
      <c r="L419">
        <v>1</v>
      </c>
      <c r="M419">
        <v>0</v>
      </c>
      <c r="O419" s="6" t="s">
        <v>54</v>
      </c>
      <c r="P419" s="7">
        <v>1</v>
      </c>
      <c r="Q419" s="7">
        <v>1</v>
      </c>
      <c r="R419" s="7">
        <v>0</v>
      </c>
      <c r="S419" s="7">
        <v>3</v>
      </c>
      <c r="T419" s="7">
        <v>7</v>
      </c>
      <c r="U419" s="7">
        <v>28.954350000000002</v>
      </c>
      <c r="V419" s="7">
        <v>160</v>
      </c>
      <c r="W419" s="7">
        <v>2</v>
      </c>
      <c r="X419" s="7">
        <v>2</v>
      </c>
      <c r="Y419" s="7">
        <v>0</v>
      </c>
      <c r="Z419" s="7">
        <v>32</v>
      </c>
      <c r="AA419" s="8">
        <v>0</v>
      </c>
    </row>
    <row r="420" spans="1:27" x14ac:dyDescent="0.25">
      <c r="A420" t="s">
        <v>55</v>
      </c>
      <c r="B420">
        <v>1</v>
      </c>
      <c r="C420">
        <v>3</v>
      </c>
      <c r="D420">
        <v>1</v>
      </c>
      <c r="E420">
        <v>1</v>
      </c>
      <c r="F420">
        <v>491</v>
      </c>
      <c r="G420">
        <v>51.048580000000001</v>
      </c>
      <c r="H420">
        <v>200</v>
      </c>
      <c r="I420">
        <v>2</v>
      </c>
      <c r="J420">
        <v>2</v>
      </c>
      <c r="K420">
        <v>17</v>
      </c>
      <c r="L420">
        <v>64</v>
      </c>
      <c r="M420">
        <v>0</v>
      </c>
      <c r="O420" s="3" t="s">
        <v>54</v>
      </c>
      <c r="P420" s="4">
        <v>0</v>
      </c>
      <c r="Q420" s="4">
        <v>1</v>
      </c>
      <c r="R420" s="4">
        <v>0</v>
      </c>
      <c r="S420" s="4">
        <v>3</v>
      </c>
      <c r="T420" s="4">
        <v>11</v>
      </c>
      <c r="U420" s="4">
        <v>42.228879999999997</v>
      </c>
      <c r="V420" s="4">
        <v>80</v>
      </c>
      <c r="W420" s="4">
        <v>1</v>
      </c>
      <c r="X420" s="4">
        <v>1</v>
      </c>
      <c r="Y420" s="4">
        <v>3</v>
      </c>
      <c r="Z420" s="4">
        <v>28</v>
      </c>
      <c r="AA420" s="5">
        <v>0</v>
      </c>
    </row>
    <row r="421" spans="1:27" x14ac:dyDescent="0.25">
      <c r="A421" t="s">
        <v>55</v>
      </c>
      <c r="B421">
        <v>0</v>
      </c>
      <c r="C421">
        <v>2</v>
      </c>
      <c r="D421">
        <v>1</v>
      </c>
      <c r="E421">
        <v>1</v>
      </c>
      <c r="F421">
        <v>1214</v>
      </c>
      <c r="G421">
        <v>128.85839999999999</v>
      </c>
      <c r="H421">
        <v>0</v>
      </c>
      <c r="I421">
        <v>1</v>
      </c>
      <c r="J421">
        <v>3</v>
      </c>
      <c r="K421">
        <v>0</v>
      </c>
      <c r="L421">
        <v>100</v>
      </c>
      <c r="M421">
        <v>1</v>
      </c>
      <c r="O421" s="6" t="s">
        <v>54</v>
      </c>
      <c r="P421" s="7">
        <v>1</v>
      </c>
      <c r="Q421" s="7">
        <v>1</v>
      </c>
      <c r="R421" s="7">
        <v>0</v>
      </c>
      <c r="S421" s="7">
        <v>6</v>
      </c>
      <c r="T421" s="7">
        <v>20</v>
      </c>
      <c r="U421" s="7">
        <v>43.705199999999998</v>
      </c>
      <c r="V421" s="7">
        <v>320</v>
      </c>
      <c r="W421" s="7">
        <v>2</v>
      </c>
      <c r="X421" s="7">
        <v>2</v>
      </c>
      <c r="Y421" s="7">
        <v>1</v>
      </c>
      <c r="Z421" s="7">
        <v>11</v>
      </c>
      <c r="AA421" s="8">
        <v>0</v>
      </c>
    </row>
    <row r="422" spans="1:27" x14ac:dyDescent="0.25">
      <c r="A422" t="s">
        <v>55</v>
      </c>
      <c r="B422">
        <v>3</v>
      </c>
      <c r="C422">
        <v>4</v>
      </c>
      <c r="D422">
        <v>1</v>
      </c>
      <c r="E422">
        <v>1</v>
      </c>
      <c r="F422">
        <v>192</v>
      </c>
      <c r="G422">
        <v>60.328000000000003</v>
      </c>
      <c r="H422">
        <v>640</v>
      </c>
      <c r="I422">
        <v>1</v>
      </c>
      <c r="J422">
        <v>2</v>
      </c>
      <c r="K422">
        <v>6</v>
      </c>
      <c r="L422">
        <v>183</v>
      </c>
      <c r="M422">
        <v>0</v>
      </c>
      <c r="O422" s="3" t="s">
        <v>54</v>
      </c>
      <c r="P422" s="4">
        <v>0</v>
      </c>
      <c r="Q422" s="4">
        <v>1</v>
      </c>
      <c r="R422" s="4">
        <v>0</v>
      </c>
      <c r="S422" s="4">
        <v>0</v>
      </c>
      <c r="T422" s="4">
        <v>0</v>
      </c>
      <c r="U422" s="4">
        <v>93.413210000000007</v>
      </c>
      <c r="V422" s="4">
        <v>80</v>
      </c>
      <c r="W422" s="4">
        <v>1</v>
      </c>
      <c r="X422" s="4">
        <v>2</v>
      </c>
      <c r="Y422" s="4">
        <v>2</v>
      </c>
      <c r="Z422" s="4">
        <v>11</v>
      </c>
      <c r="AA422" s="5">
        <v>0</v>
      </c>
    </row>
    <row r="423" spans="1:27" x14ac:dyDescent="0.25">
      <c r="A423" t="s">
        <v>55</v>
      </c>
      <c r="B423">
        <v>2</v>
      </c>
      <c r="C423">
        <v>4</v>
      </c>
      <c r="D423">
        <v>1</v>
      </c>
      <c r="E423">
        <v>0</v>
      </c>
      <c r="F423">
        <v>123</v>
      </c>
      <c r="G423">
        <v>77.340580000000003</v>
      </c>
      <c r="H423">
        <v>440</v>
      </c>
      <c r="I423">
        <v>2</v>
      </c>
      <c r="J423">
        <v>2</v>
      </c>
      <c r="K423">
        <v>9</v>
      </c>
      <c r="L423">
        <v>306</v>
      </c>
      <c r="M423">
        <v>0</v>
      </c>
      <c r="O423" s="6" t="s">
        <v>54</v>
      </c>
      <c r="P423" s="7">
        <v>2</v>
      </c>
      <c r="Q423" s="7">
        <v>2</v>
      </c>
      <c r="R423" s="7">
        <v>0</v>
      </c>
      <c r="S423" s="7">
        <v>7</v>
      </c>
      <c r="T423" s="7">
        <v>27</v>
      </c>
      <c r="U423" s="7">
        <v>82.938720000000004</v>
      </c>
      <c r="V423" s="7">
        <v>520</v>
      </c>
      <c r="W423" s="7">
        <v>3</v>
      </c>
      <c r="X423" s="7">
        <v>3</v>
      </c>
      <c r="Y423" s="7">
        <v>6</v>
      </c>
      <c r="Z423" s="7">
        <v>23</v>
      </c>
      <c r="AA423" s="8">
        <v>0</v>
      </c>
    </row>
    <row r="424" spans="1:27" x14ac:dyDescent="0.25">
      <c r="A424" t="s">
        <v>55</v>
      </c>
      <c r="B424">
        <v>0</v>
      </c>
      <c r="C424">
        <v>1</v>
      </c>
      <c r="D424">
        <v>0</v>
      </c>
      <c r="E424">
        <v>0</v>
      </c>
      <c r="F424">
        <v>35</v>
      </c>
      <c r="G424">
        <v>18.59778</v>
      </c>
      <c r="H424">
        <v>80</v>
      </c>
      <c r="I424">
        <v>1</v>
      </c>
      <c r="J424">
        <v>1</v>
      </c>
      <c r="K424">
        <v>1</v>
      </c>
      <c r="L424">
        <v>79</v>
      </c>
      <c r="M424">
        <v>0</v>
      </c>
      <c r="O424" s="3" t="s">
        <v>54</v>
      </c>
      <c r="P424" s="4">
        <v>1</v>
      </c>
      <c r="Q424" s="4">
        <v>1</v>
      </c>
      <c r="R424" s="4">
        <v>0</v>
      </c>
      <c r="S424" s="4">
        <v>2</v>
      </c>
      <c r="T424" s="4">
        <v>4</v>
      </c>
      <c r="U424" s="4">
        <v>45.083010000000002</v>
      </c>
      <c r="V424" s="4">
        <v>120</v>
      </c>
      <c r="W424" s="4">
        <v>2</v>
      </c>
      <c r="X424" s="4">
        <v>2</v>
      </c>
      <c r="Y424" s="4">
        <v>0</v>
      </c>
      <c r="Z424" s="4">
        <v>23</v>
      </c>
      <c r="AA424" s="5">
        <v>0</v>
      </c>
    </row>
    <row r="425" spans="1:27" x14ac:dyDescent="0.25">
      <c r="A425" t="s">
        <v>55</v>
      </c>
      <c r="B425">
        <v>0</v>
      </c>
      <c r="C425">
        <v>1</v>
      </c>
      <c r="D425">
        <v>0</v>
      </c>
      <c r="E425">
        <v>0</v>
      </c>
      <c r="F425">
        <v>59</v>
      </c>
      <c r="G425">
        <v>75.976929999999996</v>
      </c>
      <c r="H425">
        <v>120</v>
      </c>
      <c r="I425">
        <v>0</v>
      </c>
      <c r="J425">
        <v>1</v>
      </c>
      <c r="K425">
        <v>2</v>
      </c>
      <c r="L425">
        <v>345</v>
      </c>
      <c r="M425">
        <v>1</v>
      </c>
      <c r="O425" s="6" t="s">
        <v>54</v>
      </c>
      <c r="P425" s="7">
        <v>0</v>
      </c>
      <c r="Q425" s="7">
        <v>1</v>
      </c>
      <c r="R425" s="7">
        <v>0</v>
      </c>
      <c r="S425" s="7">
        <v>3</v>
      </c>
      <c r="T425" s="7">
        <v>10</v>
      </c>
      <c r="U425" s="7">
        <v>35.409910000000004</v>
      </c>
      <c r="V425" s="7">
        <v>120</v>
      </c>
      <c r="W425" s="7">
        <v>1</v>
      </c>
      <c r="X425" s="7">
        <v>1</v>
      </c>
      <c r="Y425" s="7">
        <v>1</v>
      </c>
      <c r="Z425" s="7">
        <v>14</v>
      </c>
      <c r="AA425" s="8">
        <v>0</v>
      </c>
    </row>
    <row r="426" spans="1:27" x14ac:dyDescent="0.25">
      <c r="A426" t="s">
        <v>55</v>
      </c>
      <c r="B426">
        <v>2</v>
      </c>
      <c r="C426">
        <v>4</v>
      </c>
      <c r="D426">
        <v>1</v>
      </c>
      <c r="E426">
        <v>0</v>
      </c>
      <c r="F426">
        <v>110</v>
      </c>
      <c r="G426">
        <v>29.46509</v>
      </c>
      <c r="H426">
        <v>320</v>
      </c>
      <c r="I426">
        <v>1</v>
      </c>
      <c r="J426">
        <v>2</v>
      </c>
      <c r="K426">
        <v>2</v>
      </c>
      <c r="L426">
        <v>85</v>
      </c>
      <c r="M426">
        <v>1</v>
      </c>
      <c r="O426" s="3" t="s">
        <v>54</v>
      </c>
      <c r="P426" s="4">
        <v>2</v>
      </c>
      <c r="Q426" s="4">
        <v>1</v>
      </c>
      <c r="R426" s="4">
        <v>0</v>
      </c>
      <c r="S426" s="4">
        <v>8</v>
      </c>
      <c r="T426" s="4">
        <v>29</v>
      </c>
      <c r="U426" s="4">
        <v>78.735839999999996</v>
      </c>
      <c r="V426" s="4">
        <v>320</v>
      </c>
      <c r="W426" s="4">
        <v>3</v>
      </c>
      <c r="X426" s="4">
        <v>3</v>
      </c>
      <c r="Y426" s="4">
        <v>1</v>
      </c>
      <c r="Z426" s="4">
        <v>20</v>
      </c>
      <c r="AA426" s="5">
        <v>0</v>
      </c>
    </row>
    <row r="427" spans="1:27" x14ac:dyDescent="0.25">
      <c r="A427" t="s">
        <v>55</v>
      </c>
      <c r="B427">
        <v>2</v>
      </c>
      <c r="C427">
        <v>1</v>
      </c>
      <c r="D427">
        <v>0</v>
      </c>
      <c r="E427">
        <v>15</v>
      </c>
      <c r="F427">
        <v>177</v>
      </c>
      <c r="G427">
        <v>93.080200000000005</v>
      </c>
      <c r="H427">
        <v>320</v>
      </c>
      <c r="I427">
        <v>4</v>
      </c>
      <c r="J427">
        <v>4</v>
      </c>
      <c r="K427">
        <v>3</v>
      </c>
      <c r="L427">
        <v>281</v>
      </c>
      <c r="M427">
        <v>8</v>
      </c>
      <c r="O427" s="6" t="s">
        <v>54</v>
      </c>
      <c r="P427" s="7">
        <v>1</v>
      </c>
      <c r="Q427" s="7">
        <v>1</v>
      </c>
      <c r="R427" s="7">
        <v>0</v>
      </c>
      <c r="S427" s="7">
        <v>3</v>
      </c>
      <c r="T427" s="7">
        <v>7</v>
      </c>
      <c r="U427" s="7">
        <v>48.294429999999998</v>
      </c>
      <c r="V427" s="7">
        <v>148</v>
      </c>
      <c r="W427" s="7">
        <v>2</v>
      </c>
      <c r="X427" s="7">
        <v>2</v>
      </c>
      <c r="Y427" s="7">
        <v>1</v>
      </c>
      <c r="Z427" s="7">
        <v>15</v>
      </c>
      <c r="AA427" s="8">
        <v>0</v>
      </c>
    </row>
    <row r="428" spans="1:27" x14ac:dyDescent="0.25">
      <c r="A428" t="s">
        <v>55</v>
      </c>
      <c r="B428">
        <v>0</v>
      </c>
      <c r="C428">
        <v>1</v>
      </c>
      <c r="D428">
        <v>0</v>
      </c>
      <c r="E428">
        <v>0</v>
      </c>
      <c r="F428">
        <v>0</v>
      </c>
      <c r="G428">
        <v>35.019170000000003</v>
      </c>
      <c r="H428">
        <v>160</v>
      </c>
      <c r="I428">
        <v>1</v>
      </c>
      <c r="J428">
        <v>1</v>
      </c>
      <c r="K428">
        <v>3</v>
      </c>
      <c r="L428">
        <v>137</v>
      </c>
      <c r="M428">
        <v>0</v>
      </c>
      <c r="O428" s="3" t="s">
        <v>54</v>
      </c>
      <c r="P428" s="4">
        <v>0</v>
      </c>
      <c r="Q428" s="4">
        <v>3</v>
      </c>
      <c r="R428" s="4">
        <v>0</v>
      </c>
      <c r="S428" s="4">
        <v>2</v>
      </c>
      <c r="T428" s="4">
        <v>9</v>
      </c>
      <c r="U428" s="4">
        <v>65.351070000000007</v>
      </c>
      <c r="V428" s="4">
        <v>160</v>
      </c>
      <c r="W428" s="4">
        <v>1</v>
      </c>
      <c r="X428" s="4">
        <v>1</v>
      </c>
      <c r="Y428" s="4">
        <v>2</v>
      </c>
      <c r="Z428" s="4">
        <v>23</v>
      </c>
      <c r="AA428" s="5">
        <v>0</v>
      </c>
    </row>
    <row r="429" spans="1:27" x14ac:dyDescent="0.25">
      <c r="A429" t="s">
        <v>55</v>
      </c>
      <c r="B429">
        <v>2</v>
      </c>
      <c r="C429">
        <v>4</v>
      </c>
      <c r="D429">
        <v>1</v>
      </c>
      <c r="E429">
        <v>13</v>
      </c>
      <c r="F429">
        <v>34</v>
      </c>
      <c r="G429">
        <v>60.39087</v>
      </c>
      <c r="H429">
        <v>400</v>
      </c>
      <c r="I429">
        <v>1</v>
      </c>
      <c r="J429">
        <v>1</v>
      </c>
      <c r="K429">
        <v>5</v>
      </c>
      <c r="L429">
        <v>209</v>
      </c>
      <c r="M429">
        <v>0</v>
      </c>
      <c r="O429" s="10" t="s">
        <v>12</v>
      </c>
      <c r="P429" s="9">
        <f t="shared" ref="P429:AA429" si="16">AVERAGE(P405:P428)</f>
        <v>0.91666666666666663</v>
      </c>
      <c r="Q429" s="9">
        <f t="shared" si="16"/>
        <v>1.5</v>
      </c>
      <c r="R429" s="9">
        <f t="shared" si="16"/>
        <v>0</v>
      </c>
      <c r="S429" s="9">
        <f t="shared" si="16"/>
        <v>15.166666666666666</v>
      </c>
      <c r="T429" s="9">
        <f t="shared" si="16"/>
        <v>46.166666666666664</v>
      </c>
      <c r="U429" s="9">
        <f t="shared" si="16"/>
        <v>80.26651541666665</v>
      </c>
      <c r="V429" s="9">
        <f t="shared" si="16"/>
        <v>282.83333333333331</v>
      </c>
      <c r="W429" s="9">
        <f t="shared" si="16"/>
        <v>2.0416666666666665</v>
      </c>
      <c r="X429" s="9">
        <f t="shared" si="16"/>
        <v>2.2916666666666665</v>
      </c>
      <c r="Y429" s="9">
        <f t="shared" si="16"/>
        <v>3.125</v>
      </c>
      <c r="Z429" s="9">
        <f t="shared" si="16"/>
        <v>26.958333333333332</v>
      </c>
      <c r="AA429" s="9">
        <f t="shared" si="16"/>
        <v>0</v>
      </c>
    </row>
    <row r="430" spans="1:27" x14ac:dyDescent="0.25">
      <c r="A430" t="s">
        <v>55</v>
      </c>
      <c r="B430">
        <v>1</v>
      </c>
      <c r="C430">
        <v>3</v>
      </c>
      <c r="D430">
        <v>0</v>
      </c>
      <c r="E430">
        <v>3</v>
      </c>
      <c r="F430">
        <v>98</v>
      </c>
      <c r="G430">
        <v>83.034909999999996</v>
      </c>
      <c r="H430">
        <v>400</v>
      </c>
      <c r="I430">
        <v>2</v>
      </c>
      <c r="J430">
        <v>2</v>
      </c>
      <c r="K430">
        <v>6</v>
      </c>
      <c r="L430">
        <v>342</v>
      </c>
      <c r="M430">
        <v>0</v>
      </c>
      <c r="O430" s="6" t="s">
        <v>55</v>
      </c>
      <c r="P430" s="7">
        <v>0</v>
      </c>
      <c r="Q430" s="7">
        <v>3</v>
      </c>
      <c r="R430" s="7">
        <v>0</v>
      </c>
      <c r="S430" s="7">
        <v>1</v>
      </c>
      <c r="T430" s="7">
        <v>135</v>
      </c>
      <c r="U430" s="7">
        <v>57.148910000000001</v>
      </c>
      <c r="V430" s="7">
        <v>200</v>
      </c>
      <c r="W430" s="7">
        <v>1</v>
      </c>
      <c r="X430" s="7">
        <v>3</v>
      </c>
      <c r="Y430" s="7">
        <v>6</v>
      </c>
      <c r="Z430" s="7">
        <v>122</v>
      </c>
      <c r="AA430" s="8">
        <v>2</v>
      </c>
    </row>
    <row r="431" spans="1:27" x14ac:dyDescent="0.25">
      <c r="A431" t="s">
        <v>55</v>
      </c>
      <c r="B431">
        <v>0</v>
      </c>
      <c r="C431">
        <v>1</v>
      </c>
      <c r="D431">
        <v>0</v>
      </c>
      <c r="E431">
        <v>0</v>
      </c>
      <c r="F431">
        <v>16</v>
      </c>
      <c r="G431">
        <v>30.972899999999999</v>
      </c>
      <c r="H431">
        <v>0</v>
      </c>
      <c r="I431">
        <v>1</v>
      </c>
      <c r="J431">
        <v>1</v>
      </c>
      <c r="K431">
        <v>0</v>
      </c>
      <c r="L431">
        <v>135</v>
      </c>
      <c r="M431">
        <v>0</v>
      </c>
      <c r="O431" s="3" t="s">
        <v>55</v>
      </c>
      <c r="P431" s="4">
        <v>4</v>
      </c>
      <c r="Q431" s="4">
        <v>2</v>
      </c>
      <c r="R431" s="4">
        <v>0</v>
      </c>
      <c r="S431" s="4">
        <v>1</v>
      </c>
      <c r="T431" s="4">
        <v>154</v>
      </c>
      <c r="U431" s="4">
        <v>84.624110000000002</v>
      </c>
      <c r="V431" s="4">
        <v>440</v>
      </c>
      <c r="W431" s="4">
        <v>1</v>
      </c>
      <c r="X431" s="4">
        <v>4</v>
      </c>
      <c r="Y431" s="4">
        <v>2</v>
      </c>
      <c r="Z431" s="4">
        <v>189</v>
      </c>
      <c r="AA431" s="5">
        <v>7</v>
      </c>
    </row>
    <row r="432" spans="1:27" x14ac:dyDescent="0.25">
      <c r="A432" t="s">
        <v>55</v>
      </c>
      <c r="B432">
        <v>2</v>
      </c>
      <c r="C432">
        <v>4</v>
      </c>
      <c r="D432">
        <v>1</v>
      </c>
      <c r="E432">
        <v>0</v>
      </c>
      <c r="F432">
        <v>37</v>
      </c>
      <c r="G432">
        <v>20.138670000000001</v>
      </c>
      <c r="H432">
        <v>266</v>
      </c>
      <c r="I432">
        <v>1</v>
      </c>
      <c r="J432">
        <v>1</v>
      </c>
      <c r="K432">
        <v>1</v>
      </c>
      <c r="L432">
        <v>56</v>
      </c>
      <c r="M432">
        <v>0</v>
      </c>
      <c r="O432" s="6" t="s">
        <v>55</v>
      </c>
      <c r="P432" s="7">
        <v>5</v>
      </c>
      <c r="Q432" s="7">
        <v>4</v>
      </c>
      <c r="R432" s="7">
        <v>0</v>
      </c>
      <c r="S432" s="7">
        <v>5</v>
      </c>
      <c r="T432" s="7">
        <v>305</v>
      </c>
      <c r="U432" s="7">
        <v>188.2946</v>
      </c>
      <c r="V432" s="7">
        <v>1120</v>
      </c>
      <c r="W432" s="7">
        <v>6</v>
      </c>
      <c r="X432" s="7">
        <v>6</v>
      </c>
      <c r="Y432" s="7">
        <v>13</v>
      </c>
      <c r="Z432" s="7">
        <v>568</v>
      </c>
      <c r="AA432" s="8">
        <v>6</v>
      </c>
    </row>
    <row r="433" spans="1:42" x14ac:dyDescent="0.25">
      <c r="A433" t="s">
        <v>55</v>
      </c>
      <c r="B433">
        <v>7</v>
      </c>
      <c r="C433">
        <v>4</v>
      </c>
      <c r="D433">
        <v>1</v>
      </c>
      <c r="E433">
        <v>24</v>
      </c>
      <c r="F433">
        <v>300</v>
      </c>
      <c r="G433">
        <v>232.2758</v>
      </c>
      <c r="H433">
        <v>1436</v>
      </c>
      <c r="I433">
        <v>6</v>
      </c>
      <c r="J433">
        <v>5</v>
      </c>
      <c r="K433">
        <v>21</v>
      </c>
      <c r="L433">
        <v>791</v>
      </c>
      <c r="M433">
        <v>4</v>
      </c>
      <c r="O433" s="3" t="s">
        <v>55</v>
      </c>
      <c r="P433" s="4">
        <v>0</v>
      </c>
      <c r="Q433" s="4">
        <v>1</v>
      </c>
      <c r="R433" s="4">
        <v>0</v>
      </c>
      <c r="S433" s="4">
        <v>0</v>
      </c>
      <c r="T433" s="4">
        <v>69</v>
      </c>
      <c r="U433" s="4">
        <v>39.654719999999998</v>
      </c>
      <c r="V433" s="4">
        <v>120</v>
      </c>
      <c r="W433" s="4">
        <v>1</v>
      </c>
      <c r="X433" s="4">
        <v>1</v>
      </c>
      <c r="Y433" s="4">
        <v>2</v>
      </c>
      <c r="Z433" s="4">
        <v>148</v>
      </c>
      <c r="AA433" s="5">
        <v>0</v>
      </c>
    </row>
    <row r="434" spans="1:42" x14ac:dyDescent="0.25">
      <c r="A434" t="s">
        <v>56</v>
      </c>
      <c r="B434">
        <v>0</v>
      </c>
      <c r="C434">
        <v>1</v>
      </c>
      <c r="D434">
        <v>0</v>
      </c>
      <c r="E434">
        <v>0</v>
      </c>
      <c r="F434">
        <v>0</v>
      </c>
      <c r="G434">
        <v>101.5073</v>
      </c>
      <c r="H434">
        <v>320</v>
      </c>
      <c r="I434">
        <v>0</v>
      </c>
      <c r="J434">
        <v>1</v>
      </c>
      <c r="K434">
        <v>9</v>
      </c>
      <c r="L434">
        <v>94</v>
      </c>
      <c r="M434">
        <v>165</v>
      </c>
      <c r="O434" s="6" t="s">
        <v>55</v>
      </c>
      <c r="P434" s="7">
        <v>0</v>
      </c>
      <c r="Q434" s="7">
        <v>1</v>
      </c>
      <c r="R434" s="7">
        <v>0</v>
      </c>
      <c r="S434" s="7">
        <v>0</v>
      </c>
      <c r="T434" s="7">
        <v>63</v>
      </c>
      <c r="U434" s="7">
        <v>37.199890000000003</v>
      </c>
      <c r="V434" s="7">
        <v>120</v>
      </c>
      <c r="W434" s="7">
        <v>1</v>
      </c>
      <c r="X434" s="7">
        <v>1</v>
      </c>
      <c r="Y434" s="7">
        <v>6</v>
      </c>
      <c r="Z434" s="7">
        <v>149</v>
      </c>
      <c r="AA434" s="8">
        <v>0</v>
      </c>
    </row>
    <row r="435" spans="1:42" x14ac:dyDescent="0.25">
      <c r="A435" t="s">
        <v>56</v>
      </c>
      <c r="B435">
        <v>12</v>
      </c>
      <c r="C435">
        <v>4</v>
      </c>
      <c r="D435">
        <v>0</v>
      </c>
      <c r="E435">
        <v>12</v>
      </c>
      <c r="F435">
        <v>48</v>
      </c>
      <c r="G435">
        <v>329.6456</v>
      </c>
      <c r="H435">
        <v>1440</v>
      </c>
      <c r="I435">
        <v>1</v>
      </c>
      <c r="J435">
        <v>13</v>
      </c>
      <c r="K435">
        <v>38</v>
      </c>
      <c r="L435">
        <v>282</v>
      </c>
      <c r="M435">
        <v>256</v>
      </c>
      <c r="O435" s="3" t="s">
        <v>55</v>
      </c>
      <c r="P435" s="4">
        <v>1</v>
      </c>
      <c r="Q435" s="4">
        <v>2</v>
      </c>
      <c r="R435" s="4">
        <v>0</v>
      </c>
      <c r="S435" s="4">
        <v>0</v>
      </c>
      <c r="T435" s="4">
        <v>0</v>
      </c>
      <c r="U435" s="4">
        <v>65.314760000000007</v>
      </c>
      <c r="V435" s="4">
        <v>280</v>
      </c>
      <c r="W435" s="4">
        <v>2</v>
      </c>
      <c r="X435" s="4">
        <v>2</v>
      </c>
      <c r="Y435" s="4">
        <v>9</v>
      </c>
      <c r="Z435" s="4">
        <v>255</v>
      </c>
      <c r="AA435" s="5">
        <v>0</v>
      </c>
    </row>
    <row r="436" spans="1:42" x14ac:dyDescent="0.25">
      <c r="A436" t="s">
        <v>56</v>
      </c>
      <c r="B436">
        <v>0</v>
      </c>
      <c r="C436">
        <v>1</v>
      </c>
      <c r="D436">
        <v>0</v>
      </c>
      <c r="E436">
        <v>0</v>
      </c>
      <c r="F436">
        <v>0</v>
      </c>
      <c r="G436">
        <v>33.666870000000003</v>
      </c>
      <c r="H436">
        <v>200</v>
      </c>
      <c r="I436">
        <v>1</v>
      </c>
      <c r="J436">
        <v>1</v>
      </c>
      <c r="K436">
        <v>9</v>
      </c>
      <c r="L436">
        <v>52</v>
      </c>
      <c r="M436">
        <v>0</v>
      </c>
      <c r="O436" s="6" t="s">
        <v>55</v>
      </c>
      <c r="P436" s="7">
        <v>0</v>
      </c>
      <c r="Q436" s="7">
        <v>1</v>
      </c>
      <c r="R436" s="7">
        <v>0</v>
      </c>
      <c r="S436" s="7">
        <v>2</v>
      </c>
      <c r="T436" s="7">
        <v>180</v>
      </c>
      <c r="U436" s="7">
        <v>66.989620000000002</v>
      </c>
      <c r="V436" s="7">
        <v>120</v>
      </c>
      <c r="W436" s="7">
        <v>1</v>
      </c>
      <c r="X436" s="7">
        <v>2</v>
      </c>
      <c r="Y436" s="7">
        <v>3</v>
      </c>
      <c r="Z436" s="7">
        <v>166</v>
      </c>
      <c r="AA436" s="8">
        <v>0</v>
      </c>
    </row>
    <row r="437" spans="1:42" x14ac:dyDescent="0.25">
      <c r="A437" t="s">
        <v>56</v>
      </c>
      <c r="B437">
        <v>0</v>
      </c>
      <c r="C437">
        <v>1</v>
      </c>
      <c r="D437">
        <v>0</v>
      </c>
      <c r="E437">
        <v>0</v>
      </c>
      <c r="F437">
        <v>0</v>
      </c>
      <c r="G437">
        <v>43.127690000000001</v>
      </c>
      <c r="H437">
        <v>160</v>
      </c>
      <c r="I437">
        <v>3</v>
      </c>
      <c r="J437">
        <v>1</v>
      </c>
      <c r="K437">
        <v>4</v>
      </c>
      <c r="L437">
        <v>46</v>
      </c>
      <c r="M437">
        <v>6</v>
      </c>
      <c r="O437" s="3" t="s">
        <v>55</v>
      </c>
      <c r="P437" s="4">
        <v>0</v>
      </c>
      <c r="Q437" s="4">
        <v>2</v>
      </c>
      <c r="R437" s="4">
        <v>0</v>
      </c>
      <c r="S437" s="4">
        <v>1</v>
      </c>
      <c r="T437" s="4">
        <v>221</v>
      </c>
      <c r="U437" s="4">
        <v>83.087220000000002</v>
      </c>
      <c r="V437" s="4">
        <v>200</v>
      </c>
      <c r="W437" s="4">
        <v>1</v>
      </c>
      <c r="X437" s="4">
        <v>1</v>
      </c>
      <c r="Y437" s="4">
        <v>24</v>
      </c>
      <c r="Z437" s="4">
        <v>176</v>
      </c>
      <c r="AA437" s="5">
        <v>0</v>
      </c>
    </row>
    <row r="438" spans="1:42" x14ac:dyDescent="0.25">
      <c r="A438" t="s">
        <v>56</v>
      </c>
      <c r="B438">
        <v>1</v>
      </c>
      <c r="C438">
        <v>1</v>
      </c>
      <c r="D438">
        <v>0</v>
      </c>
      <c r="E438">
        <v>4</v>
      </c>
      <c r="F438">
        <v>12</v>
      </c>
      <c r="G438">
        <v>42.516539999999999</v>
      </c>
      <c r="H438">
        <v>200</v>
      </c>
      <c r="I438">
        <v>4</v>
      </c>
      <c r="J438">
        <v>2</v>
      </c>
      <c r="K438">
        <v>2</v>
      </c>
      <c r="L438">
        <v>39</v>
      </c>
      <c r="M438">
        <v>10</v>
      </c>
      <c r="O438" s="6" t="s">
        <v>55</v>
      </c>
      <c r="P438" s="7">
        <v>0</v>
      </c>
      <c r="Q438" s="7">
        <v>1</v>
      </c>
      <c r="R438" s="7">
        <v>1</v>
      </c>
      <c r="S438" s="7">
        <v>2</v>
      </c>
      <c r="T438" s="7">
        <v>999</v>
      </c>
      <c r="U438" s="7">
        <v>92.750370000000004</v>
      </c>
      <c r="V438" s="7">
        <v>120</v>
      </c>
      <c r="W438" s="7">
        <v>0</v>
      </c>
      <c r="X438" s="7">
        <v>1</v>
      </c>
      <c r="Y438" s="7">
        <v>1</v>
      </c>
      <c r="Z438" s="7">
        <v>17</v>
      </c>
      <c r="AA438" s="8">
        <v>0</v>
      </c>
    </row>
    <row r="439" spans="1:42" x14ac:dyDescent="0.25">
      <c r="A439" t="s">
        <v>56</v>
      </c>
      <c r="B439">
        <v>2</v>
      </c>
      <c r="C439">
        <v>3</v>
      </c>
      <c r="D439">
        <v>0</v>
      </c>
      <c r="E439">
        <v>0</v>
      </c>
      <c r="F439">
        <v>0</v>
      </c>
      <c r="G439">
        <v>71.378720000000001</v>
      </c>
      <c r="H439">
        <v>488</v>
      </c>
      <c r="I439">
        <v>3</v>
      </c>
      <c r="J439">
        <v>3</v>
      </c>
      <c r="K439">
        <v>8</v>
      </c>
      <c r="L439">
        <v>54</v>
      </c>
      <c r="M439">
        <v>21</v>
      </c>
      <c r="O439" s="3" t="s">
        <v>55</v>
      </c>
      <c r="P439" s="4">
        <v>0</v>
      </c>
      <c r="Q439" s="4">
        <v>4</v>
      </c>
      <c r="R439" s="4">
        <v>1</v>
      </c>
      <c r="S439" s="4">
        <v>1</v>
      </c>
      <c r="T439" s="4">
        <v>181</v>
      </c>
      <c r="U439" s="4">
        <v>20.774290000000001</v>
      </c>
      <c r="V439" s="4">
        <v>0</v>
      </c>
      <c r="W439" s="4">
        <v>0</v>
      </c>
      <c r="X439" s="4">
        <v>0</v>
      </c>
      <c r="Y439" s="4">
        <v>0</v>
      </c>
      <c r="Z439" s="4">
        <v>1</v>
      </c>
      <c r="AA439" s="5">
        <v>0</v>
      </c>
    </row>
    <row r="440" spans="1:42" x14ac:dyDescent="0.25">
      <c r="A440" t="s">
        <v>56</v>
      </c>
      <c r="B440">
        <v>0</v>
      </c>
      <c r="C440">
        <v>1</v>
      </c>
      <c r="D440">
        <v>0</v>
      </c>
      <c r="E440">
        <v>0</v>
      </c>
      <c r="F440">
        <v>0</v>
      </c>
      <c r="G440">
        <v>22.402650000000001</v>
      </c>
      <c r="H440">
        <v>160</v>
      </c>
      <c r="I440">
        <v>1</v>
      </c>
      <c r="J440">
        <v>1</v>
      </c>
      <c r="K440">
        <v>2</v>
      </c>
      <c r="L440">
        <v>22</v>
      </c>
      <c r="M440">
        <v>4</v>
      </c>
      <c r="O440" s="6" t="s">
        <v>55</v>
      </c>
      <c r="P440" s="7">
        <v>1</v>
      </c>
      <c r="Q440" s="7">
        <v>3</v>
      </c>
      <c r="R440" s="7">
        <v>1</v>
      </c>
      <c r="S440" s="7">
        <v>1</v>
      </c>
      <c r="T440" s="7">
        <v>491</v>
      </c>
      <c r="U440" s="7">
        <v>51.048580000000001</v>
      </c>
      <c r="V440" s="7">
        <v>200</v>
      </c>
      <c r="W440" s="7">
        <v>2</v>
      </c>
      <c r="X440" s="7">
        <v>2</v>
      </c>
      <c r="Y440" s="7">
        <v>17</v>
      </c>
      <c r="Z440" s="7">
        <v>64</v>
      </c>
      <c r="AA440" s="8">
        <v>0</v>
      </c>
      <c r="AD440" t="s">
        <v>307</v>
      </c>
      <c r="AE440" t="s">
        <v>262</v>
      </c>
      <c r="AF440" t="s">
        <v>273</v>
      </c>
      <c r="AG440" t="s">
        <v>274</v>
      </c>
      <c r="AH440" t="s">
        <v>264</v>
      </c>
      <c r="AI440" t="s">
        <v>275</v>
      </c>
      <c r="AJ440" t="s">
        <v>266</v>
      </c>
      <c r="AK440" t="s">
        <v>276</v>
      </c>
      <c r="AL440" t="s">
        <v>277</v>
      </c>
      <c r="AM440" t="s">
        <v>278</v>
      </c>
      <c r="AN440" t="s">
        <v>279</v>
      </c>
      <c r="AO440" t="s">
        <v>280</v>
      </c>
      <c r="AP440" t="s">
        <v>281</v>
      </c>
    </row>
    <row r="441" spans="1:42" x14ac:dyDescent="0.25">
      <c r="A441" t="s">
        <v>56</v>
      </c>
      <c r="B441">
        <v>4</v>
      </c>
      <c r="C441">
        <v>3</v>
      </c>
      <c r="D441">
        <v>0</v>
      </c>
      <c r="E441">
        <v>0</v>
      </c>
      <c r="F441">
        <v>0</v>
      </c>
      <c r="G441">
        <v>158.9391</v>
      </c>
      <c r="H441">
        <v>1080</v>
      </c>
      <c r="I441">
        <v>5</v>
      </c>
      <c r="J441">
        <v>6</v>
      </c>
      <c r="K441">
        <v>24</v>
      </c>
      <c r="L441">
        <v>243</v>
      </c>
      <c r="M441">
        <v>45</v>
      </c>
      <c r="O441" s="3" t="s">
        <v>55</v>
      </c>
      <c r="P441" s="4">
        <v>0</v>
      </c>
      <c r="Q441" s="4">
        <v>2</v>
      </c>
      <c r="R441" s="4">
        <v>1</v>
      </c>
      <c r="S441" s="4">
        <v>1</v>
      </c>
      <c r="T441" s="4">
        <v>1214</v>
      </c>
      <c r="U441" s="4">
        <v>128.85839999999999</v>
      </c>
      <c r="V441" s="4">
        <v>0</v>
      </c>
      <c r="W441" s="4">
        <v>1</v>
      </c>
      <c r="X441" s="4">
        <v>3</v>
      </c>
      <c r="Y441" s="4">
        <v>0</v>
      </c>
      <c r="Z441" s="4">
        <v>100</v>
      </c>
      <c r="AA441" s="5">
        <v>1</v>
      </c>
      <c r="AD441" t="s">
        <v>306</v>
      </c>
      <c r="AE441">
        <v>4.041666666666667</v>
      </c>
      <c r="AF441">
        <v>2.6666666666666665</v>
      </c>
      <c r="AG441">
        <v>0.33333333333333331</v>
      </c>
      <c r="AH441">
        <v>5.916666666666667</v>
      </c>
      <c r="AI441">
        <v>1136.7916666666667</v>
      </c>
      <c r="AJ441">
        <v>228.10698208333335</v>
      </c>
      <c r="AK441">
        <v>751</v>
      </c>
      <c r="AL441">
        <v>4.166666666666667</v>
      </c>
      <c r="AM441">
        <v>4.833333333333333</v>
      </c>
      <c r="AN441">
        <v>5.666666666666667</v>
      </c>
      <c r="AO441">
        <v>66.916666666666671</v>
      </c>
      <c r="AP441">
        <v>33.458333333333336</v>
      </c>
    </row>
    <row r="442" spans="1:42" x14ac:dyDescent="0.25">
      <c r="A442" t="s">
        <v>56</v>
      </c>
      <c r="B442">
        <v>0</v>
      </c>
      <c r="C442">
        <v>1</v>
      </c>
      <c r="D442">
        <v>0</v>
      </c>
      <c r="E442">
        <v>0</v>
      </c>
      <c r="F442">
        <v>0</v>
      </c>
      <c r="G442">
        <v>27.975829999999998</v>
      </c>
      <c r="H442">
        <v>80</v>
      </c>
      <c r="I442">
        <v>1</v>
      </c>
      <c r="J442">
        <v>1</v>
      </c>
      <c r="K442">
        <v>2</v>
      </c>
      <c r="L442">
        <v>28</v>
      </c>
      <c r="M442">
        <v>3</v>
      </c>
      <c r="O442" s="6" t="s">
        <v>55</v>
      </c>
      <c r="P442" s="7">
        <v>3</v>
      </c>
      <c r="Q442" s="7">
        <v>4</v>
      </c>
      <c r="R442" s="7">
        <v>1</v>
      </c>
      <c r="S442" s="7">
        <v>1</v>
      </c>
      <c r="T442" s="7">
        <v>192</v>
      </c>
      <c r="U442" s="7">
        <v>60.328000000000003</v>
      </c>
      <c r="V442" s="7">
        <v>640</v>
      </c>
      <c r="W442" s="7">
        <v>1</v>
      </c>
      <c r="X442" s="7">
        <v>2</v>
      </c>
      <c r="Y442" s="7">
        <v>6</v>
      </c>
      <c r="Z442" s="7">
        <v>183</v>
      </c>
      <c r="AA442" s="8">
        <v>0</v>
      </c>
      <c r="AD442" t="s">
        <v>305</v>
      </c>
      <c r="AE442">
        <v>1.3333333333333333</v>
      </c>
      <c r="AF442">
        <v>1.125</v>
      </c>
      <c r="AG442">
        <v>0</v>
      </c>
      <c r="AH442">
        <v>5</v>
      </c>
      <c r="AI442">
        <v>20.791666666666668</v>
      </c>
      <c r="AJ442">
        <v>88.421627916666679</v>
      </c>
      <c r="AK442">
        <v>322.41666666666669</v>
      </c>
      <c r="AL442">
        <v>1.4166666666666667</v>
      </c>
      <c r="AM442">
        <v>2.2916666666666665</v>
      </c>
      <c r="AN442">
        <v>4.416666666666667</v>
      </c>
      <c r="AO442">
        <v>87.583333333333329</v>
      </c>
      <c r="AP442">
        <v>11.333333333333334</v>
      </c>
    </row>
    <row r="443" spans="1:42" x14ac:dyDescent="0.25">
      <c r="A443" t="s">
        <v>56</v>
      </c>
      <c r="B443">
        <v>3</v>
      </c>
      <c r="C443">
        <v>3</v>
      </c>
      <c r="D443">
        <v>0</v>
      </c>
      <c r="E443">
        <v>0</v>
      </c>
      <c r="F443">
        <v>0</v>
      </c>
      <c r="G443">
        <v>94.010130000000004</v>
      </c>
      <c r="H443">
        <v>720</v>
      </c>
      <c r="I443">
        <v>4</v>
      </c>
      <c r="J443">
        <v>4</v>
      </c>
      <c r="K443">
        <v>21</v>
      </c>
      <c r="L443">
        <v>99</v>
      </c>
      <c r="M443">
        <v>58</v>
      </c>
      <c r="O443" s="3" t="s">
        <v>55</v>
      </c>
      <c r="P443" s="4">
        <v>2</v>
      </c>
      <c r="Q443" s="4">
        <v>4</v>
      </c>
      <c r="R443" s="4">
        <v>1</v>
      </c>
      <c r="S443" s="4">
        <v>0</v>
      </c>
      <c r="T443" s="4">
        <v>123</v>
      </c>
      <c r="U443" s="4">
        <v>77.340580000000003</v>
      </c>
      <c r="V443" s="4">
        <v>440</v>
      </c>
      <c r="W443" s="4">
        <v>2</v>
      </c>
      <c r="X443" s="4">
        <v>2</v>
      </c>
      <c r="Y443" s="4">
        <v>9</v>
      </c>
      <c r="Z443" s="4">
        <v>306</v>
      </c>
      <c r="AA443" s="5">
        <v>0</v>
      </c>
      <c r="AD443" t="s">
        <v>304</v>
      </c>
      <c r="AE443">
        <v>0.70833333333333337</v>
      </c>
      <c r="AF443">
        <v>1.5</v>
      </c>
      <c r="AG443">
        <v>4.1666666666666664E-2</v>
      </c>
      <c r="AH443">
        <v>4.1666666666666664E-2</v>
      </c>
      <c r="AI443">
        <v>0.20833333333333334</v>
      </c>
      <c r="AJ443">
        <v>61.448977500000012</v>
      </c>
      <c r="AK443">
        <v>193.45833333333334</v>
      </c>
      <c r="AL443">
        <v>1.4166666666666667</v>
      </c>
      <c r="AM443">
        <v>1.7083333333333333</v>
      </c>
      <c r="AN443">
        <v>3.2916666666666665</v>
      </c>
      <c r="AO443">
        <v>93.541666666666671</v>
      </c>
      <c r="AP443">
        <v>0.625</v>
      </c>
    </row>
    <row r="444" spans="1:42" x14ac:dyDescent="0.25">
      <c r="A444" t="s">
        <v>56</v>
      </c>
      <c r="B444">
        <v>0</v>
      </c>
      <c r="C444">
        <v>1</v>
      </c>
      <c r="D444">
        <v>0</v>
      </c>
      <c r="E444">
        <v>0</v>
      </c>
      <c r="F444">
        <v>0</v>
      </c>
      <c r="G444">
        <v>31.878540000000001</v>
      </c>
      <c r="H444">
        <v>120</v>
      </c>
      <c r="I444">
        <v>1</v>
      </c>
      <c r="J444">
        <v>1</v>
      </c>
      <c r="K444">
        <v>1</v>
      </c>
      <c r="L444">
        <v>38</v>
      </c>
      <c r="M444">
        <v>0</v>
      </c>
      <c r="O444" s="6" t="s">
        <v>55</v>
      </c>
      <c r="P444" s="7">
        <v>0</v>
      </c>
      <c r="Q444" s="7">
        <v>1</v>
      </c>
      <c r="R444" s="7">
        <v>0</v>
      </c>
      <c r="S444" s="7">
        <v>0</v>
      </c>
      <c r="T444" s="7">
        <v>35</v>
      </c>
      <c r="U444" s="7">
        <v>18.59778</v>
      </c>
      <c r="V444" s="7">
        <v>80</v>
      </c>
      <c r="W444" s="7">
        <v>1</v>
      </c>
      <c r="X444" s="7">
        <v>1</v>
      </c>
      <c r="Y444" s="7">
        <v>1</v>
      </c>
      <c r="Z444" s="7">
        <v>79</v>
      </c>
      <c r="AA444" s="8">
        <v>0</v>
      </c>
      <c r="AD444" t="s">
        <v>303</v>
      </c>
      <c r="AE444">
        <v>1.9166666666666667</v>
      </c>
      <c r="AF444">
        <v>2.0416666666666665</v>
      </c>
      <c r="AG444">
        <v>0.125</v>
      </c>
      <c r="AH444">
        <v>2.2083333333333335</v>
      </c>
      <c r="AI444">
        <v>40.833333333333336</v>
      </c>
      <c r="AJ444">
        <v>104.64313541666667</v>
      </c>
      <c r="AK444">
        <v>420.58333333333331</v>
      </c>
      <c r="AL444">
        <v>1.3333333333333333</v>
      </c>
      <c r="AM444">
        <v>2.9583333333333335</v>
      </c>
      <c r="AN444">
        <v>6.125</v>
      </c>
      <c r="AO444">
        <v>175.83333333333334</v>
      </c>
      <c r="AP444">
        <v>5.625</v>
      </c>
    </row>
    <row r="445" spans="1:42" x14ac:dyDescent="0.25">
      <c r="A445" t="s">
        <v>56</v>
      </c>
      <c r="B445">
        <v>0</v>
      </c>
      <c r="C445">
        <v>1</v>
      </c>
      <c r="D445">
        <v>0</v>
      </c>
      <c r="E445">
        <v>0</v>
      </c>
      <c r="F445">
        <v>0</v>
      </c>
      <c r="G445">
        <v>32.801639999999999</v>
      </c>
      <c r="H445">
        <v>0</v>
      </c>
      <c r="I445">
        <v>1</v>
      </c>
      <c r="J445">
        <v>1</v>
      </c>
      <c r="K445">
        <v>0</v>
      </c>
      <c r="L445">
        <v>32</v>
      </c>
      <c r="M445">
        <v>5</v>
      </c>
      <c r="O445" s="3" t="s">
        <v>55</v>
      </c>
      <c r="P445" s="4">
        <v>0</v>
      </c>
      <c r="Q445" s="4">
        <v>1</v>
      </c>
      <c r="R445" s="4">
        <v>0</v>
      </c>
      <c r="S445" s="4">
        <v>0</v>
      </c>
      <c r="T445" s="4">
        <v>59</v>
      </c>
      <c r="U445" s="4">
        <v>75.976929999999996</v>
      </c>
      <c r="V445" s="4">
        <v>120</v>
      </c>
      <c r="W445" s="4">
        <v>0</v>
      </c>
      <c r="X445" s="4">
        <v>1</v>
      </c>
      <c r="Y445" s="4">
        <v>2</v>
      </c>
      <c r="Z445" s="4">
        <v>345</v>
      </c>
      <c r="AA445" s="5">
        <v>1</v>
      </c>
      <c r="AD445" t="s">
        <v>302</v>
      </c>
      <c r="AE445">
        <v>1.75</v>
      </c>
      <c r="AF445">
        <v>3.0416666666666665</v>
      </c>
      <c r="AG445">
        <v>0.83333333333333337</v>
      </c>
      <c r="AH445">
        <v>0.25</v>
      </c>
      <c r="AI445">
        <v>9.2083333333333339</v>
      </c>
      <c r="AJ445">
        <v>53.840601249999999</v>
      </c>
      <c r="AK445">
        <v>220.20833333333334</v>
      </c>
      <c r="AL445">
        <v>0.20833333333333334</v>
      </c>
      <c r="AM445">
        <v>2.3333333333333335</v>
      </c>
      <c r="AN445">
        <v>0.16666666666666666</v>
      </c>
      <c r="AO445">
        <v>56.333333333333336</v>
      </c>
      <c r="AP445">
        <v>8.375</v>
      </c>
    </row>
    <row r="446" spans="1:42" x14ac:dyDescent="0.25">
      <c r="A446" t="s">
        <v>56</v>
      </c>
      <c r="B446">
        <v>5</v>
      </c>
      <c r="C446">
        <v>4</v>
      </c>
      <c r="D446">
        <v>0</v>
      </c>
      <c r="E446">
        <v>6</v>
      </c>
      <c r="F446">
        <v>17</v>
      </c>
      <c r="G446">
        <v>117.1293</v>
      </c>
      <c r="H446">
        <v>1000</v>
      </c>
      <c r="I446">
        <v>5</v>
      </c>
      <c r="J446">
        <v>8</v>
      </c>
      <c r="K446">
        <v>21</v>
      </c>
      <c r="L446">
        <v>132</v>
      </c>
      <c r="M446">
        <v>8</v>
      </c>
      <c r="O446" s="6" t="s">
        <v>55</v>
      </c>
      <c r="P446" s="7">
        <v>2</v>
      </c>
      <c r="Q446" s="7">
        <v>4</v>
      </c>
      <c r="R446" s="7">
        <v>1</v>
      </c>
      <c r="S446" s="7">
        <v>0</v>
      </c>
      <c r="T446" s="7">
        <v>110</v>
      </c>
      <c r="U446" s="7">
        <v>29.46509</v>
      </c>
      <c r="V446" s="7">
        <v>320</v>
      </c>
      <c r="W446" s="7">
        <v>1</v>
      </c>
      <c r="X446" s="7">
        <v>2</v>
      </c>
      <c r="Y446" s="7">
        <v>2</v>
      </c>
      <c r="Z446" s="7">
        <v>85</v>
      </c>
      <c r="AA446" s="8">
        <v>1</v>
      </c>
      <c r="AD446" t="s">
        <v>301</v>
      </c>
      <c r="AE446">
        <v>2.5</v>
      </c>
      <c r="AF446">
        <v>2.75</v>
      </c>
      <c r="AG446">
        <v>0.58333333333333337</v>
      </c>
      <c r="AH446">
        <v>1.4166666666666667</v>
      </c>
      <c r="AI446">
        <v>50.625</v>
      </c>
      <c r="AJ446">
        <v>157.56737875000005</v>
      </c>
      <c r="AK446">
        <v>552.16666666666663</v>
      </c>
      <c r="AL446">
        <v>8.3333333333333329E-2</v>
      </c>
      <c r="AM446">
        <v>3.4583333333333335</v>
      </c>
      <c r="AN446">
        <v>6.375</v>
      </c>
      <c r="AO446">
        <v>42.708333333333336</v>
      </c>
      <c r="AP446">
        <v>1.8333333333333333</v>
      </c>
    </row>
    <row r="447" spans="1:42" x14ac:dyDescent="0.25">
      <c r="A447" t="s">
        <v>56</v>
      </c>
      <c r="B447">
        <v>1</v>
      </c>
      <c r="C447">
        <v>3</v>
      </c>
      <c r="D447">
        <v>0</v>
      </c>
      <c r="E447">
        <v>0</v>
      </c>
      <c r="F447">
        <v>0</v>
      </c>
      <c r="G447">
        <v>78.670779999999993</v>
      </c>
      <c r="H447">
        <v>400</v>
      </c>
      <c r="I447">
        <v>2</v>
      </c>
      <c r="J447">
        <v>2</v>
      </c>
      <c r="K447">
        <v>20</v>
      </c>
      <c r="L447">
        <v>108</v>
      </c>
      <c r="M447">
        <v>1</v>
      </c>
      <c r="O447" s="3" t="s">
        <v>55</v>
      </c>
      <c r="P447" s="4">
        <v>2</v>
      </c>
      <c r="Q447" s="4">
        <v>1</v>
      </c>
      <c r="R447" s="4">
        <v>0</v>
      </c>
      <c r="S447" s="4">
        <v>15</v>
      </c>
      <c r="T447" s="4">
        <v>177</v>
      </c>
      <c r="U447" s="4">
        <v>93.080200000000005</v>
      </c>
      <c r="V447" s="4">
        <v>320</v>
      </c>
      <c r="W447" s="4">
        <v>4</v>
      </c>
      <c r="X447" s="4">
        <v>4</v>
      </c>
      <c r="Y447" s="4">
        <v>3</v>
      </c>
      <c r="Z447" s="4">
        <v>281</v>
      </c>
      <c r="AA447" s="5">
        <v>8</v>
      </c>
      <c r="AD447" t="s">
        <v>300</v>
      </c>
      <c r="AE447">
        <v>0</v>
      </c>
      <c r="AF447">
        <v>2.4583333333333335</v>
      </c>
      <c r="AG447">
        <v>1</v>
      </c>
      <c r="AH447">
        <v>0</v>
      </c>
      <c r="AI447">
        <v>0</v>
      </c>
      <c r="AJ447">
        <v>0.19488402541666663</v>
      </c>
      <c r="AK447">
        <v>0</v>
      </c>
      <c r="AL447">
        <v>0</v>
      </c>
      <c r="AM447">
        <v>0</v>
      </c>
      <c r="AN447">
        <v>0</v>
      </c>
      <c r="AO447">
        <v>0.16666666666666666</v>
      </c>
      <c r="AP447">
        <v>0</v>
      </c>
    </row>
    <row r="448" spans="1:42" x14ac:dyDescent="0.25">
      <c r="A448" t="s">
        <v>56</v>
      </c>
      <c r="B448">
        <v>0</v>
      </c>
      <c r="C448">
        <v>1</v>
      </c>
      <c r="D448">
        <v>0</v>
      </c>
      <c r="E448">
        <v>0</v>
      </c>
      <c r="F448">
        <v>0</v>
      </c>
      <c r="G448">
        <v>17.499510000000001</v>
      </c>
      <c r="H448">
        <v>80</v>
      </c>
      <c r="I448">
        <v>1</v>
      </c>
      <c r="J448">
        <v>1</v>
      </c>
      <c r="K448">
        <v>1</v>
      </c>
      <c r="L448">
        <v>24</v>
      </c>
      <c r="M448">
        <v>0</v>
      </c>
      <c r="O448" s="6" t="s">
        <v>55</v>
      </c>
      <c r="P448" s="7">
        <v>0</v>
      </c>
      <c r="Q448" s="7">
        <v>1</v>
      </c>
      <c r="R448" s="7">
        <v>0</v>
      </c>
      <c r="S448" s="7">
        <v>0</v>
      </c>
      <c r="T448" s="7">
        <v>0</v>
      </c>
      <c r="U448" s="7">
        <v>35.019170000000003</v>
      </c>
      <c r="V448" s="7">
        <v>160</v>
      </c>
      <c r="W448" s="7">
        <v>1</v>
      </c>
      <c r="X448" s="7">
        <v>1</v>
      </c>
      <c r="Y448" s="7">
        <v>3</v>
      </c>
      <c r="Z448" s="7">
        <v>137</v>
      </c>
      <c r="AA448" s="8">
        <v>0</v>
      </c>
      <c r="AD448" t="s">
        <v>299</v>
      </c>
      <c r="AE448">
        <v>5.208333333333333</v>
      </c>
      <c r="AF448">
        <v>2.8333333333333335</v>
      </c>
      <c r="AG448">
        <v>0.70833333333333337</v>
      </c>
      <c r="AH448">
        <v>4.1666666666666664E-2</v>
      </c>
      <c r="AI448">
        <v>174.75</v>
      </c>
      <c r="AJ448">
        <v>203.12332083333331</v>
      </c>
      <c r="AK448">
        <v>832.45833333333337</v>
      </c>
      <c r="AL448">
        <v>0</v>
      </c>
      <c r="AM448">
        <v>5.541666666666667</v>
      </c>
      <c r="AN448">
        <v>7.958333333333333</v>
      </c>
      <c r="AO448">
        <v>62.416666666666664</v>
      </c>
      <c r="AP448">
        <v>8.3333333333333329E-2</v>
      </c>
    </row>
    <row r="449" spans="1:42" x14ac:dyDescent="0.25">
      <c r="A449" t="s">
        <v>56</v>
      </c>
      <c r="B449">
        <v>0</v>
      </c>
      <c r="C449">
        <v>1</v>
      </c>
      <c r="D449">
        <v>0</v>
      </c>
      <c r="E449">
        <v>1</v>
      </c>
      <c r="F449">
        <v>4</v>
      </c>
      <c r="G449">
        <v>59.690429999999999</v>
      </c>
      <c r="H449">
        <v>100</v>
      </c>
      <c r="I449">
        <v>1</v>
      </c>
      <c r="J449">
        <v>1</v>
      </c>
      <c r="K449">
        <v>5</v>
      </c>
      <c r="L449">
        <v>52</v>
      </c>
      <c r="M449">
        <v>14</v>
      </c>
      <c r="O449" s="3" t="s">
        <v>55</v>
      </c>
      <c r="P449" s="4">
        <v>2</v>
      </c>
      <c r="Q449" s="4">
        <v>4</v>
      </c>
      <c r="R449" s="4">
        <v>1</v>
      </c>
      <c r="S449" s="4">
        <v>13</v>
      </c>
      <c r="T449" s="4">
        <v>34</v>
      </c>
      <c r="U449" s="4">
        <v>60.39087</v>
      </c>
      <c r="V449" s="4">
        <v>400</v>
      </c>
      <c r="W449" s="4">
        <v>1</v>
      </c>
      <c r="X449" s="4">
        <v>1</v>
      </c>
      <c r="Y449" s="4">
        <v>5</v>
      </c>
      <c r="Z449" s="4">
        <v>209</v>
      </c>
      <c r="AA449" s="5">
        <v>0</v>
      </c>
      <c r="AD449" t="s">
        <v>298</v>
      </c>
      <c r="AE449">
        <v>0.41666666666666669</v>
      </c>
      <c r="AF449">
        <v>2.1666666666666665</v>
      </c>
      <c r="AG449">
        <v>0</v>
      </c>
      <c r="AH449">
        <v>0.91666666666666663</v>
      </c>
      <c r="AI449">
        <v>38.583333333333336</v>
      </c>
      <c r="AJ449">
        <v>64.063787083333324</v>
      </c>
      <c r="AK449">
        <v>177.79166666666666</v>
      </c>
      <c r="AL449">
        <v>2.875</v>
      </c>
      <c r="AM449">
        <v>1.4166666666666667</v>
      </c>
      <c r="AN449">
        <v>2.5833333333333335</v>
      </c>
      <c r="AO449">
        <v>26.583333333333332</v>
      </c>
      <c r="AP449">
        <v>7.583333333333333</v>
      </c>
    </row>
    <row r="450" spans="1:42" x14ac:dyDescent="0.25">
      <c r="A450" t="s">
        <v>56</v>
      </c>
      <c r="B450">
        <v>0</v>
      </c>
      <c r="C450">
        <v>1</v>
      </c>
      <c r="D450">
        <v>0</v>
      </c>
      <c r="E450">
        <v>0</v>
      </c>
      <c r="F450">
        <v>0</v>
      </c>
      <c r="G450">
        <v>38.978389999999997</v>
      </c>
      <c r="H450">
        <v>80</v>
      </c>
      <c r="I450">
        <v>1</v>
      </c>
      <c r="J450">
        <v>1</v>
      </c>
      <c r="K450">
        <v>2</v>
      </c>
      <c r="L450">
        <v>62</v>
      </c>
      <c r="M450">
        <v>0</v>
      </c>
      <c r="O450" s="6" t="s">
        <v>55</v>
      </c>
      <c r="P450" s="7">
        <v>1</v>
      </c>
      <c r="Q450" s="7">
        <v>3</v>
      </c>
      <c r="R450" s="7">
        <v>0</v>
      </c>
      <c r="S450" s="7">
        <v>3</v>
      </c>
      <c r="T450" s="7">
        <v>98</v>
      </c>
      <c r="U450" s="7">
        <v>83.034909999999996</v>
      </c>
      <c r="V450" s="7">
        <v>400</v>
      </c>
      <c r="W450" s="7">
        <v>2</v>
      </c>
      <c r="X450" s="7">
        <v>2</v>
      </c>
      <c r="Y450" s="7">
        <v>6</v>
      </c>
      <c r="Z450" s="7">
        <v>342</v>
      </c>
      <c r="AA450" s="8">
        <v>0</v>
      </c>
      <c r="AD450" t="s">
        <v>297</v>
      </c>
      <c r="AE450">
        <v>3.2916666666666665</v>
      </c>
      <c r="AF450">
        <v>2.7916666666666665</v>
      </c>
      <c r="AG450">
        <v>0.91666666666666663</v>
      </c>
      <c r="AH450">
        <v>0</v>
      </c>
      <c r="AI450">
        <v>0</v>
      </c>
      <c r="AJ450">
        <v>79.327550416666682</v>
      </c>
      <c r="AK450">
        <v>389.66666666666669</v>
      </c>
      <c r="AL450">
        <v>0</v>
      </c>
      <c r="AM450">
        <v>2.2916666666666665</v>
      </c>
      <c r="AN450">
        <v>0</v>
      </c>
      <c r="AO450">
        <v>201.29166666666666</v>
      </c>
      <c r="AP450">
        <v>9.9583333333333339</v>
      </c>
    </row>
    <row r="451" spans="1:42" x14ac:dyDescent="0.25">
      <c r="A451" t="s">
        <v>56</v>
      </c>
      <c r="B451">
        <v>0</v>
      </c>
      <c r="C451">
        <v>1</v>
      </c>
      <c r="D451">
        <v>0</v>
      </c>
      <c r="E451">
        <v>1</v>
      </c>
      <c r="F451">
        <v>5</v>
      </c>
      <c r="G451">
        <v>37.034300000000002</v>
      </c>
      <c r="H451">
        <v>0</v>
      </c>
      <c r="I451">
        <v>1</v>
      </c>
      <c r="J451">
        <v>1</v>
      </c>
      <c r="K451">
        <v>0</v>
      </c>
      <c r="L451">
        <v>32</v>
      </c>
      <c r="M451">
        <v>5</v>
      </c>
      <c r="O451" s="3" t="s">
        <v>55</v>
      </c>
      <c r="P451" s="4">
        <v>0</v>
      </c>
      <c r="Q451" s="4">
        <v>1</v>
      </c>
      <c r="R451" s="4">
        <v>0</v>
      </c>
      <c r="S451" s="4">
        <v>0</v>
      </c>
      <c r="T451" s="4">
        <v>16</v>
      </c>
      <c r="U451" s="4">
        <v>30.972899999999999</v>
      </c>
      <c r="V451" s="4">
        <v>0</v>
      </c>
      <c r="W451" s="4">
        <v>1</v>
      </c>
      <c r="X451" s="4">
        <v>1</v>
      </c>
      <c r="Y451" s="4">
        <v>0</v>
      </c>
      <c r="Z451" s="4">
        <v>135</v>
      </c>
      <c r="AA451" s="5">
        <v>0</v>
      </c>
      <c r="AD451" t="s">
        <v>296</v>
      </c>
      <c r="AE451">
        <v>3.5833333333333335</v>
      </c>
      <c r="AF451">
        <v>2.125</v>
      </c>
      <c r="AG451">
        <v>4.1666666666666664E-2</v>
      </c>
      <c r="AH451">
        <v>14.916666666666666</v>
      </c>
      <c r="AI451">
        <v>143.41666666666666</v>
      </c>
      <c r="AJ451">
        <v>131.44808208333333</v>
      </c>
      <c r="AK451">
        <v>725.33333333333337</v>
      </c>
      <c r="AL451">
        <v>0.66666666666666663</v>
      </c>
      <c r="AM451">
        <v>4.583333333333333</v>
      </c>
      <c r="AN451">
        <v>6.625</v>
      </c>
      <c r="AO451">
        <v>177.70833333333334</v>
      </c>
      <c r="AP451">
        <v>8.875</v>
      </c>
    </row>
    <row r="452" spans="1:42" x14ac:dyDescent="0.25">
      <c r="A452" t="s">
        <v>56</v>
      </c>
      <c r="B452">
        <v>2</v>
      </c>
      <c r="C452">
        <v>3</v>
      </c>
      <c r="D452">
        <v>0</v>
      </c>
      <c r="E452">
        <v>0</v>
      </c>
      <c r="F452">
        <v>0</v>
      </c>
      <c r="G452">
        <v>98.73657</v>
      </c>
      <c r="H452">
        <v>720</v>
      </c>
      <c r="I452">
        <v>3</v>
      </c>
      <c r="J452">
        <v>3</v>
      </c>
      <c r="K452">
        <v>15</v>
      </c>
      <c r="L452">
        <v>145</v>
      </c>
      <c r="M452">
        <v>2</v>
      </c>
      <c r="O452" s="6" t="s">
        <v>55</v>
      </c>
      <c r="P452" s="7">
        <v>2</v>
      </c>
      <c r="Q452" s="7">
        <v>4</v>
      </c>
      <c r="R452" s="7">
        <v>1</v>
      </c>
      <c r="S452" s="7">
        <v>0</v>
      </c>
      <c r="T452" s="7">
        <v>37</v>
      </c>
      <c r="U452" s="7">
        <v>20.138670000000001</v>
      </c>
      <c r="V452" s="7">
        <v>266</v>
      </c>
      <c r="W452" s="7">
        <v>1</v>
      </c>
      <c r="X452" s="7">
        <v>1</v>
      </c>
      <c r="Y452" s="7">
        <v>1</v>
      </c>
      <c r="Z452" s="7">
        <v>56</v>
      </c>
      <c r="AA452" s="8">
        <v>0</v>
      </c>
      <c r="AD452" t="s">
        <v>295</v>
      </c>
      <c r="AE452">
        <v>1.0416666666666667</v>
      </c>
      <c r="AF452">
        <v>1.875</v>
      </c>
      <c r="AG452">
        <v>0.66666666666666663</v>
      </c>
      <c r="AH452">
        <v>0.33333333333333331</v>
      </c>
      <c r="AI452">
        <v>6.333333333333333</v>
      </c>
      <c r="AJ452">
        <v>68.13300760833333</v>
      </c>
      <c r="AK452">
        <v>211.375</v>
      </c>
      <c r="AL452">
        <v>0</v>
      </c>
      <c r="AM452">
        <v>2.0416666666666665</v>
      </c>
      <c r="AN452">
        <v>5.625</v>
      </c>
      <c r="AO452">
        <v>92.375</v>
      </c>
      <c r="AP452">
        <v>1.9166666666666667</v>
      </c>
    </row>
    <row r="453" spans="1:42" x14ac:dyDescent="0.25">
      <c r="A453" t="s">
        <v>56</v>
      </c>
      <c r="B453">
        <v>0</v>
      </c>
      <c r="C453">
        <v>1</v>
      </c>
      <c r="D453">
        <v>0</v>
      </c>
      <c r="E453">
        <v>0</v>
      </c>
      <c r="F453">
        <v>0</v>
      </c>
      <c r="G453">
        <v>32.40137</v>
      </c>
      <c r="H453">
        <v>40</v>
      </c>
      <c r="I453">
        <v>1</v>
      </c>
      <c r="J453">
        <v>1</v>
      </c>
      <c r="K453">
        <v>0</v>
      </c>
      <c r="L453">
        <v>42</v>
      </c>
      <c r="M453">
        <v>0</v>
      </c>
      <c r="O453" s="3" t="s">
        <v>55</v>
      </c>
      <c r="P453" s="4">
        <v>7</v>
      </c>
      <c r="Q453" s="4">
        <v>4</v>
      </c>
      <c r="R453" s="4">
        <v>1</v>
      </c>
      <c r="S453" s="4">
        <v>24</v>
      </c>
      <c r="T453" s="4">
        <v>300</v>
      </c>
      <c r="U453" s="4">
        <v>232.2758</v>
      </c>
      <c r="V453" s="4">
        <v>1436</v>
      </c>
      <c r="W453" s="4">
        <v>6</v>
      </c>
      <c r="X453" s="4">
        <v>5</v>
      </c>
      <c r="Y453" s="4">
        <v>21</v>
      </c>
      <c r="Z453" s="4">
        <v>791</v>
      </c>
      <c r="AA453" s="5">
        <v>4</v>
      </c>
      <c r="AD453" t="s">
        <v>294</v>
      </c>
      <c r="AE453">
        <v>1.2083333333333333</v>
      </c>
      <c r="AF453">
        <v>1.1666666666666667</v>
      </c>
      <c r="AG453">
        <v>0</v>
      </c>
      <c r="AH453">
        <v>5.166666666666667</v>
      </c>
      <c r="AI453">
        <v>44.666666666666664</v>
      </c>
      <c r="AJ453">
        <v>65.588327500000005</v>
      </c>
      <c r="AK453">
        <v>224.66666666666666</v>
      </c>
      <c r="AL453">
        <v>2.2916666666666665</v>
      </c>
      <c r="AM453">
        <v>2.2083333333333335</v>
      </c>
      <c r="AN453">
        <v>1.625</v>
      </c>
      <c r="AO453">
        <v>114.125</v>
      </c>
      <c r="AP453">
        <v>0.45833333333333331</v>
      </c>
    </row>
    <row r="454" spans="1:42" x14ac:dyDescent="0.25">
      <c r="A454" t="s">
        <v>56</v>
      </c>
      <c r="B454">
        <v>0</v>
      </c>
      <c r="C454">
        <v>1</v>
      </c>
      <c r="D454">
        <v>0</v>
      </c>
      <c r="E454">
        <v>0</v>
      </c>
      <c r="F454">
        <v>0</v>
      </c>
      <c r="G454">
        <v>31.713619999999999</v>
      </c>
      <c r="H454">
        <v>120</v>
      </c>
      <c r="I454">
        <v>1</v>
      </c>
      <c r="J454">
        <v>1</v>
      </c>
      <c r="K454">
        <v>2</v>
      </c>
      <c r="L454">
        <v>39</v>
      </c>
      <c r="M454">
        <v>0</v>
      </c>
      <c r="O454" s="10" t="s">
        <v>12</v>
      </c>
      <c r="P454" s="9">
        <f t="shared" ref="P454:AA454" si="17">AVERAGE(P430:P453)</f>
        <v>1.3333333333333333</v>
      </c>
      <c r="Q454" s="9">
        <f t="shared" si="17"/>
        <v>2.4166666666666665</v>
      </c>
      <c r="R454" s="9">
        <f t="shared" si="17"/>
        <v>0.41666666666666669</v>
      </c>
      <c r="S454" s="9">
        <f t="shared" si="17"/>
        <v>2.9583333333333335</v>
      </c>
      <c r="T454" s="9">
        <f t="shared" si="17"/>
        <v>216.375</v>
      </c>
      <c r="U454" s="9">
        <f t="shared" si="17"/>
        <v>72.181932083333336</v>
      </c>
      <c r="V454" s="9">
        <f t="shared" si="17"/>
        <v>312.58333333333331</v>
      </c>
      <c r="W454" s="9">
        <f t="shared" si="17"/>
        <v>1.5833333333333333</v>
      </c>
      <c r="X454" s="9">
        <f t="shared" si="17"/>
        <v>2.0416666666666665</v>
      </c>
      <c r="Y454" s="9">
        <f t="shared" si="17"/>
        <v>5.916666666666667</v>
      </c>
      <c r="Z454" s="9">
        <f t="shared" si="17"/>
        <v>204.33333333333334</v>
      </c>
      <c r="AA454" s="9">
        <f t="shared" si="17"/>
        <v>1.25</v>
      </c>
      <c r="AD454" t="s">
        <v>293</v>
      </c>
      <c r="AE454">
        <v>2.25</v>
      </c>
      <c r="AF454">
        <v>2.5</v>
      </c>
      <c r="AG454">
        <v>0.95833333333333337</v>
      </c>
      <c r="AH454">
        <v>0</v>
      </c>
      <c r="AI454">
        <v>0</v>
      </c>
      <c r="AJ454">
        <v>56.200184624999999</v>
      </c>
      <c r="AK454">
        <v>263.45833333333331</v>
      </c>
      <c r="AL454">
        <v>0</v>
      </c>
      <c r="AM454">
        <v>0</v>
      </c>
      <c r="AN454">
        <v>4.1666666666666664E-2</v>
      </c>
      <c r="AO454">
        <v>128.95833333333334</v>
      </c>
      <c r="AP454">
        <v>1.875</v>
      </c>
    </row>
    <row r="455" spans="1:42" x14ac:dyDescent="0.25">
      <c r="A455" t="s">
        <v>56</v>
      </c>
      <c r="B455">
        <v>0</v>
      </c>
      <c r="C455">
        <v>1</v>
      </c>
      <c r="D455">
        <v>0</v>
      </c>
      <c r="E455">
        <v>0</v>
      </c>
      <c r="F455">
        <v>0</v>
      </c>
      <c r="G455">
        <v>30.171880000000002</v>
      </c>
      <c r="H455">
        <v>80</v>
      </c>
      <c r="I455">
        <v>1</v>
      </c>
      <c r="J455">
        <v>1</v>
      </c>
      <c r="K455">
        <v>1</v>
      </c>
      <c r="L455">
        <v>30</v>
      </c>
      <c r="M455">
        <v>4</v>
      </c>
      <c r="O455" s="6" t="s">
        <v>56</v>
      </c>
      <c r="P455" s="7">
        <v>0</v>
      </c>
      <c r="Q455" s="7">
        <v>1</v>
      </c>
      <c r="R455" s="7">
        <v>0</v>
      </c>
      <c r="S455" s="7">
        <v>0</v>
      </c>
      <c r="T455" s="7">
        <v>0</v>
      </c>
      <c r="U455" s="7">
        <v>101.5073</v>
      </c>
      <c r="V455" s="7">
        <v>320</v>
      </c>
      <c r="W455" s="7">
        <v>0</v>
      </c>
      <c r="X455" s="7">
        <v>1</v>
      </c>
      <c r="Y455" s="7">
        <v>9</v>
      </c>
      <c r="Z455" s="7">
        <v>94</v>
      </c>
      <c r="AA455" s="8">
        <v>165</v>
      </c>
      <c r="AD455" t="s">
        <v>292</v>
      </c>
      <c r="AE455">
        <v>1.375</v>
      </c>
      <c r="AF455">
        <v>2.0833333333333335</v>
      </c>
      <c r="AG455">
        <v>0.41666666666666669</v>
      </c>
      <c r="AH455">
        <v>2.125</v>
      </c>
      <c r="AI455">
        <v>77.125</v>
      </c>
      <c r="AJ455">
        <v>97.255400416666646</v>
      </c>
      <c r="AK455">
        <v>216.83333333333334</v>
      </c>
      <c r="AL455">
        <v>0.20833333333333334</v>
      </c>
      <c r="AM455">
        <v>2.4583333333333335</v>
      </c>
      <c r="AN455">
        <v>1</v>
      </c>
      <c r="AO455">
        <v>55.625</v>
      </c>
      <c r="AP455">
        <v>136.58333333333334</v>
      </c>
    </row>
    <row r="456" spans="1:42" x14ac:dyDescent="0.25">
      <c r="A456" t="s">
        <v>56</v>
      </c>
      <c r="B456">
        <v>0</v>
      </c>
      <c r="C456">
        <v>1</v>
      </c>
      <c r="D456">
        <v>0</v>
      </c>
      <c r="E456">
        <v>0</v>
      </c>
      <c r="F456">
        <v>0</v>
      </c>
      <c r="G456">
        <v>36.022089999999999</v>
      </c>
      <c r="H456">
        <v>107</v>
      </c>
      <c r="I456">
        <v>1</v>
      </c>
      <c r="J456">
        <v>1</v>
      </c>
      <c r="K456">
        <v>9</v>
      </c>
      <c r="L456">
        <v>50</v>
      </c>
      <c r="M456">
        <v>3</v>
      </c>
      <c r="O456" s="3" t="s">
        <v>56</v>
      </c>
      <c r="P456" s="4">
        <v>12</v>
      </c>
      <c r="Q456" s="4">
        <v>4</v>
      </c>
      <c r="R456" s="4">
        <v>0</v>
      </c>
      <c r="S456" s="4">
        <v>12</v>
      </c>
      <c r="T456" s="4">
        <v>48</v>
      </c>
      <c r="U456" s="4">
        <v>329.6456</v>
      </c>
      <c r="V456" s="4">
        <v>1440</v>
      </c>
      <c r="W456" s="4">
        <v>1</v>
      </c>
      <c r="X456" s="4">
        <v>13</v>
      </c>
      <c r="Y456" s="4">
        <v>38</v>
      </c>
      <c r="Z456" s="4">
        <v>282</v>
      </c>
      <c r="AA456" s="5">
        <v>256</v>
      </c>
      <c r="AD456" t="s">
        <v>291</v>
      </c>
      <c r="AE456">
        <v>0.95833333333333337</v>
      </c>
      <c r="AF456">
        <v>1.8333333333333333</v>
      </c>
      <c r="AG456">
        <v>0</v>
      </c>
      <c r="AH456">
        <v>13.708333333333334</v>
      </c>
      <c r="AI456">
        <v>23.708333333333332</v>
      </c>
      <c r="AJ456">
        <v>80.80998666666666</v>
      </c>
      <c r="AK456">
        <v>243.75</v>
      </c>
      <c r="AL456">
        <v>1.75</v>
      </c>
      <c r="AM456">
        <v>2.0416666666666665</v>
      </c>
      <c r="AN456">
        <v>3.9583333333333335</v>
      </c>
      <c r="AO456">
        <v>31.583333333333332</v>
      </c>
      <c r="AP456">
        <v>2.4583333333333335</v>
      </c>
    </row>
    <row r="457" spans="1:42" x14ac:dyDescent="0.25">
      <c r="A457" t="s">
        <v>56</v>
      </c>
      <c r="B457">
        <v>4</v>
      </c>
      <c r="C457">
        <v>4</v>
      </c>
      <c r="D457">
        <v>0</v>
      </c>
      <c r="E457">
        <v>4</v>
      </c>
      <c r="F457">
        <v>19</v>
      </c>
      <c r="G457">
        <v>265.49</v>
      </c>
      <c r="H457">
        <v>1000</v>
      </c>
      <c r="I457">
        <v>5</v>
      </c>
      <c r="J457">
        <v>5</v>
      </c>
      <c r="K457">
        <v>31</v>
      </c>
      <c r="L457">
        <v>270</v>
      </c>
      <c r="M457">
        <v>4</v>
      </c>
      <c r="O457" s="6" t="s">
        <v>56</v>
      </c>
      <c r="P457" s="7">
        <v>0</v>
      </c>
      <c r="Q457" s="7">
        <v>1</v>
      </c>
      <c r="R457" s="7">
        <v>0</v>
      </c>
      <c r="S457" s="7">
        <v>0</v>
      </c>
      <c r="T457" s="7">
        <v>0</v>
      </c>
      <c r="U457" s="7">
        <v>33.666870000000003</v>
      </c>
      <c r="V457" s="7">
        <v>200</v>
      </c>
      <c r="W457" s="7">
        <v>1</v>
      </c>
      <c r="X457" s="7">
        <v>1</v>
      </c>
      <c r="Y457" s="7">
        <v>9</v>
      </c>
      <c r="Z457" s="7">
        <v>52</v>
      </c>
      <c r="AA457" s="8">
        <v>0</v>
      </c>
      <c r="AD457" t="s">
        <v>290</v>
      </c>
      <c r="AE457">
        <v>0.91666666666666663</v>
      </c>
      <c r="AF457">
        <v>1.5</v>
      </c>
      <c r="AG457">
        <v>0</v>
      </c>
      <c r="AH457">
        <v>15.166666666666666</v>
      </c>
      <c r="AI457">
        <v>46.166666666666664</v>
      </c>
      <c r="AJ457">
        <v>80.26651541666665</v>
      </c>
      <c r="AK457">
        <v>282.83333333333331</v>
      </c>
      <c r="AL457">
        <v>2.0416666666666665</v>
      </c>
      <c r="AM457">
        <v>2.2916666666666665</v>
      </c>
      <c r="AN457">
        <v>3.125</v>
      </c>
      <c r="AO457">
        <v>26.958333333333332</v>
      </c>
      <c r="AP457">
        <v>0</v>
      </c>
    </row>
    <row r="458" spans="1:42" x14ac:dyDescent="0.25">
      <c r="A458" t="s">
        <v>12</v>
      </c>
      <c r="B458">
        <f>SUBTOTAL(101,drive_download_20240415T144529Z_001[deaths])</f>
        <v>1.8552631578947369</v>
      </c>
      <c r="C458">
        <f>SUBTOTAL(101,drive_download_20240415T144529Z_001[frustlevel])</f>
        <v>2.1403508771929824</v>
      </c>
      <c r="D458">
        <f>SUBTOTAL(101,drive_download_20240415T144529Z_001[skipped])</f>
        <v>0.37061403508771928</v>
      </c>
      <c r="E458">
        <f>SUBTOTAL(101,drive_download_20240415T144529Z_001[dodges])</f>
        <v>3.7543859649122808</v>
      </c>
      <c r="F458">
        <f>SUBTOTAL(101,drive_download_20240415T144529Z_001[sprintes])</f>
        <v>107.05043859649123</v>
      </c>
      <c r="G458">
        <f>SUBTOTAL(101,drive_download_20240415T144529Z_001[ttk])</f>
        <v>93.105941250460504</v>
      </c>
      <c r="H458">
        <f>SUBTOTAL(101,drive_download_20240415T144529Z_001[damagetotal])</f>
        <v>352.78289473684208</v>
      </c>
      <c r="I458">
        <f>SUBTOTAL(101,drive_download_20240415T144529Z_001[twohandend])</f>
        <v>1.1600877192982457</v>
      </c>
      <c r="J458">
        <f>SUBTOTAL(101,drive_download_20240415T144529Z_001[lockons])</f>
        <v>2.4758771929824563</v>
      </c>
      <c r="K458">
        <f>SUBTOTAL(101,drive_download_20240415T144529Z_001[consumeable])</f>
        <v>3.8925438596491229</v>
      </c>
      <c r="L458">
        <f>SUBTOTAL(101,drive_download_20240415T144529Z_001[light])</f>
        <v>91</v>
      </c>
      <c r="M458">
        <f>SUBTOTAL(101,drive_download_20240415T144529Z_001[heavy])</f>
        <v>13.572368421052632</v>
      </c>
      <c r="O458" s="3" t="s">
        <v>56</v>
      </c>
      <c r="P458" s="4">
        <v>0</v>
      </c>
      <c r="Q458" s="4">
        <v>1</v>
      </c>
      <c r="R458" s="4">
        <v>0</v>
      </c>
      <c r="S458" s="4">
        <v>0</v>
      </c>
      <c r="T458" s="4">
        <v>0</v>
      </c>
      <c r="U458" s="4">
        <v>43.127690000000001</v>
      </c>
      <c r="V458" s="4">
        <v>160</v>
      </c>
      <c r="W458" s="4">
        <v>3</v>
      </c>
      <c r="X458" s="4">
        <v>1</v>
      </c>
      <c r="Y458" s="4">
        <v>4</v>
      </c>
      <c r="Z458" s="4">
        <v>46</v>
      </c>
      <c r="AA458" s="5">
        <v>6</v>
      </c>
      <c r="AD458" t="s">
        <v>289</v>
      </c>
      <c r="AE458">
        <v>1.3333333333333333</v>
      </c>
      <c r="AF458">
        <v>2.4166666666666665</v>
      </c>
      <c r="AG458">
        <v>0.41666666666666669</v>
      </c>
      <c r="AH458">
        <v>2.9583333333333335</v>
      </c>
      <c r="AI458">
        <v>216.375</v>
      </c>
      <c r="AJ458">
        <v>72.181932083333336</v>
      </c>
      <c r="AK458">
        <v>312.58333333333331</v>
      </c>
      <c r="AL458">
        <v>1.5833333333333333</v>
      </c>
      <c r="AM458">
        <v>2.0416666666666665</v>
      </c>
      <c r="AN458">
        <v>5.916666666666667</v>
      </c>
      <c r="AO458">
        <v>204.33333333333334</v>
      </c>
      <c r="AP458">
        <v>1.25</v>
      </c>
    </row>
    <row r="459" spans="1:42" x14ac:dyDescent="0.25">
      <c r="O459" s="6" t="s">
        <v>56</v>
      </c>
      <c r="P459" s="7">
        <v>1</v>
      </c>
      <c r="Q459" s="7">
        <v>1</v>
      </c>
      <c r="R459" s="7">
        <v>0</v>
      </c>
      <c r="S459" s="7">
        <v>4</v>
      </c>
      <c r="T459" s="7">
        <v>12</v>
      </c>
      <c r="U459" s="7">
        <v>42.516539999999999</v>
      </c>
      <c r="V459" s="7">
        <v>200</v>
      </c>
      <c r="W459" s="7">
        <v>4</v>
      </c>
      <c r="X459" s="7">
        <v>2</v>
      </c>
      <c r="Y459" s="7">
        <v>2</v>
      </c>
      <c r="Z459" s="7">
        <v>39</v>
      </c>
      <c r="AA459" s="8">
        <v>10</v>
      </c>
      <c r="AD459" t="s">
        <v>288</v>
      </c>
      <c r="AE459">
        <v>1.4166666666666667</v>
      </c>
      <c r="AF459">
        <v>1.7916666666666667</v>
      </c>
      <c r="AG459">
        <v>0</v>
      </c>
      <c r="AH459">
        <v>1.1666666666666667</v>
      </c>
      <c r="AI459">
        <v>4.375</v>
      </c>
      <c r="AJ459">
        <v>76.39120208333334</v>
      </c>
      <c r="AK459">
        <v>362.29166666666669</v>
      </c>
      <c r="AL459">
        <v>2</v>
      </c>
      <c r="AM459">
        <v>2.5416666666666665</v>
      </c>
      <c r="AN459">
        <v>9.4583333333333339</v>
      </c>
      <c r="AO459">
        <v>83.958333333333329</v>
      </c>
      <c r="AP459">
        <v>25.583333333333332</v>
      </c>
    </row>
    <row r="460" spans="1:42" x14ac:dyDescent="0.25">
      <c r="O460" s="3" t="s">
        <v>56</v>
      </c>
      <c r="P460" s="4">
        <v>2</v>
      </c>
      <c r="Q460" s="4">
        <v>3</v>
      </c>
      <c r="R460" s="4">
        <v>0</v>
      </c>
      <c r="S460" s="4">
        <v>0</v>
      </c>
      <c r="T460" s="4">
        <v>0</v>
      </c>
      <c r="U460" s="4">
        <v>71.378720000000001</v>
      </c>
      <c r="V460" s="4">
        <v>488</v>
      </c>
      <c r="W460" s="4">
        <v>3</v>
      </c>
      <c r="X460" s="4">
        <v>3</v>
      </c>
      <c r="Y460" s="4">
        <v>8</v>
      </c>
      <c r="Z460" s="4">
        <v>54</v>
      </c>
      <c r="AA460" s="5">
        <v>21</v>
      </c>
    </row>
    <row r="461" spans="1:42" x14ac:dyDescent="0.25">
      <c r="O461" s="6" t="s">
        <v>56</v>
      </c>
      <c r="P461" s="7">
        <v>0</v>
      </c>
      <c r="Q461" s="7">
        <v>1</v>
      </c>
      <c r="R461" s="7">
        <v>0</v>
      </c>
      <c r="S461" s="7">
        <v>0</v>
      </c>
      <c r="T461" s="7">
        <v>0</v>
      </c>
      <c r="U461" s="7">
        <v>22.402650000000001</v>
      </c>
      <c r="V461" s="7">
        <v>160</v>
      </c>
      <c r="W461" s="7">
        <v>1</v>
      </c>
      <c r="X461" s="7">
        <v>1</v>
      </c>
      <c r="Y461" s="7">
        <v>2</v>
      </c>
      <c r="Z461" s="7">
        <v>22</v>
      </c>
      <c r="AA461" s="8">
        <v>4</v>
      </c>
    </row>
    <row r="462" spans="1:42" x14ac:dyDescent="0.25">
      <c r="O462" s="3" t="s">
        <v>56</v>
      </c>
      <c r="P462" s="4">
        <v>4</v>
      </c>
      <c r="Q462" s="4">
        <v>3</v>
      </c>
      <c r="R462" s="4">
        <v>0</v>
      </c>
      <c r="S462" s="4">
        <v>0</v>
      </c>
      <c r="T462" s="4">
        <v>0</v>
      </c>
      <c r="U462" s="4">
        <v>158.9391</v>
      </c>
      <c r="V462" s="4">
        <v>1080</v>
      </c>
      <c r="W462" s="4">
        <v>5</v>
      </c>
      <c r="X462" s="4">
        <v>6</v>
      </c>
      <c r="Y462" s="4">
        <v>24</v>
      </c>
      <c r="Z462" s="4">
        <v>243</v>
      </c>
      <c r="AA462" s="5">
        <v>45</v>
      </c>
    </row>
    <row r="463" spans="1:42" x14ac:dyDescent="0.25">
      <c r="O463" s="6" t="s">
        <v>56</v>
      </c>
      <c r="P463" s="7">
        <v>0</v>
      </c>
      <c r="Q463" s="7">
        <v>1</v>
      </c>
      <c r="R463" s="7">
        <v>0</v>
      </c>
      <c r="S463" s="7">
        <v>0</v>
      </c>
      <c r="T463" s="7">
        <v>0</v>
      </c>
      <c r="U463" s="7">
        <v>27.975829999999998</v>
      </c>
      <c r="V463" s="7">
        <v>80</v>
      </c>
      <c r="W463" s="7">
        <v>1</v>
      </c>
      <c r="X463" s="7">
        <v>1</v>
      </c>
      <c r="Y463" s="7">
        <v>2</v>
      </c>
      <c r="Z463" s="7">
        <v>28</v>
      </c>
      <c r="AA463" s="8">
        <v>3</v>
      </c>
    </row>
    <row r="464" spans="1:42" x14ac:dyDescent="0.25">
      <c r="O464" s="3" t="s">
        <v>56</v>
      </c>
      <c r="P464" s="4">
        <v>3</v>
      </c>
      <c r="Q464" s="4">
        <v>3</v>
      </c>
      <c r="R464" s="4">
        <v>0</v>
      </c>
      <c r="S464" s="4">
        <v>0</v>
      </c>
      <c r="T464" s="4">
        <v>0</v>
      </c>
      <c r="U464" s="4">
        <v>94.010130000000004</v>
      </c>
      <c r="V464" s="4">
        <v>720</v>
      </c>
      <c r="W464" s="4">
        <v>4</v>
      </c>
      <c r="X464" s="4">
        <v>4</v>
      </c>
      <c r="Y464" s="4">
        <v>21</v>
      </c>
      <c r="Z464" s="4">
        <v>99</v>
      </c>
      <c r="AA464" s="5">
        <v>58</v>
      </c>
    </row>
    <row r="465" spans="15:27" x14ac:dyDescent="0.25">
      <c r="O465" s="6" t="s">
        <v>56</v>
      </c>
      <c r="P465" s="7">
        <v>0</v>
      </c>
      <c r="Q465" s="7">
        <v>1</v>
      </c>
      <c r="R465" s="7">
        <v>0</v>
      </c>
      <c r="S465" s="7">
        <v>0</v>
      </c>
      <c r="T465" s="7">
        <v>0</v>
      </c>
      <c r="U465" s="7">
        <v>31.878540000000001</v>
      </c>
      <c r="V465" s="7">
        <v>120</v>
      </c>
      <c r="W465" s="7">
        <v>1</v>
      </c>
      <c r="X465" s="7">
        <v>1</v>
      </c>
      <c r="Y465" s="7">
        <v>1</v>
      </c>
      <c r="Z465" s="7">
        <v>38</v>
      </c>
      <c r="AA465" s="8">
        <v>0</v>
      </c>
    </row>
    <row r="466" spans="15:27" x14ac:dyDescent="0.25">
      <c r="O466" s="3" t="s">
        <v>56</v>
      </c>
      <c r="P466" s="4">
        <v>0</v>
      </c>
      <c r="Q466" s="4">
        <v>1</v>
      </c>
      <c r="R466" s="4">
        <v>0</v>
      </c>
      <c r="S466" s="4">
        <v>0</v>
      </c>
      <c r="T466" s="4">
        <v>0</v>
      </c>
      <c r="U466" s="4">
        <v>32.801639999999999</v>
      </c>
      <c r="V466" s="4">
        <v>0</v>
      </c>
      <c r="W466" s="4">
        <v>1</v>
      </c>
      <c r="X466" s="4">
        <v>1</v>
      </c>
      <c r="Y466" s="4">
        <v>0</v>
      </c>
      <c r="Z466" s="4">
        <v>32</v>
      </c>
      <c r="AA466" s="5">
        <v>5</v>
      </c>
    </row>
    <row r="467" spans="15:27" x14ac:dyDescent="0.25">
      <c r="O467" s="6" t="s">
        <v>56</v>
      </c>
      <c r="P467" s="7">
        <v>5</v>
      </c>
      <c r="Q467" s="7">
        <v>4</v>
      </c>
      <c r="R467" s="7">
        <v>0</v>
      </c>
      <c r="S467" s="7">
        <v>6</v>
      </c>
      <c r="T467" s="7">
        <v>17</v>
      </c>
      <c r="U467" s="7">
        <v>117.1293</v>
      </c>
      <c r="V467" s="7">
        <v>1000</v>
      </c>
      <c r="W467" s="7">
        <v>5</v>
      </c>
      <c r="X467" s="7">
        <v>8</v>
      </c>
      <c r="Y467" s="7">
        <v>21</v>
      </c>
      <c r="Z467" s="7">
        <v>132</v>
      </c>
      <c r="AA467" s="8">
        <v>8</v>
      </c>
    </row>
    <row r="468" spans="15:27" x14ac:dyDescent="0.25">
      <c r="O468" s="3" t="s">
        <v>56</v>
      </c>
      <c r="P468" s="4">
        <v>1</v>
      </c>
      <c r="Q468" s="4">
        <v>3</v>
      </c>
      <c r="R468" s="4">
        <v>0</v>
      </c>
      <c r="S468" s="4">
        <v>0</v>
      </c>
      <c r="T468" s="4">
        <v>0</v>
      </c>
      <c r="U468" s="4">
        <v>78.670779999999993</v>
      </c>
      <c r="V468" s="4">
        <v>400</v>
      </c>
      <c r="W468" s="4">
        <v>2</v>
      </c>
      <c r="X468" s="4">
        <v>2</v>
      </c>
      <c r="Y468" s="4">
        <v>20</v>
      </c>
      <c r="Z468" s="4">
        <v>108</v>
      </c>
      <c r="AA468" s="5">
        <v>1</v>
      </c>
    </row>
    <row r="469" spans="15:27" x14ac:dyDescent="0.25">
      <c r="O469" s="6" t="s">
        <v>56</v>
      </c>
      <c r="P469" s="7">
        <v>0</v>
      </c>
      <c r="Q469" s="7">
        <v>1</v>
      </c>
      <c r="R469" s="7">
        <v>0</v>
      </c>
      <c r="S469" s="7">
        <v>0</v>
      </c>
      <c r="T469" s="7">
        <v>0</v>
      </c>
      <c r="U469" s="7">
        <v>17.499510000000001</v>
      </c>
      <c r="V469" s="7">
        <v>80</v>
      </c>
      <c r="W469" s="7">
        <v>1</v>
      </c>
      <c r="X469" s="7">
        <v>1</v>
      </c>
      <c r="Y469" s="7">
        <v>1</v>
      </c>
      <c r="Z469" s="7">
        <v>24</v>
      </c>
      <c r="AA469" s="8">
        <v>0</v>
      </c>
    </row>
    <row r="470" spans="15:27" x14ac:dyDescent="0.25">
      <c r="O470" s="3" t="s">
        <v>56</v>
      </c>
      <c r="P470" s="4">
        <v>0</v>
      </c>
      <c r="Q470" s="4">
        <v>1</v>
      </c>
      <c r="R470" s="4">
        <v>0</v>
      </c>
      <c r="S470" s="4">
        <v>1</v>
      </c>
      <c r="T470" s="4">
        <v>4</v>
      </c>
      <c r="U470" s="4">
        <v>59.690429999999999</v>
      </c>
      <c r="V470" s="4">
        <v>100</v>
      </c>
      <c r="W470" s="4">
        <v>1</v>
      </c>
      <c r="X470" s="4">
        <v>1</v>
      </c>
      <c r="Y470" s="4">
        <v>5</v>
      </c>
      <c r="Z470" s="4">
        <v>52</v>
      </c>
      <c r="AA470" s="5">
        <v>14</v>
      </c>
    </row>
    <row r="471" spans="15:27" x14ac:dyDescent="0.25">
      <c r="O471" s="6" t="s">
        <v>56</v>
      </c>
      <c r="P471" s="7">
        <v>0</v>
      </c>
      <c r="Q471" s="7">
        <v>1</v>
      </c>
      <c r="R471" s="7">
        <v>0</v>
      </c>
      <c r="S471" s="7">
        <v>0</v>
      </c>
      <c r="T471" s="7">
        <v>0</v>
      </c>
      <c r="U471" s="7">
        <v>38.978389999999997</v>
      </c>
      <c r="V471" s="7">
        <v>80</v>
      </c>
      <c r="W471" s="7">
        <v>1</v>
      </c>
      <c r="X471" s="7">
        <v>1</v>
      </c>
      <c r="Y471" s="7">
        <v>2</v>
      </c>
      <c r="Z471" s="7">
        <v>62</v>
      </c>
      <c r="AA471" s="8">
        <v>0</v>
      </c>
    </row>
    <row r="472" spans="15:27" x14ac:dyDescent="0.25">
      <c r="O472" s="3" t="s">
        <v>56</v>
      </c>
      <c r="P472" s="4">
        <v>0</v>
      </c>
      <c r="Q472" s="4">
        <v>1</v>
      </c>
      <c r="R472" s="4">
        <v>0</v>
      </c>
      <c r="S472" s="4">
        <v>1</v>
      </c>
      <c r="T472" s="4">
        <v>5</v>
      </c>
      <c r="U472" s="4">
        <v>37.034300000000002</v>
      </c>
      <c r="V472" s="4">
        <v>0</v>
      </c>
      <c r="W472" s="4">
        <v>1</v>
      </c>
      <c r="X472" s="4">
        <v>1</v>
      </c>
      <c r="Y472" s="4">
        <v>0</v>
      </c>
      <c r="Z472" s="4">
        <v>32</v>
      </c>
      <c r="AA472" s="5">
        <v>5</v>
      </c>
    </row>
    <row r="473" spans="15:27" x14ac:dyDescent="0.25">
      <c r="O473" s="6" t="s">
        <v>56</v>
      </c>
      <c r="P473" s="7">
        <v>2</v>
      </c>
      <c r="Q473" s="7">
        <v>3</v>
      </c>
      <c r="R473" s="7">
        <v>0</v>
      </c>
      <c r="S473" s="7">
        <v>0</v>
      </c>
      <c r="T473" s="7">
        <v>0</v>
      </c>
      <c r="U473" s="7">
        <v>98.73657</v>
      </c>
      <c r="V473" s="7">
        <v>720</v>
      </c>
      <c r="W473" s="7">
        <v>3</v>
      </c>
      <c r="X473" s="7">
        <v>3</v>
      </c>
      <c r="Y473" s="7">
        <v>15</v>
      </c>
      <c r="Z473" s="7">
        <v>145</v>
      </c>
      <c r="AA473" s="8">
        <v>2</v>
      </c>
    </row>
    <row r="474" spans="15:27" x14ac:dyDescent="0.25">
      <c r="O474" s="3" t="s">
        <v>56</v>
      </c>
      <c r="P474" s="4">
        <v>0</v>
      </c>
      <c r="Q474" s="4">
        <v>1</v>
      </c>
      <c r="R474" s="4">
        <v>0</v>
      </c>
      <c r="S474" s="4">
        <v>0</v>
      </c>
      <c r="T474" s="4">
        <v>0</v>
      </c>
      <c r="U474" s="4">
        <v>32.40137</v>
      </c>
      <c r="V474" s="4">
        <v>40</v>
      </c>
      <c r="W474" s="4">
        <v>1</v>
      </c>
      <c r="X474" s="4">
        <v>1</v>
      </c>
      <c r="Y474" s="4">
        <v>0</v>
      </c>
      <c r="Z474" s="4">
        <v>42</v>
      </c>
      <c r="AA474" s="5">
        <v>0</v>
      </c>
    </row>
    <row r="475" spans="15:27" x14ac:dyDescent="0.25">
      <c r="O475" s="6" t="s">
        <v>56</v>
      </c>
      <c r="P475" s="7">
        <v>0</v>
      </c>
      <c r="Q475" s="7">
        <v>1</v>
      </c>
      <c r="R475" s="7">
        <v>0</v>
      </c>
      <c r="S475" s="7">
        <v>0</v>
      </c>
      <c r="T475" s="7">
        <v>0</v>
      </c>
      <c r="U475" s="7">
        <v>31.713619999999999</v>
      </c>
      <c r="V475" s="7">
        <v>120</v>
      </c>
      <c r="W475" s="7">
        <v>1</v>
      </c>
      <c r="X475" s="7">
        <v>1</v>
      </c>
      <c r="Y475" s="7">
        <v>2</v>
      </c>
      <c r="Z475" s="7">
        <v>39</v>
      </c>
      <c r="AA475" s="8">
        <v>0</v>
      </c>
    </row>
    <row r="476" spans="15:27" x14ac:dyDescent="0.25">
      <c r="O476" s="3" t="s">
        <v>56</v>
      </c>
      <c r="P476" s="4">
        <v>0</v>
      </c>
      <c r="Q476" s="4">
        <v>1</v>
      </c>
      <c r="R476" s="4">
        <v>0</v>
      </c>
      <c r="S476" s="4">
        <v>0</v>
      </c>
      <c r="T476" s="4">
        <v>0</v>
      </c>
      <c r="U476" s="4">
        <v>30.171880000000002</v>
      </c>
      <c r="V476" s="4">
        <v>80</v>
      </c>
      <c r="W476" s="4">
        <v>1</v>
      </c>
      <c r="X476" s="4">
        <v>1</v>
      </c>
      <c r="Y476" s="4">
        <v>1</v>
      </c>
      <c r="Z476" s="4">
        <v>30</v>
      </c>
      <c r="AA476" s="5">
        <v>4</v>
      </c>
    </row>
    <row r="477" spans="15:27" x14ac:dyDescent="0.25">
      <c r="O477" s="6" t="s">
        <v>56</v>
      </c>
      <c r="P477" s="7">
        <v>0</v>
      </c>
      <c r="Q477" s="7">
        <v>1</v>
      </c>
      <c r="R477" s="7">
        <v>0</v>
      </c>
      <c r="S477" s="7">
        <v>0</v>
      </c>
      <c r="T477" s="7">
        <v>0</v>
      </c>
      <c r="U477" s="7">
        <v>36.022089999999999</v>
      </c>
      <c r="V477" s="7">
        <v>107</v>
      </c>
      <c r="W477" s="7">
        <v>1</v>
      </c>
      <c r="X477" s="7">
        <v>1</v>
      </c>
      <c r="Y477" s="7">
        <v>9</v>
      </c>
      <c r="Z477" s="7">
        <v>50</v>
      </c>
      <c r="AA477" s="8">
        <v>3</v>
      </c>
    </row>
    <row r="478" spans="15:27" x14ac:dyDescent="0.25">
      <c r="O478" s="3" t="s">
        <v>56</v>
      </c>
      <c r="P478" s="4">
        <v>4</v>
      </c>
      <c r="Q478" s="4">
        <v>4</v>
      </c>
      <c r="R478" s="4">
        <v>0</v>
      </c>
      <c r="S478" s="4">
        <v>4</v>
      </c>
      <c r="T478" s="4">
        <v>19</v>
      </c>
      <c r="U478" s="4">
        <v>265.49</v>
      </c>
      <c r="V478" s="4">
        <v>1000</v>
      </c>
      <c r="W478" s="4">
        <v>5</v>
      </c>
      <c r="X478" s="4">
        <v>5</v>
      </c>
      <c r="Y478" s="4">
        <v>31</v>
      </c>
      <c r="Z478" s="4">
        <v>270</v>
      </c>
      <c r="AA478" s="5">
        <v>4</v>
      </c>
    </row>
    <row r="479" spans="15:27" x14ac:dyDescent="0.25">
      <c r="O479" s="10" t="s">
        <v>12</v>
      </c>
      <c r="P479" s="9">
        <f t="shared" ref="P479:AA479" si="18">AVERAGE(P455:P478)</f>
        <v>1.4166666666666667</v>
      </c>
      <c r="Q479" s="9">
        <f t="shared" si="18"/>
        <v>1.7916666666666667</v>
      </c>
      <c r="R479" s="9">
        <f t="shared" si="18"/>
        <v>0</v>
      </c>
      <c r="S479" s="9">
        <f t="shared" si="18"/>
        <v>1.1666666666666667</v>
      </c>
      <c r="T479" s="9">
        <f t="shared" si="18"/>
        <v>4.375</v>
      </c>
      <c r="U479" s="9">
        <f t="shared" si="18"/>
        <v>76.39120208333334</v>
      </c>
      <c r="V479" s="9">
        <f t="shared" si="18"/>
        <v>362.29166666666669</v>
      </c>
      <c r="W479" s="9">
        <f t="shared" si="18"/>
        <v>2</v>
      </c>
      <c r="X479" s="9">
        <f t="shared" si="18"/>
        <v>2.5416666666666665</v>
      </c>
      <c r="Y479" s="9">
        <f t="shared" si="18"/>
        <v>9.4583333333333339</v>
      </c>
      <c r="Z479" s="9">
        <f t="shared" si="18"/>
        <v>83.958333333333329</v>
      </c>
      <c r="AA479" s="9">
        <f t="shared" si="18"/>
        <v>25.583333333333332</v>
      </c>
    </row>
    <row r="487" spans="15:26" ht="17.25" x14ac:dyDescent="0.3">
      <c r="P487" s="11"/>
    </row>
    <row r="488" spans="15:26" x14ac:dyDescent="0.25">
      <c r="O488" t="s">
        <v>283</v>
      </c>
      <c r="P488" t="s">
        <v>282</v>
      </c>
      <c r="Q488" t="s">
        <v>0</v>
      </c>
      <c r="R488" t="s">
        <v>284</v>
      </c>
      <c r="Y488" s="14" t="s">
        <v>283</v>
      </c>
      <c r="Z488" t="s">
        <v>308</v>
      </c>
    </row>
    <row r="489" spans="15:26" x14ac:dyDescent="0.25">
      <c r="O489" s="12" t="s">
        <v>262</v>
      </c>
      <c r="P489">
        <f>PEARSON(C1:C457,B1:B457)</f>
        <v>0.43035770627140163</v>
      </c>
      <c r="Y489" s="16" t="s">
        <v>262</v>
      </c>
      <c r="Z489">
        <v>0.1852</v>
      </c>
    </row>
    <row r="490" spans="15:26" x14ac:dyDescent="0.25">
      <c r="O490" t="s">
        <v>263</v>
      </c>
      <c r="P490">
        <f>PEARSON(C1:C457,D1:D457)</f>
        <v>0.51786114164753738</v>
      </c>
      <c r="R490" t="s">
        <v>285</v>
      </c>
      <c r="Y490" s="13" t="s">
        <v>263</v>
      </c>
      <c r="Z490">
        <v>0.26819999999999999</v>
      </c>
    </row>
    <row r="491" spans="15:26" x14ac:dyDescent="0.25">
      <c r="O491" s="12" t="s">
        <v>264</v>
      </c>
      <c r="P491">
        <f>PEARSON(C1:C457,E1:E457)</f>
        <v>9.6487577129777999E-2</v>
      </c>
      <c r="Y491" s="16" t="s">
        <v>264</v>
      </c>
      <c r="Z491">
        <v>9.2999999999999992E-3</v>
      </c>
    </row>
    <row r="492" spans="15:26" x14ac:dyDescent="0.25">
      <c r="O492" s="12" t="s">
        <v>265</v>
      </c>
      <c r="P492">
        <f>PEARSON(C1:C457,F1:F457)</f>
        <v>0.16021686503598528</v>
      </c>
      <c r="R492" t="s">
        <v>286</v>
      </c>
      <c r="Y492" s="17" t="s">
        <v>265</v>
      </c>
      <c r="Z492">
        <v>2.5700000000000001E-2</v>
      </c>
    </row>
    <row r="493" spans="15:26" x14ac:dyDescent="0.25">
      <c r="O493" s="12" t="s">
        <v>266</v>
      </c>
      <c r="P493">
        <f>PEARSON(C1:C457,G1:G457)</f>
        <v>0.25363759839751238</v>
      </c>
      <c r="Y493" s="16" t="s">
        <v>266</v>
      </c>
      <c r="Z493">
        <v>6.4299999999999996E-2</v>
      </c>
    </row>
    <row r="494" spans="15:26" x14ac:dyDescent="0.25">
      <c r="O494" s="12" t="s">
        <v>267</v>
      </c>
      <c r="P494">
        <f>PEARSON(C1:C457,H1:H457)</f>
        <v>0.39676838657573965</v>
      </c>
      <c r="R494" t="s">
        <v>287</v>
      </c>
      <c r="Y494" s="17" t="s">
        <v>267</v>
      </c>
      <c r="Z494">
        <v>0.15740000000000001</v>
      </c>
    </row>
    <row r="495" spans="15:26" x14ac:dyDescent="0.25">
      <c r="O495" s="12" t="s">
        <v>268</v>
      </c>
      <c r="P495">
        <f>PEARSON(C1:C457,I1:I457)</f>
        <v>4.8357153648829511E-2</v>
      </c>
      <c r="Y495" s="16" t="s">
        <v>268</v>
      </c>
      <c r="Z495">
        <v>2.3E-3</v>
      </c>
    </row>
    <row r="496" spans="15:26" x14ac:dyDescent="0.25">
      <c r="O496" s="12" t="s">
        <v>269</v>
      </c>
      <c r="P496">
        <f>PEARSON(C1:C457,J1:J457)</f>
        <v>0.33552551567523103</v>
      </c>
      <c r="Y496" s="17" t="s">
        <v>269</v>
      </c>
      <c r="Z496">
        <v>0.11260000000000001</v>
      </c>
    </row>
    <row r="497" spans="15:26" ht="15.75" x14ac:dyDescent="0.25">
      <c r="O497" s="12" t="s">
        <v>270</v>
      </c>
      <c r="P497">
        <f>PEARSON(C1:C457,K1:K457)</f>
        <v>0.22613933170524642</v>
      </c>
      <c r="Y497" s="16" t="s">
        <v>270</v>
      </c>
      <c r="Z497" s="15">
        <v>5.11E-2</v>
      </c>
    </row>
    <row r="498" spans="15:26" x14ac:dyDescent="0.25">
      <c r="O498" s="12" t="s">
        <v>271</v>
      </c>
      <c r="P498">
        <f>PEARSON(C1:C457,L1:L457)</f>
        <v>0.17631427699646263</v>
      </c>
      <c r="Y498" s="17" t="s">
        <v>271</v>
      </c>
      <c r="Z498">
        <v>3.1099999999999999E-2</v>
      </c>
    </row>
    <row r="499" spans="15:26" x14ac:dyDescent="0.25">
      <c r="O499" s="12" t="s">
        <v>272</v>
      </c>
      <c r="P499">
        <f>PEARSON(C1:C457,M1:M457)</f>
        <v>3.130679379037541E-2</v>
      </c>
      <c r="Y499" s="16" t="s">
        <v>272</v>
      </c>
      <c r="Z499">
        <v>1E-3</v>
      </c>
    </row>
    <row r="520" spans="29:40" x14ac:dyDescent="0.25">
      <c r="AC520" t="s">
        <v>259</v>
      </c>
    </row>
    <row r="521" spans="29:40" x14ac:dyDescent="0.25">
      <c r="AC521">
        <v>1.4166666666666667</v>
      </c>
      <c r="AD521">
        <v>1.7916666666666667</v>
      </c>
      <c r="AE521">
        <v>0</v>
      </c>
      <c r="AF521">
        <v>1.1666666666666667</v>
      </c>
      <c r="AG521">
        <v>4.375</v>
      </c>
      <c r="AH521">
        <v>76.39120208333334</v>
      </c>
      <c r="AI521">
        <v>362.29166666666669</v>
      </c>
      <c r="AJ521">
        <v>2</v>
      </c>
      <c r="AK521">
        <v>2.5416666666666665</v>
      </c>
      <c r="AL521">
        <v>9.4583333333333339</v>
      </c>
      <c r="AM521">
        <v>83.958333333333329</v>
      </c>
      <c r="AN521">
        <v>25.583333333333332</v>
      </c>
    </row>
    <row r="522" spans="29:40" x14ac:dyDescent="0.25">
      <c r="AC522">
        <v>0.91666666666666663</v>
      </c>
      <c r="AD522">
        <v>1.5</v>
      </c>
      <c r="AE522">
        <v>0</v>
      </c>
      <c r="AF522">
        <v>15.166666666666666</v>
      </c>
      <c r="AG522">
        <v>46.166666666666664</v>
      </c>
      <c r="AH522">
        <v>80.26651541666665</v>
      </c>
      <c r="AI522">
        <v>282.83333333333331</v>
      </c>
      <c r="AJ522">
        <v>2.0416666666666665</v>
      </c>
      <c r="AK522">
        <v>2.2916666666666665</v>
      </c>
      <c r="AL522">
        <v>3.125</v>
      </c>
      <c r="AM522">
        <v>26.958333333333332</v>
      </c>
      <c r="AN522">
        <v>0</v>
      </c>
    </row>
    <row r="523" spans="29:40" x14ac:dyDescent="0.25">
      <c r="AC523">
        <v>0.95833333333333337</v>
      </c>
      <c r="AD523">
        <v>1.8333333333333333</v>
      </c>
      <c r="AE523">
        <v>0</v>
      </c>
      <c r="AF523">
        <v>13.708333333333334</v>
      </c>
      <c r="AG523">
        <v>23.708333333333332</v>
      </c>
      <c r="AH523">
        <v>80.80998666666666</v>
      </c>
      <c r="AI523">
        <v>243.75</v>
      </c>
      <c r="AJ523">
        <v>1.75</v>
      </c>
      <c r="AK523">
        <v>2.0416666666666665</v>
      </c>
      <c r="AL523">
        <v>3.9583333333333335</v>
      </c>
      <c r="AM523">
        <v>31.583333333333332</v>
      </c>
      <c r="AN523">
        <v>2.4583333333333335</v>
      </c>
    </row>
    <row r="524" spans="29:40" x14ac:dyDescent="0.25">
      <c r="AC524">
        <v>1.375</v>
      </c>
      <c r="AD524">
        <v>2.0833333333333335</v>
      </c>
      <c r="AE524">
        <v>0.41666666666666669</v>
      </c>
      <c r="AF524">
        <v>2.125</v>
      </c>
      <c r="AG524">
        <v>77.125</v>
      </c>
      <c r="AH524">
        <v>97.255400416666646</v>
      </c>
      <c r="AI524">
        <v>216.83333333333334</v>
      </c>
      <c r="AJ524">
        <v>0.20833333333333334</v>
      </c>
      <c r="AK524">
        <v>2.4583333333333335</v>
      </c>
      <c r="AL524">
        <v>1</v>
      </c>
      <c r="AM524">
        <v>55.625</v>
      </c>
      <c r="AN524">
        <v>136.58333333333334</v>
      </c>
    </row>
    <row r="525" spans="29:40" x14ac:dyDescent="0.25">
      <c r="AC525">
        <v>3.5833333333333335</v>
      </c>
      <c r="AD525">
        <v>2.125</v>
      </c>
      <c r="AE525">
        <v>4.1666666666666664E-2</v>
      </c>
      <c r="AF525">
        <v>14.916666666666666</v>
      </c>
      <c r="AG525">
        <v>143.41666666666666</v>
      </c>
      <c r="AH525">
        <v>131.44808208333333</v>
      </c>
      <c r="AI525">
        <v>725.33333333333337</v>
      </c>
      <c r="AJ525">
        <v>0.66666666666666663</v>
      </c>
      <c r="AK525">
        <v>4.583333333333333</v>
      </c>
      <c r="AL525">
        <v>6.625</v>
      </c>
      <c r="AM525">
        <v>177.70833333333334</v>
      </c>
      <c r="AN525">
        <v>8.875</v>
      </c>
    </row>
    <row r="526" spans="29:40" x14ac:dyDescent="0.25">
      <c r="AC526">
        <v>0.41666666666666669</v>
      </c>
      <c r="AD526">
        <v>2.1666666666666665</v>
      </c>
      <c r="AE526">
        <v>0</v>
      </c>
      <c r="AF526">
        <v>0.91666666666666663</v>
      </c>
      <c r="AG526">
        <v>38.583333333333336</v>
      </c>
      <c r="AH526">
        <v>64.063787083333324</v>
      </c>
      <c r="AI526">
        <v>177.79166666666666</v>
      </c>
      <c r="AJ526">
        <v>2.875</v>
      </c>
      <c r="AK526">
        <v>1.4166666666666667</v>
      </c>
      <c r="AL526">
        <v>2.5833333333333335</v>
      </c>
      <c r="AM526">
        <v>26.583333333333332</v>
      </c>
      <c r="AN526">
        <v>7.583333333333333</v>
      </c>
    </row>
    <row r="527" spans="29:40" x14ac:dyDescent="0.25">
      <c r="AC527">
        <v>5.208333333333333</v>
      </c>
      <c r="AD527">
        <v>2.8333333333333335</v>
      </c>
      <c r="AE527">
        <v>0.70833333333333337</v>
      </c>
      <c r="AF527">
        <v>4.1666666666666664E-2</v>
      </c>
      <c r="AG527">
        <v>174.75</v>
      </c>
      <c r="AH527">
        <v>203.12332083333331</v>
      </c>
      <c r="AI527">
        <v>832.45833333333337</v>
      </c>
      <c r="AJ527">
        <v>0</v>
      </c>
      <c r="AK527">
        <v>5.541666666666667</v>
      </c>
      <c r="AL527">
        <v>7.958333333333333</v>
      </c>
      <c r="AM527">
        <v>62.416666666666664</v>
      </c>
      <c r="AN527">
        <v>8.3333333333333329E-2</v>
      </c>
    </row>
    <row r="528" spans="29:40" x14ac:dyDescent="0.25">
      <c r="AC528">
        <v>4.041666666666667</v>
      </c>
      <c r="AD528">
        <v>2.6666666666666665</v>
      </c>
      <c r="AE528">
        <v>0.33333333333333331</v>
      </c>
      <c r="AF528">
        <v>5.916666666666667</v>
      </c>
      <c r="AG528">
        <v>1136.7916666666667</v>
      </c>
      <c r="AH528">
        <v>228.10698208333335</v>
      </c>
      <c r="AI528">
        <v>751</v>
      </c>
      <c r="AJ528">
        <v>4.166666666666667</v>
      </c>
      <c r="AK528">
        <v>4.833333333333333</v>
      </c>
      <c r="AL528">
        <v>5.666666666666667</v>
      </c>
      <c r="AM528">
        <v>66.916666666666671</v>
      </c>
      <c r="AN528">
        <v>33.458333333333336</v>
      </c>
    </row>
    <row r="529" spans="29:40" x14ac:dyDescent="0.25">
      <c r="AC529" s="9">
        <f t="shared" ref="AC529:AN529" si="19">AVERAGE(AC521:AC528)</f>
        <v>2.2395833333333335</v>
      </c>
      <c r="AD529" s="9">
        <f t="shared" si="19"/>
        <v>2.125</v>
      </c>
      <c r="AE529" s="9">
        <f t="shared" si="19"/>
        <v>0.1875</v>
      </c>
      <c r="AF529" s="9">
        <f t="shared" si="19"/>
        <v>6.7447916666666652</v>
      </c>
      <c r="AG529" s="9">
        <f t="shared" si="19"/>
        <v>205.61458333333334</v>
      </c>
      <c r="AH529" s="9">
        <f t="shared" si="19"/>
        <v>120.18315958333332</v>
      </c>
      <c r="AI529" s="9">
        <f t="shared" si="19"/>
        <v>449.03645833333331</v>
      </c>
      <c r="AJ529" s="9">
        <f t="shared" si="19"/>
        <v>1.7135416666666665</v>
      </c>
      <c r="AK529" s="9">
        <f t="shared" si="19"/>
        <v>3.2135416666666665</v>
      </c>
      <c r="AL529" s="9">
        <f t="shared" si="19"/>
        <v>5.046875</v>
      </c>
      <c r="AM529" s="9">
        <f t="shared" si="19"/>
        <v>66.46875</v>
      </c>
      <c r="AN529" s="9">
        <f t="shared" si="19"/>
        <v>26.828125000000004</v>
      </c>
    </row>
    <row r="530" spans="29:40" x14ac:dyDescent="0.25">
      <c r="AC530" t="s">
        <v>260</v>
      </c>
    </row>
    <row r="531" spans="29:40" x14ac:dyDescent="0.25">
      <c r="AC531">
        <v>1.2083333333333333</v>
      </c>
      <c r="AD531">
        <v>1.1666666666666667</v>
      </c>
      <c r="AE531">
        <v>0</v>
      </c>
      <c r="AF531">
        <v>5.166666666666667</v>
      </c>
      <c r="AG531">
        <v>44.666666666666664</v>
      </c>
      <c r="AH531">
        <v>65.588327500000005</v>
      </c>
      <c r="AI531">
        <v>224.66666666666666</v>
      </c>
      <c r="AJ531">
        <v>2.2916666666666665</v>
      </c>
      <c r="AK531">
        <v>2.2083333333333335</v>
      </c>
      <c r="AL531">
        <v>1.625</v>
      </c>
      <c r="AM531">
        <v>114.125</v>
      </c>
      <c r="AN531">
        <v>0.45833333333333331</v>
      </c>
    </row>
    <row r="532" spans="29:40" x14ac:dyDescent="0.25">
      <c r="AC532">
        <v>1.75</v>
      </c>
      <c r="AD532">
        <v>3.0416666666666665</v>
      </c>
      <c r="AE532">
        <v>0.83333333333333337</v>
      </c>
      <c r="AF532">
        <v>0.25</v>
      </c>
      <c r="AG532">
        <v>9.2083333333333339</v>
      </c>
      <c r="AH532">
        <v>53.840601249999999</v>
      </c>
      <c r="AI532">
        <v>220.20833333333334</v>
      </c>
      <c r="AJ532">
        <v>0.20833333333333334</v>
      </c>
      <c r="AK532">
        <v>2.3333333333333335</v>
      </c>
      <c r="AL532">
        <v>0.16666666666666666</v>
      </c>
      <c r="AM532">
        <v>56.333333333333336</v>
      </c>
      <c r="AN532">
        <v>8.375</v>
      </c>
    </row>
    <row r="533" spans="29:40" x14ac:dyDescent="0.25">
      <c r="AC533">
        <v>1.9166666666666701</v>
      </c>
      <c r="AD533">
        <v>2.0416666666666665</v>
      </c>
      <c r="AE533">
        <v>0.125</v>
      </c>
      <c r="AF533">
        <v>2.2083333333333335</v>
      </c>
      <c r="AG533">
        <v>40.833333333333336</v>
      </c>
      <c r="AH533">
        <v>104.64313541666667</v>
      </c>
      <c r="AI533">
        <v>420.58333333333331</v>
      </c>
      <c r="AJ533">
        <v>1.3333333333333333</v>
      </c>
      <c r="AK533">
        <v>2.9583333333333335</v>
      </c>
      <c r="AL533">
        <v>6.125</v>
      </c>
      <c r="AM533">
        <v>175.83333333333334</v>
      </c>
      <c r="AN533">
        <v>5.625</v>
      </c>
    </row>
    <row r="534" spans="29:40" x14ac:dyDescent="0.25">
      <c r="AC534" s="9">
        <f t="shared" ref="AC534:AN534" si="20">AVERAGE(AC531:AC533)</f>
        <v>1.6250000000000011</v>
      </c>
      <c r="AD534" s="9">
        <f t="shared" si="20"/>
        <v>2.0833333333333335</v>
      </c>
      <c r="AE534" s="9">
        <f t="shared" si="20"/>
        <v>0.31944444444444448</v>
      </c>
      <c r="AF534" s="9">
        <f t="shared" si="20"/>
        <v>2.5416666666666665</v>
      </c>
      <c r="AG534" s="9">
        <f t="shared" si="20"/>
        <v>31.569444444444446</v>
      </c>
      <c r="AH534" s="9">
        <f t="shared" si="20"/>
        <v>74.690688055555555</v>
      </c>
      <c r="AI534" s="9">
        <f t="shared" si="20"/>
        <v>288.48611111111109</v>
      </c>
      <c r="AJ534" s="9">
        <f t="shared" si="20"/>
        <v>1.2777777777777777</v>
      </c>
      <c r="AK534" s="9">
        <f t="shared" si="20"/>
        <v>2.5</v>
      </c>
      <c r="AL534" s="9">
        <f t="shared" si="20"/>
        <v>2.6388888888888888</v>
      </c>
      <c r="AM534" s="9">
        <f t="shared" si="20"/>
        <v>115.43055555555556</v>
      </c>
      <c r="AN534" s="9">
        <f t="shared" si="20"/>
        <v>4.8194444444444446</v>
      </c>
    </row>
    <row r="536" spans="29:40" x14ac:dyDescent="0.25">
      <c r="AC536" t="s">
        <v>261</v>
      </c>
    </row>
    <row r="537" spans="29:40" x14ac:dyDescent="0.25">
      <c r="AC537">
        <v>1.3333333333333333</v>
      </c>
      <c r="AD537">
        <v>1.125</v>
      </c>
      <c r="AE537">
        <v>0</v>
      </c>
      <c r="AF537">
        <v>5</v>
      </c>
      <c r="AG537">
        <v>20.791666666666668</v>
      </c>
      <c r="AH537">
        <v>88.421627916666679</v>
      </c>
      <c r="AI537">
        <v>322.41666666666669</v>
      </c>
      <c r="AJ537">
        <v>1.4166666666666667</v>
      </c>
      <c r="AK537">
        <v>2.2916666666666665</v>
      </c>
      <c r="AL537">
        <v>4.416666666666667</v>
      </c>
      <c r="AM537">
        <v>87.583333333333329</v>
      </c>
      <c r="AN537">
        <v>11.333333333333334</v>
      </c>
    </row>
    <row r="539" spans="29:40" x14ac:dyDescent="0.25">
      <c r="AC539" t="s">
        <v>182</v>
      </c>
    </row>
    <row r="540" spans="29:40" x14ac:dyDescent="0.25">
      <c r="AC540">
        <v>1.3333333333333333</v>
      </c>
      <c r="AD540">
        <v>2.4166666666666665</v>
      </c>
      <c r="AE540">
        <v>0.41666666666666669</v>
      </c>
      <c r="AF540">
        <v>2.9583333333333335</v>
      </c>
      <c r="AG540">
        <v>216.375</v>
      </c>
      <c r="AH540">
        <v>72.181932083333336</v>
      </c>
      <c r="AI540">
        <v>312.58333333333331</v>
      </c>
      <c r="AJ540">
        <v>1.5833333333333333</v>
      </c>
      <c r="AK540">
        <v>2.0416666666666665</v>
      </c>
      <c r="AL540">
        <v>5.916666666666667</v>
      </c>
      <c r="AM540">
        <v>204.33333333333334</v>
      </c>
      <c r="AN540">
        <v>1.25</v>
      </c>
    </row>
    <row r="541" spans="29:40" x14ac:dyDescent="0.25">
      <c r="AC541">
        <v>2.25</v>
      </c>
      <c r="AD541">
        <v>2.5</v>
      </c>
      <c r="AE541">
        <v>0.95833333333333337</v>
      </c>
      <c r="AF541">
        <v>0</v>
      </c>
      <c r="AG541">
        <v>0</v>
      </c>
      <c r="AH541">
        <v>56.200184624999999</v>
      </c>
      <c r="AI541">
        <v>263.45833333333331</v>
      </c>
      <c r="AJ541">
        <v>0</v>
      </c>
      <c r="AK541">
        <v>0</v>
      </c>
      <c r="AL541">
        <v>4.1666666666666664E-2</v>
      </c>
      <c r="AM541">
        <v>128.95833333333334</v>
      </c>
      <c r="AN541">
        <v>1.875</v>
      </c>
    </row>
    <row r="542" spans="29:40" x14ac:dyDescent="0.25">
      <c r="AC542">
        <v>1.0416666666666667</v>
      </c>
      <c r="AD542">
        <v>1.875</v>
      </c>
      <c r="AE542">
        <v>0.66666666666666663</v>
      </c>
      <c r="AF542">
        <v>0.33333333333333331</v>
      </c>
      <c r="AG542">
        <v>6.333333333333333</v>
      </c>
      <c r="AH542">
        <v>68.13300760833333</v>
      </c>
      <c r="AI542">
        <v>211.375</v>
      </c>
      <c r="AJ542">
        <v>0</v>
      </c>
      <c r="AK542">
        <v>2.0416666666666665</v>
      </c>
      <c r="AL542">
        <v>5.625</v>
      </c>
      <c r="AM542">
        <v>92.375</v>
      </c>
      <c r="AN542">
        <v>1.9166666666666667</v>
      </c>
    </row>
    <row r="543" spans="29:40" x14ac:dyDescent="0.25">
      <c r="AC543">
        <v>3.2916666666666665</v>
      </c>
      <c r="AD543">
        <v>2.7916666666666665</v>
      </c>
      <c r="AE543">
        <v>0.91666666666666663</v>
      </c>
      <c r="AF543">
        <v>0</v>
      </c>
      <c r="AG543">
        <v>0</v>
      </c>
      <c r="AH543">
        <v>79.327550416666682</v>
      </c>
      <c r="AI543">
        <v>389.66666666666669</v>
      </c>
      <c r="AJ543">
        <v>0</v>
      </c>
      <c r="AK543">
        <v>2.2916666666666665</v>
      </c>
      <c r="AL543">
        <v>0</v>
      </c>
      <c r="AM543">
        <v>201.29166666666666</v>
      </c>
      <c r="AN543">
        <v>9.9583333333333339</v>
      </c>
    </row>
    <row r="544" spans="29:40" x14ac:dyDescent="0.25">
      <c r="AC544">
        <v>0</v>
      </c>
      <c r="AD544">
        <v>2.4583333333333335</v>
      </c>
      <c r="AE544">
        <v>1</v>
      </c>
      <c r="AF544">
        <v>0</v>
      </c>
      <c r="AG544">
        <v>0</v>
      </c>
      <c r="AH544">
        <v>0.19488402541666663</v>
      </c>
      <c r="AI544">
        <v>0</v>
      </c>
      <c r="AJ544">
        <v>0</v>
      </c>
      <c r="AK544">
        <v>0</v>
      </c>
      <c r="AL544">
        <v>0</v>
      </c>
      <c r="AM544">
        <v>0.16666666666666666</v>
      </c>
      <c r="AN544">
        <v>0</v>
      </c>
    </row>
    <row r="545" spans="29:41" x14ac:dyDescent="0.25">
      <c r="AC545">
        <v>2.5</v>
      </c>
      <c r="AD545">
        <v>2.75</v>
      </c>
      <c r="AE545">
        <v>0.58333333333333337</v>
      </c>
      <c r="AF545">
        <v>1.4166666666666667</v>
      </c>
      <c r="AG545">
        <v>50.625</v>
      </c>
      <c r="AH545">
        <v>157.56737875000005</v>
      </c>
      <c r="AI545">
        <v>552.16666666666663</v>
      </c>
      <c r="AJ545">
        <v>8.3333333333333329E-2</v>
      </c>
      <c r="AK545">
        <v>3.4583333333333335</v>
      </c>
      <c r="AL545">
        <v>6.375</v>
      </c>
      <c r="AM545">
        <v>42.708333333333336</v>
      </c>
      <c r="AN545">
        <v>1.8333333333333333</v>
      </c>
    </row>
    <row r="546" spans="29:41" x14ac:dyDescent="0.25">
      <c r="AC546">
        <v>0.70833333333333337</v>
      </c>
      <c r="AD546">
        <v>1.5</v>
      </c>
      <c r="AE546">
        <v>4.1666666666666664E-2</v>
      </c>
      <c r="AF546">
        <v>4.1666666666666664E-2</v>
      </c>
      <c r="AG546">
        <v>0.20833333333333334</v>
      </c>
      <c r="AH546">
        <v>61.448977500000012</v>
      </c>
      <c r="AI546">
        <v>193.45833333333334</v>
      </c>
      <c r="AJ546">
        <v>1.4166666666666667</v>
      </c>
      <c r="AK546">
        <v>1.7083333333333333</v>
      </c>
      <c r="AL546">
        <v>3.2916666666666665</v>
      </c>
      <c r="AM546">
        <v>93.541666666666671</v>
      </c>
      <c r="AN546">
        <v>0.625</v>
      </c>
    </row>
    <row r="547" spans="29:41" x14ac:dyDescent="0.25">
      <c r="AC547" s="9">
        <f>AVERAGE(AC540:AC546)</f>
        <v>1.5892857142857142</v>
      </c>
      <c r="AD547" s="9">
        <f t="shared" ref="AD547:AN547" si="21">AVERAGE(AD540:AD546)</f>
        <v>2.3273809523809521</v>
      </c>
      <c r="AE547" s="9">
        <f t="shared" si="21"/>
        <v>0.65476190476190477</v>
      </c>
      <c r="AF547" s="9">
        <f t="shared" si="21"/>
        <v>0.67857142857142871</v>
      </c>
      <c r="AG547" s="9">
        <f t="shared" si="21"/>
        <v>39.077380952380956</v>
      </c>
      <c r="AH547" s="9">
        <f t="shared" si="21"/>
        <v>70.721987858392865</v>
      </c>
      <c r="AI547" s="9">
        <f t="shared" si="21"/>
        <v>274.67261904761904</v>
      </c>
      <c r="AJ547" s="9">
        <f t="shared" si="21"/>
        <v>0.44047619047619041</v>
      </c>
      <c r="AK547" s="9">
        <f t="shared" si="21"/>
        <v>1.6488095238095239</v>
      </c>
      <c r="AL547" s="9">
        <f t="shared" si="21"/>
        <v>3.035714285714286</v>
      </c>
      <c r="AM547" s="9">
        <f t="shared" si="21"/>
        <v>109.05357142857143</v>
      </c>
      <c r="AN547" s="9">
        <f t="shared" si="21"/>
        <v>2.4940476190476191</v>
      </c>
    </row>
    <row r="549" spans="29:41" x14ac:dyDescent="0.25">
      <c r="AC549" t="s">
        <v>258</v>
      </c>
      <c r="AD549" t="s">
        <v>262</v>
      </c>
      <c r="AE549" t="s">
        <v>273</v>
      </c>
      <c r="AF549" t="s">
        <v>274</v>
      </c>
      <c r="AG549" t="s">
        <v>264</v>
      </c>
      <c r="AH549" t="s">
        <v>275</v>
      </c>
      <c r="AI549" t="s">
        <v>266</v>
      </c>
      <c r="AJ549" t="s">
        <v>276</v>
      </c>
      <c r="AK549" t="s">
        <v>277</v>
      </c>
      <c r="AL549" t="s">
        <v>278</v>
      </c>
      <c r="AM549" t="s">
        <v>279</v>
      </c>
      <c r="AN549" t="s">
        <v>280</v>
      </c>
      <c r="AO549" t="s">
        <v>281</v>
      </c>
    </row>
    <row r="550" spans="29:41" x14ac:dyDescent="0.25">
      <c r="AC550" t="s">
        <v>259</v>
      </c>
      <c r="AD550">
        <v>2.2395833333333335</v>
      </c>
      <c r="AE550">
        <v>2.125</v>
      </c>
      <c r="AF550">
        <v>0.1875</v>
      </c>
      <c r="AG550">
        <v>6.7447916666666652</v>
      </c>
      <c r="AH550">
        <v>205.61458333333334</v>
      </c>
      <c r="AI550">
        <v>120.18315958333332</v>
      </c>
      <c r="AJ550">
        <v>449.03645833333331</v>
      </c>
      <c r="AK550">
        <v>1.7135416666666665</v>
      </c>
      <c r="AL550">
        <v>3.2135416666666665</v>
      </c>
      <c r="AM550">
        <v>5.046875</v>
      </c>
      <c r="AN550">
        <v>66.46875</v>
      </c>
      <c r="AO550">
        <v>26.828125000000004</v>
      </c>
    </row>
    <row r="551" spans="29:41" x14ac:dyDescent="0.25">
      <c r="AC551" t="s">
        <v>260</v>
      </c>
      <c r="AD551">
        <v>1.625</v>
      </c>
      <c r="AE551">
        <v>2.0833333333333335</v>
      </c>
      <c r="AF551">
        <v>0.31944444444444448</v>
      </c>
      <c r="AG551">
        <v>2.5416666666666665</v>
      </c>
      <c r="AH551">
        <v>31.569444444444446</v>
      </c>
      <c r="AI551">
        <v>74.690688055555555</v>
      </c>
      <c r="AJ551">
        <v>288.48611111111109</v>
      </c>
      <c r="AK551">
        <v>1.2777777777777777</v>
      </c>
      <c r="AL551">
        <v>2.5</v>
      </c>
      <c r="AM551">
        <v>2.6388888888888888</v>
      </c>
      <c r="AN551">
        <v>115.43055555555556</v>
      </c>
      <c r="AO551">
        <v>4.8194444444444446</v>
      </c>
    </row>
    <row r="552" spans="29:41" x14ac:dyDescent="0.25">
      <c r="AC552" t="s">
        <v>261</v>
      </c>
      <c r="AD552">
        <v>1.3333333333333333</v>
      </c>
      <c r="AE552">
        <v>1.125</v>
      </c>
      <c r="AF552">
        <v>0</v>
      </c>
      <c r="AG552">
        <v>5</v>
      </c>
      <c r="AH552">
        <v>20.791666666666668</v>
      </c>
      <c r="AI552">
        <v>88.421627916666679</v>
      </c>
      <c r="AJ552">
        <v>322.41666666666669</v>
      </c>
      <c r="AK552">
        <v>1.4166666666666667</v>
      </c>
      <c r="AL552">
        <v>2.2916666666666665</v>
      </c>
      <c r="AM552">
        <v>4.416666666666667</v>
      </c>
      <c r="AN552">
        <v>87.583333333333329</v>
      </c>
      <c r="AO552">
        <v>11.333333333333334</v>
      </c>
    </row>
    <row r="553" spans="29:41" x14ac:dyDescent="0.25">
      <c r="AC553" t="s">
        <v>182</v>
      </c>
      <c r="AD553">
        <v>1.5892857142857142</v>
      </c>
      <c r="AE553">
        <v>2.3273809523809521</v>
      </c>
      <c r="AF553">
        <v>0.65476190476190477</v>
      </c>
      <c r="AG553">
        <v>0.67857142857142871</v>
      </c>
      <c r="AH553">
        <v>39.077380952380956</v>
      </c>
      <c r="AI553">
        <v>70.721987858392865</v>
      </c>
      <c r="AJ553">
        <v>274.67261904761904</v>
      </c>
      <c r="AK553">
        <v>0.44047619047619041</v>
      </c>
      <c r="AL553">
        <v>1.6488095238095239</v>
      </c>
      <c r="AM553">
        <v>3.035714285714286</v>
      </c>
      <c r="AN553">
        <v>109.05357142857143</v>
      </c>
      <c r="AO553">
        <v>2.4940476190476191</v>
      </c>
    </row>
  </sheetData>
  <conditionalFormatting sqref="G2:G457">
    <cfRule type="top10" dxfId="1" priority="2" percent="1" rank="10"/>
  </conditionalFormatting>
  <conditionalFormatting sqref="U80:U103">
    <cfRule type="top10" dxfId="0" priority="1" percent="1" rank="10"/>
  </conditionalFormatting>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794A4-2539-4307-8419-37E99F5CE404}">
  <dimension ref="A1:AA140"/>
  <sheetViews>
    <sheetView zoomScale="70" zoomScaleNormal="70" workbookViewId="0">
      <selection activeCell="Q41" sqref="Q41:AY139"/>
    </sheetView>
  </sheetViews>
  <sheetFormatPr defaultColWidth="9.140625" defaultRowHeight="15" x14ac:dyDescent="0.25"/>
  <cols>
    <col min="1" max="1" width="13" customWidth="1"/>
    <col min="2" max="2" width="16.28515625" customWidth="1"/>
    <col min="3" max="3" width="13.42578125" customWidth="1"/>
    <col min="4" max="4" width="49.140625" customWidth="1"/>
    <col min="5" max="5" width="49" customWidth="1"/>
    <col min="6" max="6" width="71.7109375" customWidth="1"/>
    <col min="7" max="7" width="48.85546875" customWidth="1"/>
    <col min="19" max="19" width="20.85546875" customWidth="1"/>
    <col min="22" max="22" width="11.28515625" customWidth="1"/>
    <col min="23" max="23" width="9.42578125" customWidth="1"/>
  </cols>
  <sheetData>
    <row r="1" spans="1:19" x14ac:dyDescent="0.25">
      <c r="A1" t="s">
        <v>57</v>
      </c>
      <c r="B1" t="s">
        <v>58</v>
      </c>
      <c r="C1" t="s">
        <v>59</v>
      </c>
      <c r="D1" t="s">
        <v>60</v>
      </c>
      <c r="E1" t="s">
        <v>61</v>
      </c>
      <c r="F1" t="s">
        <v>62</v>
      </c>
      <c r="G1" t="s">
        <v>63</v>
      </c>
      <c r="H1" t="s">
        <v>64</v>
      </c>
      <c r="I1" t="s">
        <v>65</v>
      </c>
      <c r="J1" t="s">
        <v>66</v>
      </c>
      <c r="K1" t="s">
        <v>67</v>
      </c>
      <c r="L1" t="s">
        <v>68</v>
      </c>
      <c r="M1" t="s">
        <v>69</v>
      </c>
      <c r="N1" t="s">
        <v>70</v>
      </c>
      <c r="O1" t="s">
        <v>71</v>
      </c>
      <c r="P1" t="s">
        <v>72</v>
      </c>
      <c r="Q1" t="s">
        <v>73</v>
      </c>
      <c r="R1" t="s">
        <v>74</v>
      </c>
      <c r="S1" t="s">
        <v>75</v>
      </c>
    </row>
    <row r="2" spans="1:19" x14ac:dyDescent="0.25">
      <c r="A2" s="1">
        <v>45338.678611111114</v>
      </c>
      <c r="B2" t="s">
        <v>239</v>
      </c>
      <c r="C2" t="s">
        <v>76</v>
      </c>
      <c r="D2" t="s">
        <v>77</v>
      </c>
      <c r="E2" t="s">
        <v>78</v>
      </c>
      <c r="F2" t="s">
        <v>79</v>
      </c>
      <c r="G2" t="s">
        <v>80</v>
      </c>
      <c r="H2" t="s">
        <v>81</v>
      </c>
      <c r="I2" t="s">
        <v>82</v>
      </c>
      <c r="J2" t="s">
        <v>83</v>
      </c>
      <c r="K2" t="s">
        <v>84</v>
      </c>
      <c r="L2" t="s">
        <v>85</v>
      </c>
      <c r="M2" t="s">
        <v>86</v>
      </c>
      <c r="N2" t="s">
        <v>87</v>
      </c>
      <c r="O2" t="s">
        <v>88</v>
      </c>
      <c r="P2" t="s">
        <v>89</v>
      </c>
      <c r="Q2" t="s">
        <v>90</v>
      </c>
      <c r="R2">
        <v>8</v>
      </c>
    </row>
    <row r="3" spans="1:19" x14ac:dyDescent="0.25">
      <c r="A3" s="1">
        <v>45343.879120370373</v>
      </c>
      <c r="B3" t="s">
        <v>240</v>
      </c>
      <c r="C3" t="s">
        <v>91</v>
      </c>
      <c r="D3" t="s">
        <v>92</v>
      </c>
      <c r="E3" t="s">
        <v>93</v>
      </c>
      <c r="F3" t="s">
        <v>94</v>
      </c>
      <c r="G3" t="s">
        <v>80</v>
      </c>
      <c r="H3" t="s">
        <v>95</v>
      </c>
      <c r="I3" t="s">
        <v>96</v>
      </c>
      <c r="J3" t="s">
        <v>97</v>
      </c>
      <c r="K3" t="s">
        <v>84</v>
      </c>
      <c r="L3" t="s">
        <v>98</v>
      </c>
      <c r="M3" t="s">
        <v>99</v>
      </c>
      <c r="N3" t="s">
        <v>100</v>
      </c>
      <c r="O3" t="s">
        <v>101</v>
      </c>
      <c r="P3" t="s">
        <v>102</v>
      </c>
      <c r="Q3" t="s">
        <v>103</v>
      </c>
      <c r="R3">
        <v>8</v>
      </c>
    </row>
    <row r="4" spans="1:19" ht="409.5" x14ac:dyDescent="0.25">
      <c r="A4" s="1">
        <v>45349.158391203702</v>
      </c>
      <c r="B4" t="s">
        <v>241</v>
      </c>
      <c r="C4" t="s">
        <v>76</v>
      </c>
      <c r="D4" t="s">
        <v>104</v>
      </c>
      <c r="E4" t="s">
        <v>105</v>
      </c>
      <c r="F4" t="s">
        <v>106</v>
      </c>
      <c r="G4" t="s">
        <v>107</v>
      </c>
      <c r="H4" t="s">
        <v>108</v>
      </c>
      <c r="I4" t="s">
        <v>82</v>
      </c>
      <c r="J4" t="s">
        <v>97</v>
      </c>
      <c r="K4" t="s">
        <v>84</v>
      </c>
      <c r="L4" t="s">
        <v>85</v>
      </c>
      <c r="M4" t="s">
        <v>99</v>
      </c>
      <c r="N4" t="s">
        <v>100</v>
      </c>
      <c r="O4" t="s">
        <v>109</v>
      </c>
      <c r="P4" s="2" t="s">
        <v>110</v>
      </c>
      <c r="Q4" t="s">
        <v>111</v>
      </c>
      <c r="R4">
        <v>10</v>
      </c>
      <c r="S4" s="2"/>
    </row>
    <row r="5" spans="1:19" x14ac:dyDescent="0.25">
      <c r="A5" s="1">
        <v>45351.7028125</v>
      </c>
      <c r="B5" t="s">
        <v>242</v>
      </c>
      <c r="C5" t="s">
        <v>76</v>
      </c>
      <c r="D5" t="s">
        <v>112</v>
      </c>
      <c r="E5" t="s">
        <v>113</v>
      </c>
      <c r="F5" t="s">
        <v>114</v>
      </c>
      <c r="G5" t="s">
        <v>115</v>
      </c>
      <c r="H5" t="s">
        <v>116</v>
      </c>
      <c r="I5" t="s">
        <v>84</v>
      </c>
      <c r="J5" t="s">
        <v>97</v>
      </c>
      <c r="K5" t="s">
        <v>84</v>
      </c>
      <c r="L5" t="s">
        <v>85</v>
      </c>
      <c r="M5" t="s">
        <v>99</v>
      </c>
      <c r="N5" t="s">
        <v>117</v>
      </c>
      <c r="O5" t="s">
        <v>118</v>
      </c>
      <c r="P5" t="s">
        <v>119</v>
      </c>
      <c r="Q5" t="s">
        <v>120</v>
      </c>
      <c r="R5">
        <v>6</v>
      </c>
    </row>
    <row r="6" spans="1:19" x14ac:dyDescent="0.25">
      <c r="A6" s="1">
        <v>45352.74962962963</v>
      </c>
      <c r="B6" t="s">
        <v>243</v>
      </c>
      <c r="C6" t="s">
        <v>121</v>
      </c>
      <c r="D6" t="s">
        <v>122</v>
      </c>
      <c r="E6" t="s">
        <v>123</v>
      </c>
      <c r="F6" t="s">
        <v>124</v>
      </c>
      <c r="G6" t="s">
        <v>115</v>
      </c>
      <c r="H6" t="s">
        <v>125</v>
      </c>
      <c r="I6" t="s">
        <v>96</v>
      </c>
      <c r="J6" t="s">
        <v>97</v>
      </c>
      <c r="K6" t="s">
        <v>82</v>
      </c>
      <c r="L6" t="s">
        <v>85</v>
      </c>
      <c r="M6" t="s">
        <v>99</v>
      </c>
      <c r="N6" t="s">
        <v>126</v>
      </c>
      <c r="O6" t="s">
        <v>127</v>
      </c>
      <c r="P6" t="s">
        <v>128</v>
      </c>
      <c r="Q6" t="s">
        <v>129</v>
      </c>
      <c r="R6">
        <v>7</v>
      </c>
    </row>
    <row r="7" spans="1:19" x14ac:dyDescent="0.25">
      <c r="A7" s="1">
        <v>45358.867615740739</v>
      </c>
      <c r="B7" t="s">
        <v>244</v>
      </c>
      <c r="C7" t="s">
        <v>130</v>
      </c>
      <c r="D7" t="s">
        <v>131</v>
      </c>
      <c r="E7" t="s">
        <v>132</v>
      </c>
      <c r="F7" t="s">
        <v>133</v>
      </c>
      <c r="G7" t="s">
        <v>80</v>
      </c>
      <c r="H7" t="s">
        <v>134</v>
      </c>
      <c r="I7" t="s">
        <v>135</v>
      </c>
      <c r="J7" t="s">
        <v>97</v>
      </c>
      <c r="K7" t="s">
        <v>136</v>
      </c>
      <c r="L7" t="s">
        <v>85</v>
      </c>
      <c r="M7" t="s">
        <v>86</v>
      </c>
      <c r="N7" t="s">
        <v>117</v>
      </c>
      <c r="O7" t="s">
        <v>137</v>
      </c>
      <c r="P7" t="s">
        <v>138</v>
      </c>
      <c r="Q7" t="s">
        <v>139</v>
      </c>
      <c r="R7">
        <v>9</v>
      </c>
      <c r="S7" t="s">
        <v>140</v>
      </c>
    </row>
    <row r="8" spans="1:19" x14ac:dyDescent="0.25">
      <c r="A8" s="1">
        <v>45358.867974537039</v>
      </c>
      <c r="B8" t="s">
        <v>245</v>
      </c>
      <c r="C8" t="s">
        <v>130</v>
      </c>
      <c r="D8" t="s">
        <v>141</v>
      </c>
      <c r="E8" t="s">
        <v>142</v>
      </c>
      <c r="F8" t="s">
        <v>143</v>
      </c>
      <c r="G8" t="s">
        <v>80</v>
      </c>
      <c r="H8" t="s">
        <v>144</v>
      </c>
      <c r="I8" t="s">
        <v>82</v>
      </c>
      <c r="J8" t="s">
        <v>97</v>
      </c>
      <c r="K8" t="s">
        <v>82</v>
      </c>
      <c r="L8" t="s">
        <v>85</v>
      </c>
      <c r="M8" t="s">
        <v>99</v>
      </c>
      <c r="N8" t="s">
        <v>145</v>
      </c>
      <c r="O8" t="s">
        <v>146</v>
      </c>
      <c r="P8" t="s">
        <v>147</v>
      </c>
      <c r="Q8" t="s">
        <v>148</v>
      </c>
      <c r="R8">
        <v>7</v>
      </c>
      <c r="S8" t="s">
        <v>149</v>
      </c>
    </row>
    <row r="9" spans="1:19" x14ac:dyDescent="0.25">
      <c r="A9" s="1">
        <v>45358.868263888886</v>
      </c>
      <c r="B9" t="s">
        <v>246</v>
      </c>
      <c r="C9" t="s">
        <v>130</v>
      </c>
      <c r="D9" t="s">
        <v>150</v>
      </c>
      <c r="E9" t="s">
        <v>151</v>
      </c>
      <c r="F9" t="s">
        <v>152</v>
      </c>
      <c r="G9" t="s">
        <v>115</v>
      </c>
      <c r="H9" t="s">
        <v>153</v>
      </c>
      <c r="I9" t="s">
        <v>96</v>
      </c>
      <c r="J9" t="s">
        <v>97</v>
      </c>
      <c r="K9" t="s">
        <v>82</v>
      </c>
      <c r="L9" t="s">
        <v>85</v>
      </c>
      <c r="M9" t="s">
        <v>86</v>
      </c>
      <c r="N9" t="s">
        <v>117</v>
      </c>
      <c r="O9" t="s">
        <v>154</v>
      </c>
      <c r="P9" t="s">
        <v>155</v>
      </c>
      <c r="Q9" t="s">
        <v>156</v>
      </c>
      <c r="R9">
        <v>4</v>
      </c>
      <c r="S9" t="s">
        <v>157</v>
      </c>
    </row>
    <row r="10" spans="1:19" x14ac:dyDescent="0.25">
      <c r="A10" s="1">
        <v>45359.909988425927</v>
      </c>
      <c r="B10" t="s">
        <v>247</v>
      </c>
      <c r="C10" t="s">
        <v>76</v>
      </c>
      <c r="D10" t="s">
        <v>158</v>
      </c>
      <c r="E10" t="s">
        <v>159</v>
      </c>
      <c r="F10" t="s">
        <v>160</v>
      </c>
      <c r="G10" t="s">
        <v>80</v>
      </c>
      <c r="H10" t="s">
        <v>161</v>
      </c>
      <c r="I10" t="s">
        <v>82</v>
      </c>
      <c r="J10" t="s">
        <v>97</v>
      </c>
      <c r="K10" t="s">
        <v>84</v>
      </c>
      <c r="L10" t="s">
        <v>85</v>
      </c>
      <c r="M10" t="s">
        <v>99</v>
      </c>
      <c r="N10" t="s">
        <v>100</v>
      </c>
      <c r="O10" t="s">
        <v>162</v>
      </c>
      <c r="P10" t="s">
        <v>163</v>
      </c>
      <c r="Q10" t="s">
        <v>164</v>
      </c>
      <c r="R10">
        <v>6</v>
      </c>
    </row>
    <row r="11" spans="1:19" x14ac:dyDescent="0.25">
      <c r="A11" s="1">
        <v>45359.916863425926</v>
      </c>
      <c r="B11" t="s">
        <v>248</v>
      </c>
      <c r="C11" t="s">
        <v>91</v>
      </c>
      <c r="D11" t="s">
        <v>165</v>
      </c>
      <c r="E11" t="s">
        <v>166</v>
      </c>
      <c r="F11" t="s">
        <v>167</v>
      </c>
      <c r="G11" t="s">
        <v>80</v>
      </c>
      <c r="H11" t="s">
        <v>168</v>
      </c>
      <c r="I11" t="s">
        <v>82</v>
      </c>
      <c r="J11" t="s">
        <v>83</v>
      </c>
      <c r="K11" t="s">
        <v>82</v>
      </c>
      <c r="L11" t="s">
        <v>85</v>
      </c>
      <c r="M11" t="s">
        <v>99</v>
      </c>
      <c r="N11" t="s">
        <v>87</v>
      </c>
      <c r="O11" t="s">
        <v>169</v>
      </c>
      <c r="P11" t="s">
        <v>170</v>
      </c>
      <c r="Q11" t="s">
        <v>171</v>
      </c>
      <c r="R11">
        <v>10</v>
      </c>
      <c r="S11" t="s">
        <v>172</v>
      </c>
    </row>
    <row r="12" spans="1:19" x14ac:dyDescent="0.25">
      <c r="A12" s="1">
        <v>45383.691736111112</v>
      </c>
      <c r="B12" t="s">
        <v>249</v>
      </c>
      <c r="C12" t="s">
        <v>130</v>
      </c>
      <c r="D12" t="s">
        <v>173</v>
      </c>
      <c r="E12" t="s">
        <v>174</v>
      </c>
      <c r="F12" t="s">
        <v>175</v>
      </c>
      <c r="G12" t="s">
        <v>115</v>
      </c>
      <c r="H12" t="s">
        <v>176</v>
      </c>
      <c r="I12" t="s">
        <v>84</v>
      </c>
      <c r="J12" t="s">
        <v>83</v>
      </c>
      <c r="K12" t="s">
        <v>82</v>
      </c>
      <c r="L12" t="s">
        <v>85</v>
      </c>
      <c r="M12" t="s">
        <v>99</v>
      </c>
      <c r="N12" t="s">
        <v>177</v>
      </c>
      <c r="O12" t="s">
        <v>178</v>
      </c>
      <c r="P12" t="s">
        <v>179</v>
      </c>
      <c r="Q12" t="s">
        <v>180</v>
      </c>
      <c r="R12">
        <v>10</v>
      </c>
      <c r="S12" t="s">
        <v>181</v>
      </c>
    </row>
    <row r="13" spans="1:19" x14ac:dyDescent="0.25">
      <c r="A13" s="1">
        <v>45385.651365740741</v>
      </c>
      <c r="B13" t="s">
        <v>250</v>
      </c>
      <c r="C13" t="s">
        <v>130</v>
      </c>
      <c r="D13" t="s">
        <v>182</v>
      </c>
      <c r="E13" t="s">
        <v>182</v>
      </c>
      <c r="F13" t="s">
        <v>183</v>
      </c>
      <c r="G13" t="s">
        <v>115</v>
      </c>
      <c r="H13" t="s">
        <v>184</v>
      </c>
      <c r="I13" t="s">
        <v>96</v>
      </c>
      <c r="J13" t="s">
        <v>185</v>
      </c>
      <c r="K13" t="s">
        <v>84</v>
      </c>
      <c r="L13" t="s">
        <v>182</v>
      </c>
      <c r="M13" t="s">
        <v>186</v>
      </c>
      <c r="N13" t="s">
        <v>187</v>
      </c>
      <c r="O13" t="s">
        <v>188</v>
      </c>
      <c r="P13" t="s">
        <v>189</v>
      </c>
      <c r="R13">
        <v>10</v>
      </c>
      <c r="S13" t="s">
        <v>190</v>
      </c>
    </row>
    <row r="14" spans="1:19" x14ac:dyDescent="0.25">
      <c r="A14" s="1">
        <v>45388.89261574074</v>
      </c>
      <c r="B14" t="s">
        <v>251</v>
      </c>
      <c r="C14" t="s">
        <v>76</v>
      </c>
      <c r="D14" t="s">
        <v>191</v>
      </c>
      <c r="E14" t="s">
        <v>192</v>
      </c>
      <c r="F14" t="s">
        <v>193</v>
      </c>
      <c r="G14" t="s">
        <v>80</v>
      </c>
      <c r="H14" t="s">
        <v>194</v>
      </c>
      <c r="I14" t="s">
        <v>82</v>
      </c>
      <c r="J14" t="s">
        <v>97</v>
      </c>
      <c r="K14" t="s">
        <v>84</v>
      </c>
      <c r="L14" t="s">
        <v>85</v>
      </c>
      <c r="M14" t="s">
        <v>86</v>
      </c>
      <c r="N14" t="s">
        <v>117</v>
      </c>
      <c r="O14" t="s">
        <v>195</v>
      </c>
      <c r="P14" t="s">
        <v>196</v>
      </c>
      <c r="Q14" t="s">
        <v>197</v>
      </c>
      <c r="R14">
        <v>9</v>
      </c>
      <c r="S14" t="s">
        <v>198</v>
      </c>
    </row>
    <row r="15" spans="1:19" x14ac:dyDescent="0.25">
      <c r="A15" s="1">
        <v>45389.663425925923</v>
      </c>
      <c r="B15" t="s">
        <v>252</v>
      </c>
      <c r="C15" t="s">
        <v>130</v>
      </c>
      <c r="D15" t="s">
        <v>199</v>
      </c>
      <c r="G15" t="s">
        <v>80</v>
      </c>
      <c r="I15" t="s">
        <v>82</v>
      </c>
      <c r="J15" t="s">
        <v>200</v>
      </c>
      <c r="K15" t="s">
        <v>201</v>
      </c>
      <c r="L15" t="s">
        <v>202</v>
      </c>
      <c r="M15" t="s">
        <v>99</v>
      </c>
      <c r="N15" t="s">
        <v>203</v>
      </c>
      <c r="O15" t="s">
        <v>204</v>
      </c>
      <c r="P15" t="s">
        <v>168</v>
      </c>
      <c r="Q15" t="s">
        <v>205</v>
      </c>
      <c r="R15">
        <v>7</v>
      </c>
      <c r="S15" t="s">
        <v>206</v>
      </c>
    </row>
    <row r="16" spans="1:19" x14ac:dyDescent="0.25">
      <c r="A16" s="1">
        <v>45390.927152777775</v>
      </c>
      <c r="B16" t="s">
        <v>253</v>
      </c>
      <c r="C16" t="s">
        <v>76</v>
      </c>
      <c r="D16" t="s">
        <v>207</v>
      </c>
      <c r="E16" t="s">
        <v>208</v>
      </c>
      <c r="F16" t="s">
        <v>209</v>
      </c>
      <c r="G16" t="s">
        <v>80</v>
      </c>
      <c r="H16" t="s">
        <v>210</v>
      </c>
      <c r="I16" t="s">
        <v>96</v>
      </c>
      <c r="J16" t="s">
        <v>97</v>
      </c>
      <c r="K16" t="s">
        <v>211</v>
      </c>
      <c r="L16" t="s">
        <v>85</v>
      </c>
      <c r="M16" t="s">
        <v>86</v>
      </c>
      <c r="N16" t="s">
        <v>126</v>
      </c>
      <c r="O16" t="s">
        <v>212</v>
      </c>
      <c r="P16" t="s">
        <v>213</v>
      </c>
      <c r="Q16" t="s">
        <v>214</v>
      </c>
      <c r="R16">
        <v>3</v>
      </c>
      <c r="S16" t="s">
        <v>215</v>
      </c>
    </row>
    <row r="17" spans="1:19" x14ac:dyDescent="0.25">
      <c r="A17" s="1">
        <v>45394.522673611114</v>
      </c>
      <c r="B17" t="s">
        <v>254</v>
      </c>
      <c r="C17" t="s">
        <v>91</v>
      </c>
      <c r="D17" t="s">
        <v>216</v>
      </c>
      <c r="E17" t="s">
        <v>217</v>
      </c>
      <c r="F17" t="s">
        <v>218</v>
      </c>
      <c r="G17" t="s">
        <v>80</v>
      </c>
      <c r="H17" t="s">
        <v>219</v>
      </c>
      <c r="I17" t="s">
        <v>82</v>
      </c>
      <c r="J17" t="s">
        <v>83</v>
      </c>
      <c r="K17" t="s">
        <v>84</v>
      </c>
      <c r="L17" t="s">
        <v>202</v>
      </c>
      <c r="M17" t="s">
        <v>186</v>
      </c>
      <c r="N17" t="s">
        <v>220</v>
      </c>
      <c r="O17" t="s">
        <v>221</v>
      </c>
      <c r="P17" t="s">
        <v>222</v>
      </c>
      <c r="Q17" t="s">
        <v>223</v>
      </c>
      <c r="R17">
        <v>7</v>
      </c>
    </row>
    <row r="18" spans="1:19" x14ac:dyDescent="0.25">
      <c r="A18" s="1">
        <v>45395.45989583333</v>
      </c>
      <c r="B18" t="s">
        <v>255</v>
      </c>
      <c r="C18" t="s">
        <v>76</v>
      </c>
      <c r="D18" t="s">
        <v>224</v>
      </c>
      <c r="E18" t="s">
        <v>225</v>
      </c>
      <c r="F18" t="s">
        <v>226</v>
      </c>
      <c r="G18" t="s">
        <v>80</v>
      </c>
      <c r="H18" t="s">
        <v>227</v>
      </c>
      <c r="I18" t="s">
        <v>96</v>
      </c>
      <c r="J18" t="s">
        <v>97</v>
      </c>
      <c r="K18" t="s">
        <v>84</v>
      </c>
      <c r="L18" t="s">
        <v>85</v>
      </c>
      <c r="M18" t="s">
        <v>86</v>
      </c>
      <c r="N18" t="s">
        <v>228</v>
      </c>
      <c r="O18" t="s">
        <v>229</v>
      </c>
      <c r="P18" t="s">
        <v>230</v>
      </c>
      <c r="Q18" t="s">
        <v>231</v>
      </c>
      <c r="R18">
        <v>6</v>
      </c>
    </row>
    <row r="19" spans="1:19" x14ac:dyDescent="0.25">
      <c r="A19" s="1">
        <v>45395.857418981483</v>
      </c>
      <c r="B19" t="s">
        <v>256</v>
      </c>
      <c r="C19" t="s">
        <v>130</v>
      </c>
      <c r="D19" t="s">
        <v>182</v>
      </c>
      <c r="E19" t="s">
        <v>182</v>
      </c>
      <c r="F19" t="s">
        <v>182</v>
      </c>
      <c r="G19" t="s">
        <v>115</v>
      </c>
      <c r="H19" t="s">
        <v>153</v>
      </c>
      <c r="I19" t="s">
        <v>84</v>
      </c>
      <c r="J19" t="s">
        <v>83</v>
      </c>
      <c r="K19" t="s">
        <v>82</v>
      </c>
      <c r="L19" t="s">
        <v>182</v>
      </c>
      <c r="M19" t="s">
        <v>186</v>
      </c>
      <c r="N19" t="s">
        <v>145</v>
      </c>
      <c r="R19">
        <v>7</v>
      </c>
    </row>
    <row r="20" spans="1:19" x14ac:dyDescent="0.25">
      <c r="A20" s="1">
        <v>45397.694467592592</v>
      </c>
      <c r="B20" t="s">
        <v>257</v>
      </c>
      <c r="C20" t="s">
        <v>76</v>
      </c>
      <c r="D20" t="s">
        <v>232</v>
      </c>
      <c r="E20" t="s">
        <v>233</v>
      </c>
      <c r="F20" t="s">
        <v>234</v>
      </c>
      <c r="G20" t="s">
        <v>80</v>
      </c>
      <c r="H20" t="s">
        <v>235</v>
      </c>
      <c r="I20" t="s">
        <v>82</v>
      </c>
      <c r="J20" t="s">
        <v>83</v>
      </c>
      <c r="K20" t="s">
        <v>84</v>
      </c>
      <c r="L20" t="s">
        <v>85</v>
      </c>
      <c r="M20" t="s">
        <v>86</v>
      </c>
      <c r="N20" t="s">
        <v>117</v>
      </c>
      <c r="O20" t="s">
        <v>236</v>
      </c>
      <c r="P20" t="s">
        <v>237</v>
      </c>
      <c r="Q20" t="s">
        <v>236</v>
      </c>
      <c r="R20">
        <v>5</v>
      </c>
      <c r="S20" t="s">
        <v>238</v>
      </c>
    </row>
    <row r="50" spans="4:8" x14ac:dyDescent="0.25">
      <c r="D50" s="9"/>
      <c r="E50" s="9"/>
      <c r="F50" s="9"/>
      <c r="H50" s="9"/>
    </row>
    <row r="120" spans="22:27" x14ac:dyDescent="0.25">
      <c r="V120" t="s">
        <v>0</v>
      </c>
      <c r="W120" t="s">
        <v>1</v>
      </c>
      <c r="X120" t="s">
        <v>2</v>
      </c>
      <c r="Y120" t="s">
        <v>3</v>
      </c>
      <c r="Z120" t="s">
        <v>4</v>
      </c>
      <c r="AA120" t="s">
        <v>5</v>
      </c>
    </row>
    <row r="140" spans="23:27" x14ac:dyDescent="0.25">
      <c r="W140" s="9">
        <f>SUM(W121:W139)</f>
        <v>0</v>
      </c>
      <c r="X140" s="9">
        <f>SUM(X121:X139)</f>
        <v>0</v>
      </c>
      <c r="Y140" s="9">
        <f>SUM(Y121:Y139)</f>
        <v>0</v>
      </c>
      <c r="Z140">
        <v>65</v>
      </c>
      <c r="AA140" s="9">
        <f>SUM(AA121:AA139)</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CCED-0048-46E0-AB6E-D472DB497ECE}">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0</v>
      </c>
      <c r="B2">
        <v>4</v>
      </c>
      <c r="C2">
        <v>0</v>
      </c>
      <c r="D2">
        <v>1</v>
      </c>
      <c r="E2">
        <v>0</v>
      </c>
      <c r="F2">
        <v>40.78369</v>
      </c>
      <c r="G2">
        <v>80</v>
      </c>
      <c r="H2">
        <v>1</v>
      </c>
      <c r="I2">
        <v>1</v>
      </c>
      <c r="J2">
        <v>1</v>
      </c>
      <c r="K2">
        <v>6</v>
      </c>
      <c r="L2">
        <v>11</v>
      </c>
    </row>
    <row r="3" spans="1:12" x14ac:dyDescent="0.25">
      <c r="A3">
        <v>0</v>
      </c>
      <c r="B3">
        <v>1</v>
      </c>
      <c r="C3">
        <v>0</v>
      </c>
      <c r="D3">
        <v>0</v>
      </c>
      <c r="E3">
        <v>0</v>
      </c>
      <c r="F3">
        <v>34.877929999999999</v>
      </c>
      <c r="G3">
        <v>80</v>
      </c>
      <c r="H3">
        <v>1</v>
      </c>
      <c r="I3">
        <v>1</v>
      </c>
      <c r="J3">
        <v>2</v>
      </c>
      <c r="K3">
        <v>46</v>
      </c>
      <c r="L3">
        <v>0</v>
      </c>
    </row>
    <row r="4" spans="1:12" x14ac:dyDescent="0.25">
      <c r="A4">
        <v>0</v>
      </c>
      <c r="B4">
        <v>4</v>
      </c>
      <c r="C4">
        <v>0</v>
      </c>
      <c r="D4">
        <v>0</v>
      </c>
      <c r="E4">
        <v>0</v>
      </c>
      <c r="F4">
        <v>33.601680000000002</v>
      </c>
      <c r="G4">
        <v>0</v>
      </c>
      <c r="H4">
        <v>1</v>
      </c>
      <c r="I4">
        <v>1</v>
      </c>
      <c r="J4">
        <v>0</v>
      </c>
      <c r="K4">
        <v>115</v>
      </c>
      <c r="L4">
        <v>0</v>
      </c>
    </row>
    <row r="5" spans="1:12" x14ac:dyDescent="0.25">
      <c r="A5">
        <v>0</v>
      </c>
      <c r="B5">
        <v>1</v>
      </c>
      <c r="C5">
        <v>0</v>
      </c>
      <c r="D5">
        <v>0</v>
      </c>
      <c r="E5">
        <v>0</v>
      </c>
      <c r="F5">
        <v>2778784</v>
      </c>
      <c r="G5">
        <v>0</v>
      </c>
      <c r="H5">
        <v>1</v>
      </c>
      <c r="I5">
        <v>1</v>
      </c>
      <c r="J5">
        <v>0</v>
      </c>
      <c r="K5">
        <v>89</v>
      </c>
      <c r="L5">
        <v>0</v>
      </c>
    </row>
    <row r="6" spans="1:12" x14ac:dyDescent="0.25">
      <c r="A6">
        <v>0</v>
      </c>
      <c r="B6">
        <v>2</v>
      </c>
      <c r="C6">
        <v>0</v>
      </c>
      <c r="D6">
        <v>2</v>
      </c>
      <c r="E6">
        <v>76</v>
      </c>
      <c r="F6">
        <v>84.302000000000007</v>
      </c>
      <c r="G6">
        <v>160</v>
      </c>
      <c r="H6">
        <v>0</v>
      </c>
      <c r="I6">
        <v>1</v>
      </c>
      <c r="J6">
        <v>4</v>
      </c>
      <c r="K6">
        <v>32</v>
      </c>
      <c r="L6">
        <v>0</v>
      </c>
    </row>
    <row r="7" spans="1:12" x14ac:dyDescent="0.25">
      <c r="A7">
        <v>0</v>
      </c>
      <c r="B7">
        <v>3</v>
      </c>
      <c r="C7">
        <v>1</v>
      </c>
      <c r="D7">
        <v>0</v>
      </c>
      <c r="E7">
        <v>0</v>
      </c>
      <c r="F7">
        <v>8.306885E-2</v>
      </c>
      <c r="G7">
        <v>0</v>
      </c>
      <c r="H7">
        <v>0</v>
      </c>
      <c r="I7">
        <v>0</v>
      </c>
      <c r="J7">
        <v>0</v>
      </c>
      <c r="K7">
        <v>0</v>
      </c>
      <c r="L7">
        <v>0</v>
      </c>
    </row>
    <row r="8" spans="1:12" x14ac:dyDescent="0.25">
      <c r="A8">
        <v>3</v>
      </c>
      <c r="B8">
        <v>4</v>
      </c>
      <c r="C8">
        <v>1</v>
      </c>
      <c r="D8">
        <v>0</v>
      </c>
      <c r="E8">
        <v>0</v>
      </c>
      <c r="F8">
        <v>143.6489</v>
      </c>
      <c r="G8">
        <v>440</v>
      </c>
      <c r="H8">
        <v>0</v>
      </c>
      <c r="I8">
        <v>3</v>
      </c>
      <c r="J8">
        <v>6</v>
      </c>
      <c r="K8">
        <v>42</v>
      </c>
      <c r="L8">
        <v>0</v>
      </c>
    </row>
    <row r="9" spans="1:12" x14ac:dyDescent="0.25">
      <c r="A9">
        <v>0</v>
      </c>
      <c r="B9">
        <v>4</v>
      </c>
      <c r="C9">
        <v>0</v>
      </c>
      <c r="D9">
        <v>0</v>
      </c>
      <c r="E9">
        <v>0</v>
      </c>
      <c r="F9">
        <v>24.774660000000001</v>
      </c>
      <c r="G9">
        <v>0</v>
      </c>
      <c r="H9">
        <v>1</v>
      </c>
      <c r="I9">
        <v>1</v>
      </c>
      <c r="J9">
        <v>0</v>
      </c>
      <c r="K9">
        <v>82</v>
      </c>
      <c r="L9">
        <v>1</v>
      </c>
    </row>
    <row r="10" spans="1:12" x14ac:dyDescent="0.25">
      <c r="A10">
        <v>2</v>
      </c>
      <c r="B10">
        <v>2</v>
      </c>
      <c r="C10">
        <v>1</v>
      </c>
      <c r="D10">
        <v>0</v>
      </c>
      <c r="E10">
        <v>0</v>
      </c>
      <c r="F10">
        <v>64.211550000000003</v>
      </c>
      <c r="G10">
        <v>240</v>
      </c>
      <c r="H10">
        <v>0</v>
      </c>
      <c r="I10">
        <v>1</v>
      </c>
      <c r="J10">
        <v>0</v>
      </c>
      <c r="K10">
        <v>92</v>
      </c>
      <c r="L10">
        <v>2</v>
      </c>
    </row>
    <row r="11" spans="1:12" x14ac:dyDescent="0.25">
      <c r="A11">
        <v>0</v>
      </c>
      <c r="B11">
        <v>1</v>
      </c>
      <c r="C11">
        <v>0</v>
      </c>
      <c r="D11">
        <v>1</v>
      </c>
      <c r="E11">
        <v>4</v>
      </c>
      <c r="F11">
        <v>3077246</v>
      </c>
      <c r="G11">
        <v>40</v>
      </c>
      <c r="H11">
        <v>1</v>
      </c>
      <c r="I11">
        <v>1</v>
      </c>
      <c r="J11">
        <v>0</v>
      </c>
      <c r="K11">
        <v>55</v>
      </c>
      <c r="L11">
        <v>0</v>
      </c>
    </row>
    <row r="12" spans="1:12" x14ac:dyDescent="0.25">
      <c r="A12">
        <v>1</v>
      </c>
      <c r="B12">
        <v>2</v>
      </c>
      <c r="C12">
        <v>1</v>
      </c>
      <c r="D12">
        <v>0</v>
      </c>
      <c r="E12">
        <v>0</v>
      </c>
      <c r="F12">
        <v>67.213620000000006</v>
      </c>
      <c r="G12">
        <v>200</v>
      </c>
      <c r="H12">
        <v>0</v>
      </c>
      <c r="I12">
        <v>1</v>
      </c>
      <c r="J12">
        <v>2</v>
      </c>
      <c r="K12">
        <v>111</v>
      </c>
      <c r="L12">
        <v>0</v>
      </c>
    </row>
    <row r="13" spans="1:12" x14ac:dyDescent="0.25">
      <c r="A13">
        <v>0</v>
      </c>
      <c r="B13">
        <v>2</v>
      </c>
      <c r="C13">
        <v>0</v>
      </c>
      <c r="D13">
        <v>1</v>
      </c>
      <c r="E13">
        <v>6</v>
      </c>
      <c r="F13">
        <v>25.149290000000001</v>
      </c>
      <c r="G13">
        <v>40</v>
      </c>
      <c r="H13">
        <v>1</v>
      </c>
      <c r="I13">
        <v>1</v>
      </c>
      <c r="J13">
        <v>3</v>
      </c>
      <c r="K13">
        <v>48</v>
      </c>
      <c r="L13">
        <v>0</v>
      </c>
    </row>
    <row r="14" spans="1:12" x14ac:dyDescent="0.25">
      <c r="A14">
        <v>0</v>
      </c>
      <c r="B14">
        <v>1</v>
      </c>
      <c r="C14">
        <v>1</v>
      </c>
      <c r="D14">
        <v>0</v>
      </c>
      <c r="E14">
        <v>0</v>
      </c>
      <c r="F14">
        <v>8.8986820000000009</v>
      </c>
      <c r="G14">
        <v>0</v>
      </c>
      <c r="H14">
        <v>0</v>
      </c>
      <c r="I14">
        <v>0</v>
      </c>
      <c r="J14">
        <v>0</v>
      </c>
      <c r="K14">
        <v>22</v>
      </c>
      <c r="L14">
        <v>0</v>
      </c>
    </row>
    <row r="15" spans="1:12" x14ac:dyDescent="0.25">
      <c r="A15">
        <v>0</v>
      </c>
      <c r="B15">
        <v>1</v>
      </c>
      <c r="C15">
        <v>0</v>
      </c>
      <c r="D15">
        <v>0</v>
      </c>
      <c r="E15">
        <v>0</v>
      </c>
      <c r="F15">
        <v>79.347409999999996</v>
      </c>
      <c r="G15">
        <v>40</v>
      </c>
      <c r="H15">
        <v>0</v>
      </c>
      <c r="I15">
        <v>1</v>
      </c>
      <c r="J15">
        <v>1</v>
      </c>
      <c r="K15">
        <v>103</v>
      </c>
      <c r="L15">
        <v>124</v>
      </c>
    </row>
    <row r="16" spans="1:12" x14ac:dyDescent="0.25">
      <c r="A16">
        <v>0</v>
      </c>
      <c r="B16">
        <v>1</v>
      </c>
      <c r="C16">
        <v>0</v>
      </c>
      <c r="D16">
        <v>5</v>
      </c>
      <c r="E16">
        <v>11</v>
      </c>
      <c r="F16">
        <v>24.58154</v>
      </c>
      <c r="G16">
        <v>0</v>
      </c>
      <c r="H16">
        <v>1</v>
      </c>
      <c r="I16">
        <v>1</v>
      </c>
      <c r="J16">
        <v>0</v>
      </c>
      <c r="K16">
        <v>12</v>
      </c>
      <c r="L16">
        <v>0</v>
      </c>
    </row>
    <row r="17" spans="1:12" x14ac:dyDescent="0.25">
      <c r="A17">
        <v>2</v>
      </c>
      <c r="B17">
        <v>1</v>
      </c>
      <c r="C17">
        <v>0</v>
      </c>
      <c r="D17">
        <v>8</v>
      </c>
      <c r="E17">
        <v>29</v>
      </c>
      <c r="F17">
        <v>78.735839999999996</v>
      </c>
      <c r="G17">
        <v>320</v>
      </c>
      <c r="H17">
        <v>3</v>
      </c>
      <c r="I17">
        <v>3</v>
      </c>
      <c r="J17">
        <v>1</v>
      </c>
      <c r="K17">
        <v>20</v>
      </c>
      <c r="L17">
        <v>0</v>
      </c>
    </row>
    <row r="18" spans="1:12" x14ac:dyDescent="0.25">
      <c r="A18">
        <v>0</v>
      </c>
      <c r="B18">
        <v>1</v>
      </c>
      <c r="C18">
        <v>0</v>
      </c>
      <c r="D18">
        <v>0</v>
      </c>
      <c r="E18">
        <v>16</v>
      </c>
      <c r="F18">
        <v>30.972899999999999</v>
      </c>
      <c r="G18">
        <v>0</v>
      </c>
      <c r="H18">
        <v>1</v>
      </c>
      <c r="I18">
        <v>1</v>
      </c>
      <c r="J18">
        <v>0</v>
      </c>
      <c r="K18">
        <v>135</v>
      </c>
      <c r="L18">
        <v>0</v>
      </c>
    </row>
    <row r="19" spans="1:12" x14ac:dyDescent="0.25">
      <c r="A19">
        <v>0</v>
      </c>
      <c r="B19">
        <v>1</v>
      </c>
      <c r="C19">
        <v>0</v>
      </c>
      <c r="D19">
        <v>0</v>
      </c>
      <c r="E19">
        <v>0</v>
      </c>
      <c r="F19">
        <v>30.171880000000002</v>
      </c>
      <c r="G19">
        <v>80</v>
      </c>
      <c r="H19">
        <v>1</v>
      </c>
      <c r="I19">
        <v>1</v>
      </c>
      <c r="J19">
        <v>1</v>
      </c>
      <c r="K19">
        <v>30</v>
      </c>
      <c r="L19">
        <v>4</v>
      </c>
    </row>
    <row r="20" spans="1:12" x14ac:dyDescent="0.25">
      <c r="A20">
        <v>0</v>
      </c>
      <c r="B20">
        <v>1</v>
      </c>
      <c r="C20">
        <v>0</v>
      </c>
      <c r="D20">
        <v>0</v>
      </c>
      <c r="E20">
        <v>0</v>
      </c>
      <c r="F20">
        <v>57.33032</v>
      </c>
      <c r="G20">
        <v>0</v>
      </c>
      <c r="H20">
        <v>0</v>
      </c>
      <c r="I20">
        <v>1</v>
      </c>
      <c r="J20">
        <v>0</v>
      </c>
      <c r="K20">
        <v>98</v>
      </c>
      <c r="L20">
        <v>4</v>
      </c>
    </row>
    <row r="21" spans="1:12" x14ac:dyDescent="0.25">
      <c r="A21">
        <f>SUBTOTAL(101,temp22[Column1])</f>
        <v>0.42105263157894735</v>
      </c>
      <c r="B21">
        <f>SUBTOTAL(101,temp22[Column2])</f>
        <v>1.9473684210526316</v>
      </c>
      <c r="C21">
        <f>SUBTOTAL(101,temp22[Column3])</f>
        <v>0.26315789473684209</v>
      </c>
      <c r="D21">
        <f>SUBTOTAL(101,temp22[Column4])</f>
        <v>0.94736842105263153</v>
      </c>
      <c r="E21">
        <f>SUBTOTAL(101,temp22[Column5])</f>
        <v>7.4736842105263159</v>
      </c>
      <c r="F21">
        <f>SUBTOTAL(101,temp22[Column6])</f>
        <v>308255.72026109742</v>
      </c>
      <c r="G21">
        <f>SUBTOTAL(101,temp22[Column7])</f>
        <v>90.526315789473685</v>
      </c>
      <c r="H21">
        <f>SUBTOTAL(101,temp22[Column8])</f>
        <v>0.68421052631578949</v>
      </c>
      <c r="I21">
        <f>SUBTOTAL(101,temp22[Column9])</f>
        <v>1.1052631578947369</v>
      </c>
      <c r="J21">
        <f>SUBTOTAL(101,temp22[Column10])</f>
        <v>1.1052631578947369</v>
      </c>
      <c r="K21">
        <f>SUBTOTAL(101,temp22[Column11])</f>
        <v>59.89473684210526</v>
      </c>
      <c r="L21">
        <f>SUBTOTAL(101,temp22[Column12])</f>
        <v>7.6842105263157894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80474-8787-417C-A7CA-70EDDA679323}">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2</v>
      </c>
      <c r="C2">
        <v>0</v>
      </c>
      <c r="D2">
        <v>1</v>
      </c>
      <c r="E2">
        <v>2533</v>
      </c>
      <c r="F2">
        <v>184.29589999999999</v>
      </c>
      <c r="G2">
        <v>600</v>
      </c>
      <c r="H2">
        <v>0</v>
      </c>
      <c r="I2">
        <v>2</v>
      </c>
      <c r="J2">
        <v>9</v>
      </c>
      <c r="K2">
        <v>40</v>
      </c>
      <c r="L2">
        <v>64</v>
      </c>
    </row>
    <row r="3" spans="1:12" x14ac:dyDescent="0.25">
      <c r="A3">
        <v>0</v>
      </c>
      <c r="B3">
        <v>1</v>
      </c>
      <c r="C3">
        <v>0</v>
      </c>
      <c r="D3">
        <v>0</v>
      </c>
      <c r="E3">
        <v>0</v>
      </c>
      <c r="F3">
        <v>40.280029999999996</v>
      </c>
      <c r="G3">
        <v>160</v>
      </c>
      <c r="H3">
        <v>1</v>
      </c>
      <c r="I3">
        <v>1</v>
      </c>
      <c r="J3">
        <v>2</v>
      </c>
      <c r="K3">
        <v>42</v>
      </c>
      <c r="L3">
        <v>0</v>
      </c>
    </row>
    <row r="4" spans="1:12" x14ac:dyDescent="0.25">
      <c r="A4">
        <v>0</v>
      </c>
      <c r="B4">
        <v>1</v>
      </c>
      <c r="C4">
        <v>0</v>
      </c>
      <c r="D4">
        <v>0</v>
      </c>
      <c r="E4">
        <v>0</v>
      </c>
      <c r="F4">
        <v>29.779910000000001</v>
      </c>
      <c r="G4">
        <v>80</v>
      </c>
      <c r="H4">
        <v>1</v>
      </c>
      <c r="I4">
        <v>1</v>
      </c>
      <c r="J4">
        <v>2</v>
      </c>
      <c r="K4">
        <v>53</v>
      </c>
      <c r="L4">
        <v>0</v>
      </c>
    </row>
    <row r="5" spans="1:12" x14ac:dyDescent="0.25">
      <c r="A5">
        <v>0</v>
      </c>
      <c r="B5">
        <v>1</v>
      </c>
      <c r="C5">
        <v>0</v>
      </c>
      <c r="D5">
        <v>0</v>
      </c>
      <c r="E5">
        <v>19</v>
      </c>
      <c r="F5">
        <v>2902661</v>
      </c>
      <c r="G5">
        <v>80</v>
      </c>
      <c r="H5">
        <v>1</v>
      </c>
      <c r="I5">
        <v>1</v>
      </c>
      <c r="J5">
        <v>2</v>
      </c>
      <c r="K5">
        <v>60</v>
      </c>
      <c r="L5">
        <v>0</v>
      </c>
    </row>
    <row r="6" spans="1:12" x14ac:dyDescent="0.25">
      <c r="A6">
        <v>4</v>
      </c>
      <c r="B6">
        <v>4</v>
      </c>
      <c r="C6">
        <v>1</v>
      </c>
      <c r="D6">
        <v>4</v>
      </c>
      <c r="E6">
        <v>173</v>
      </c>
      <c r="F6">
        <v>243.4211</v>
      </c>
      <c r="G6">
        <v>920</v>
      </c>
      <c r="H6">
        <v>0</v>
      </c>
      <c r="I6">
        <v>4</v>
      </c>
      <c r="J6">
        <v>13</v>
      </c>
      <c r="K6">
        <v>50</v>
      </c>
      <c r="L6">
        <v>1</v>
      </c>
    </row>
    <row r="7" spans="1:12" x14ac:dyDescent="0.25">
      <c r="A7">
        <v>0</v>
      </c>
      <c r="B7">
        <v>3</v>
      </c>
      <c r="C7">
        <v>1</v>
      </c>
      <c r="D7">
        <v>0</v>
      </c>
      <c r="E7">
        <v>0</v>
      </c>
      <c r="F7">
        <v>0.115345</v>
      </c>
      <c r="G7">
        <v>0</v>
      </c>
      <c r="H7">
        <v>0</v>
      </c>
      <c r="I7">
        <v>0</v>
      </c>
      <c r="J7">
        <v>0</v>
      </c>
      <c r="K7">
        <v>0</v>
      </c>
      <c r="L7">
        <v>0</v>
      </c>
    </row>
    <row r="8" spans="1:12" x14ac:dyDescent="0.25">
      <c r="A8">
        <v>0</v>
      </c>
      <c r="B8">
        <v>1</v>
      </c>
      <c r="C8">
        <v>0</v>
      </c>
      <c r="D8">
        <v>0</v>
      </c>
      <c r="E8">
        <v>0</v>
      </c>
      <c r="F8">
        <v>132.8184</v>
      </c>
      <c r="G8">
        <v>320</v>
      </c>
      <c r="H8">
        <v>0</v>
      </c>
      <c r="I8">
        <v>1</v>
      </c>
      <c r="J8">
        <v>6</v>
      </c>
      <c r="K8">
        <v>27</v>
      </c>
      <c r="L8">
        <v>0</v>
      </c>
    </row>
    <row r="9" spans="1:12" x14ac:dyDescent="0.25">
      <c r="A9">
        <v>0</v>
      </c>
      <c r="B9">
        <v>1</v>
      </c>
      <c r="C9">
        <v>0</v>
      </c>
      <c r="D9">
        <v>0</v>
      </c>
      <c r="E9">
        <v>0</v>
      </c>
      <c r="F9">
        <v>43.00085</v>
      </c>
      <c r="G9">
        <v>0</v>
      </c>
      <c r="H9">
        <v>5</v>
      </c>
      <c r="I9">
        <v>1</v>
      </c>
      <c r="J9">
        <v>0</v>
      </c>
      <c r="K9">
        <v>19</v>
      </c>
      <c r="L9">
        <v>4</v>
      </c>
    </row>
    <row r="10" spans="1:12" x14ac:dyDescent="0.25">
      <c r="A10">
        <v>3</v>
      </c>
      <c r="B10">
        <v>3</v>
      </c>
      <c r="C10">
        <v>1</v>
      </c>
      <c r="D10">
        <v>0</v>
      </c>
      <c r="E10">
        <v>0</v>
      </c>
      <c r="F10">
        <v>59.665529999999997</v>
      </c>
      <c r="G10">
        <v>360</v>
      </c>
      <c r="H10">
        <v>0</v>
      </c>
      <c r="I10">
        <v>3</v>
      </c>
      <c r="J10">
        <v>0</v>
      </c>
      <c r="K10">
        <v>222</v>
      </c>
      <c r="L10">
        <v>2</v>
      </c>
    </row>
    <row r="11" spans="1:12" x14ac:dyDescent="0.25">
      <c r="A11">
        <v>0</v>
      </c>
      <c r="B11">
        <v>1</v>
      </c>
      <c r="C11">
        <v>0</v>
      </c>
      <c r="D11">
        <v>3</v>
      </c>
      <c r="E11">
        <v>14</v>
      </c>
      <c r="F11">
        <v>3485254</v>
      </c>
      <c r="G11">
        <v>160</v>
      </c>
      <c r="H11">
        <v>1</v>
      </c>
      <c r="I11">
        <v>1</v>
      </c>
      <c r="J11">
        <v>1</v>
      </c>
      <c r="K11">
        <v>55</v>
      </c>
      <c r="L11">
        <v>0</v>
      </c>
    </row>
    <row r="12" spans="1:12" x14ac:dyDescent="0.25">
      <c r="A12">
        <v>1</v>
      </c>
      <c r="B12">
        <v>2</v>
      </c>
      <c r="C12">
        <v>1</v>
      </c>
      <c r="D12">
        <v>1</v>
      </c>
      <c r="E12">
        <v>23</v>
      </c>
      <c r="F12">
        <v>53.765140000000002</v>
      </c>
      <c r="G12">
        <v>200</v>
      </c>
      <c r="H12">
        <v>0</v>
      </c>
      <c r="I12">
        <v>1</v>
      </c>
      <c r="J12">
        <v>2</v>
      </c>
      <c r="K12">
        <v>70</v>
      </c>
      <c r="L12">
        <v>0</v>
      </c>
    </row>
    <row r="13" spans="1:12" x14ac:dyDescent="0.25">
      <c r="A13">
        <v>0</v>
      </c>
      <c r="B13">
        <v>1</v>
      </c>
      <c r="C13">
        <v>0</v>
      </c>
      <c r="D13">
        <v>0</v>
      </c>
      <c r="E13">
        <v>0</v>
      </c>
      <c r="F13">
        <v>29.59497</v>
      </c>
      <c r="G13">
        <v>40</v>
      </c>
      <c r="H13">
        <v>1</v>
      </c>
      <c r="I13">
        <v>1</v>
      </c>
      <c r="J13">
        <v>1</v>
      </c>
      <c r="K13">
        <v>51</v>
      </c>
      <c r="L13">
        <v>0</v>
      </c>
    </row>
    <row r="14" spans="1:12" x14ac:dyDescent="0.25">
      <c r="A14">
        <v>2</v>
      </c>
      <c r="B14">
        <v>2</v>
      </c>
      <c r="C14">
        <v>1</v>
      </c>
      <c r="D14">
        <v>0</v>
      </c>
      <c r="E14">
        <v>0</v>
      </c>
      <c r="F14">
        <v>50.869509999999998</v>
      </c>
      <c r="G14">
        <v>240</v>
      </c>
      <c r="H14">
        <v>0</v>
      </c>
      <c r="I14">
        <v>0</v>
      </c>
      <c r="J14">
        <v>0</v>
      </c>
      <c r="K14">
        <v>157</v>
      </c>
      <c r="L14">
        <v>0</v>
      </c>
    </row>
    <row r="15" spans="1:12" x14ac:dyDescent="0.25">
      <c r="A15">
        <v>0</v>
      </c>
      <c r="B15">
        <v>1</v>
      </c>
      <c r="C15">
        <v>0</v>
      </c>
      <c r="D15">
        <v>0</v>
      </c>
      <c r="E15">
        <v>0</v>
      </c>
      <c r="F15">
        <v>80.691159999999996</v>
      </c>
      <c r="G15">
        <v>120</v>
      </c>
      <c r="H15">
        <v>0</v>
      </c>
      <c r="I15">
        <v>1</v>
      </c>
      <c r="J15">
        <v>2</v>
      </c>
      <c r="K15">
        <v>42</v>
      </c>
      <c r="L15">
        <v>94</v>
      </c>
    </row>
    <row r="16" spans="1:12" x14ac:dyDescent="0.25">
      <c r="A16">
        <v>0</v>
      </c>
      <c r="B16">
        <v>2</v>
      </c>
      <c r="C16">
        <v>0</v>
      </c>
      <c r="D16">
        <v>12</v>
      </c>
      <c r="E16">
        <v>21</v>
      </c>
      <c r="F16">
        <v>57.358519999999999</v>
      </c>
      <c r="G16">
        <v>200</v>
      </c>
      <c r="H16">
        <v>1</v>
      </c>
      <c r="I16">
        <v>1</v>
      </c>
      <c r="J16">
        <v>9</v>
      </c>
      <c r="K16">
        <v>16</v>
      </c>
      <c r="L16">
        <v>1</v>
      </c>
    </row>
    <row r="17" spans="1:12" x14ac:dyDescent="0.25">
      <c r="A17">
        <v>0</v>
      </c>
      <c r="B17">
        <v>1</v>
      </c>
      <c r="C17">
        <v>0</v>
      </c>
      <c r="D17">
        <v>3</v>
      </c>
      <c r="E17">
        <v>10</v>
      </c>
      <c r="F17">
        <v>35.409910000000004</v>
      </c>
      <c r="G17">
        <v>120</v>
      </c>
      <c r="H17">
        <v>1</v>
      </c>
      <c r="I17">
        <v>1</v>
      </c>
      <c r="J17">
        <v>1</v>
      </c>
      <c r="K17">
        <v>14</v>
      </c>
      <c r="L17">
        <v>0</v>
      </c>
    </row>
    <row r="18" spans="1:12" x14ac:dyDescent="0.25">
      <c r="A18">
        <v>1</v>
      </c>
      <c r="B18">
        <v>3</v>
      </c>
      <c r="C18">
        <v>0</v>
      </c>
      <c r="D18">
        <v>3</v>
      </c>
      <c r="E18">
        <v>98</v>
      </c>
      <c r="F18">
        <v>83.034909999999996</v>
      </c>
      <c r="G18">
        <v>400</v>
      </c>
      <c r="H18">
        <v>2</v>
      </c>
      <c r="I18">
        <v>2</v>
      </c>
      <c r="J18">
        <v>6</v>
      </c>
      <c r="K18">
        <v>342</v>
      </c>
      <c r="L18">
        <v>0</v>
      </c>
    </row>
    <row r="19" spans="1:12" x14ac:dyDescent="0.25">
      <c r="A19">
        <v>0</v>
      </c>
      <c r="B19">
        <v>1</v>
      </c>
      <c r="C19">
        <v>0</v>
      </c>
      <c r="D19">
        <v>0</v>
      </c>
      <c r="E19">
        <v>0</v>
      </c>
      <c r="F19">
        <v>31.713619999999999</v>
      </c>
      <c r="G19">
        <v>120</v>
      </c>
      <c r="H19">
        <v>1</v>
      </c>
      <c r="I19">
        <v>1</v>
      </c>
      <c r="J19">
        <v>2</v>
      </c>
      <c r="K19">
        <v>39</v>
      </c>
      <c r="L19">
        <v>0</v>
      </c>
    </row>
    <row r="20" spans="1:12" x14ac:dyDescent="0.25">
      <c r="A20">
        <v>0</v>
      </c>
      <c r="B20">
        <v>3</v>
      </c>
      <c r="C20">
        <v>1</v>
      </c>
      <c r="D20">
        <v>0</v>
      </c>
      <c r="E20">
        <v>0</v>
      </c>
      <c r="F20">
        <v>24.002929999999999</v>
      </c>
      <c r="G20">
        <v>80</v>
      </c>
      <c r="H20">
        <v>0</v>
      </c>
      <c r="I20">
        <v>1</v>
      </c>
      <c r="J20">
        <v>0</v>
      </c>
      <c r="K20">
        <v>15</v>
      </c>
      <c r="L20">
        <v>6</v>
      </c>
    </row>
    <row r="21" spans="1:12" x14ac:dyDescent="0.25">
      <c r="A21">
        <f>SUBTOTAL(101,temp21[Column1])</f>
        <v>0.63157894736842102</v>
      </c>
      <c r="B21">
        <f>SUBTOTAL(101,temp21[Column2])</f>
        <v>1.7894736842105263</v>
      </c>
      <c r="C21">
        <f>SUBTOTAL(101,temp21[Column3])</f>
        <v>0.31578947368421051</v>
      </c>
      <c r="D21">
        <f>SUBTOTAL(101,temp21[Column4])</f>
        <v>1.4210526315789473</v>
      </c>
      <c r="E21">
        <f>SUBTOTAL(101,temp21[Column5])</f>
        <v>152.15789473684211</v>
      </c>
      <c r="F21">
        <f>SUBTOTAL(101,temp21[Column6])</f>
        <v>336268.14830184204</v>
      </c>
      <c r="G21">
        <f>SUBTOTAL(101,temp21[Column7])</f>
        <v>221.05263157894737</v>
      </c>
      <c r="H21">
        <f>SUBTOTAL(101,temp21[Column8])</f>
        <v>0.78947368421052633</v>
      </c>
      <c r="I21">
        <f>SUBTOTAL(101,temp21[Column9])</f>
        <v>1.263157894736842</v>
      </c>
      <c r="J21">
        <f>SUBTOTAL(101,temp21[Column10])</f>
        <v>3.0526315789473686</v>
      </c>
      <c r="K21">
        <f>SUBTOTAL(101,temp21[Column11])</f>
        <v>69.15789473684211</v>
      </c>
      <c r="L21">
        <f>SUBTOTAL(101,temp21[Column12])</f>
        <v>9.0526315789473681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AA0E4-7CF5-4701-BFE0-AA8F6CCCD5CE}">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2</v>
      </c>
      <c r="B2">
        <v>4</v>
      </c>
      <c r="C2">
        <v>0</v>
      </c>
      <c r="D2">
        <v>0</v>
      </c>
      <c r="E2">
        <v>484</v>
      </c>
      <c r="F2">
        <v>172.1421</v>
      </c>
      <c r="G2">
        <v>480</v>
      </c>
      <c r="H2">
        <v>0</v>
      </c>
      <c r="I2">
        <v>3</v>
      </c>
      <c r="J2">
        <v>5</v>
      </c>
      <c r="K2">
        <v>44</v>
      </c>
      <c r="L2">
        <v>21</v>
      </c>
    </row>
    <row r="3" spans="1:12" x14ac:dyDescent="0.25">
      <c r="A3">
        <v>0</v>
      </c>
      <c r="B3">
        <v>1</v>
      </c>
      <c r="C3">
        <v>0</v>
      </c>
      <c r="D3">
        <v>0</v>
      </c>
      <c r="E3">
        <v>0</v>
      </c>
      <c r="F3">
        <v>55.7395</v>
      </c>
      <c r="G3">
        <v>120</v>
      </c>
      <c r="H3">
        <v>1</v>
      </c>
      <c r="I3">
        <v>1</v>
      </c>
      <c r="J3">
        <v>2</v>
      </c>
      <c r="K3">
        <v>41</v>
      </c>
      <c r="L3">
        <v>0</v>
      </c>
    </row>
    <row r="4" spans="1:12" x14ac:dyDescent="0.25">
      <c r="A4">
        <v>0</v>
      </c>
      <c r="B4">
        <v>1</v>
      </c>
      <c r="C4">
        <v>0</v>
      </c>
      <c r="D4">
        <v>0</v>
      </c>
      <c r="E4">
        <v>0</v>
      </c>
      <c r="F4">
        <v>43.363160000000001</v>
      </c>
      <c r="G4">
        <v>80</v>
      </c>
      <c r="H4">
        <v>1</v>
      </c>
      <c r="I4">
        <v>1</v>
      </c>
      <c r="J4">
        <v>3</v>
      </c>
      <c r="K4">
        <v>55</v>
      </c>
      <c r="L4">
        <v>0</v>
      </c>
    </row>
    <row r="5" spans="1:12" x14ac:dyDescent="0.25">
      <c r="A5">
        <v>0</v>
      </c>
      <c r="B5">
        <v>2</v>
      </c>
      <c r="C5">
        <v>0</v>
      </c>
      <c r="D5">
        <v>0</v>
      </c>
      <c r="E5">
        <v>15</v>
      </c>
      <c r="F5">
        <v>3138062</v>
      </c>
      <c r="G5">
        <v>80</v>
      </c>
      <c r="H5">
        <v>1</v>
      </c>
      <c r="I5">
        <v>1</v>
      </c>
      <c r="J5">
        <v>2</v>
      </c>
      <c r="K5">
        <v>70</v>
      </c>
      <c r="L5">
        <v>0</v>
      </c>
    </row>
    <row r="6" spans="1:12" x14ac:dyDescent="0.25">
      <c r="A6">
        <v>2</v>
      </c>
      <c r="B6">
        <v>3</v>
      </c>
      <c r="C6">
        <v>1</v>
      </c>
      <c r="D6">
        <v>0</v>
      </c>
      <c r="E6">
        <v>0</v>
      </c>
      <c r="F6">
        <v>65.186279999999996</v>
      </c>
      <c r="G6">
        <v>320</v>
      </c>
      <c r="H6">
        <v>0</v>
      </c>
      <c r="I6">
        <v>2</v>
      </c>
      <c r="J6">
        <v>3</v>
      </c>
      <c r="K6">
        <v>10</v>
      </c>
      <c r="L6">
        <v>0</v>
      </c>
    </row>
    <row r="7" spans="1:12" x14ac:dyDescent="0.25">
      <c r="A7">
        <v>0</v>
      </c>
      <c r="B7">
        <v>3</v>
      </c>
      <c r="C7">
        <v>1</v>
      </c>
      <c r="D7">
        <v>0</v>
      </c>
      <c r="E7">
        <v>0</v>
      </c>
      <c r="F7">
        <v>9.7042080000000003E-2</v>
      </c>
      <c r="G7">
        <v>0</v>
      </c>
      <c r="H7">
        <v>0</v>
      </c>
      <c r="I7">
        <v>0</v>
      </c>
      <c r="J7">
        <v>0</v>
      </c>
      <c r="K7">
        <v>1</v>
      </c>
      <c r="L7">
        <v>0</v>
      </c>
    </row>
    <row r="8" spans="1:12" x14ac:dyDescent="0.25">
      <c r="A8">
        <v>6</v>
      </c>
      <c r="B8">
        <v>1</v>
      </c>
      <c r="C8">
        <v>0</v>
      </c>
      <c r="D8">
        <v>0</v>
      </c>
      <c r="E8">
        <v>0</v>
      </c>
      <c r="F8">
        <v>539.14110000000005</v>
      </c>
      <c r="G8">
        <v>1120</v>
      </c>
      <c r="H8">
        <v>0</v>
      </c>
      <c r="I8">
        <v>8</v>
      </c>
      <c r="J8">
        <v>14</v>
      </c>
      <c r="K8">
        <v>84</v>
      </c>
      <c r="L8">
        <v>0</v>
      </c>
    </row>
    <row r="9" spans="1:12" x14ac:dyDescent="0.25">
      <c r="A9">
        <v>3</v>
      </c>
      <c r="B9">
        <v>4</v>
      </c>
      <c r="C9">
        <v>0</v>
      </c>
      <c r="D9">
        <v>1</v>
      </c>
      <c r="E9">
        <v>37</v>
      </c>
      <c r="F9">
        <v>116.1621</v>
      </c>
      <c r="G9">
        <v>560</v>
      </c>
      <c r="H9">
        <v>4</v>
      </c>
      <c r="I9">
        <v>4</v>
      </c>
      <c r="J9">
        <v>7</v>
      </c>
      <c r="K9">
        <v>34</v>
      </c>
      <c r="L9">
        <v>5</v>
      </c>
    </row>
    <row r="10" spans="1:12" x14ac:dyDescent="0.25">
      <c r="A10">
        <v>1</v>
      </c>
      <c r="B10">
        <v>3</v>
      </c>
      <c r="C10">
        <v>1</v>
      </c>
      <c r="D10">
        <v>0</v>
      </c>
      <c r="E10">
        <v>0</v>
      </c>
      <c r="F10">
        <v>32.498289999999997</v>
      </c>
      <c r="G10">
        <v>120</v>
      </c>
      <c r="H10">
        <v>0</v>
      </c>
      <c r="I10">
        <v>1</v>
      </c>
      <c r="J10">
        <v>0</v>
      </c>
      <c r="K10">
        <v>90</v>
      </c>
      <c r="L10">
        <v>8</v>
      </c>
    </row>
    <row r="11" spans="1:12" x14ac:dyDescent="0.25">
      <c r="A11">
        <v>1</v>
      </c>
      <c r="B11">
        <v>2</v>
      </c>
      <c r="C11">
        <v>0</v>
      </c>
      <c r="D11">
        <v>1</v>
      </c>
      <c r="E11">
        <v>6</v>
      </c>
      <c r="F11">
        <v>100251</v>
      </c>
      <c r="G11">
        <v>280</v>
      </c>
      <c r="H11">
        <v>2</v>
      </c>
      <c r="I11">
        <v>2</v>
      </c>
      <c r="J11">
        <v>4</v>
      </c>
      <c r="K11">
        <v>81</v>
      </c>
      <c r="L11">
        <v>4</v>
      </c>
    </row>
    <row r="12" spans="1:12" x14ac:dyDescent="0.25">
      <c r="A12">
        <v>1</v>
      </c>
      <c r="B12">
        <v>2</v>
      </c>
      <c r="C12">
        <v>1</v>
      </c>
      <c r="D12">
        <v>3</v>
      </c>
      <c r="E12">
        <v>48</v>
      </c>
      <c r="F12">
        <v>44.05847</v>
      </c>
      <c r="G12">
        <v>120</v>
      </c>
      <c r="H12">
        <v>0</v>
      </c>
      <c r="I12">
        <v>1</v>
      </c>
      <c r="J12">
        <v>5</v>
      </c>
      <c r="K12">
        <v>58</v>
      </c>
      <c r="L12">
        <v>0</v>
      </c>
    </row>
    <row r="13" spans="1:12" x14ac:dyDescent="0.25">
      <c r="A13">
        <v>0</v>
      </c>
      <c r="B13">
        <v>1</v>
      </c>
      <c r="C13">
        <v>0</v>
      </c>
      <c r="D13">
        <v>4</v>
      </c>
      <c r="E13">
        <v>5</v>
      </c>
      <c r="F13">
        <v>26.735720000000001</v>
      </c>
      <c r="G13">
        <v>40</v>
      </c>
      <c r="H13">
        <v>1</v>
      </c>
      <c r="I13">
        <v>1</v>
      </c>
      <c r="J13">
        <v>1</v>
      </c>
      <c r="K13">
        <v>45</v>
      </c>
      <c r="L13">
        <v>0</v>
      </c>
    </row>
    <row r="14" spans="1:12" x14ac:dyDescent="0.25">
      <c r="A14">
        <v>2</v>
      </c>
      <c r="B14">
        <v>3</v>
      </c>
      <c r="C14">
        <v>1</v>
      </c>
      <c r="D14">
        <v>0</v>
      </c>
      <c r="E14">
        <v>0</v>
      </c>
      <c r="F14">
        <v>36.808959999999999</v>
      </c>
      <c r="G14">
        <v>240</v>
      </c>
      <c r="H14">
        <v>0</v>
      </c>
      <c r="I14">
        <v>0</v>
      </c>
      <c r="J14">
        <v>0</v>
      </c>
      <c r="K14">
        <v>113</v>
      </c>
      <c r="L14">
        <v>0</v>
      </c>
    </row>
    <row r="15" spans="1:12" x14ac:dyDescent="0.25">
      <c r="A15">
        <v>2</v>
      </c>
      <c r="B15">
        <v>3</v>
      </c>
      <c r="C15">
        <v>1</v>
      </c>
      <c r="D15">
        <v>0</v>
      </c>
      <c r="E15">
        <v>0</v>
      </c>
      <c r="F15">
        <v>92.186520000000002</v>
      </c>
      <c r="G15">
        <v>240</v>
      </c>
      <c r="H15">
        <v>0</v>
      </c>
      <c r="I15">
        <v>2</v>
      </c>
      <c r="J15">
        <v>0</v>
      </c>
      <c r="K15">
        <v>58</v>
      </c>
      <c r="L15">
        <v>135</v>
      </c>
    </row>
    <row r="16" spans="1:12" x14ac:dyDescent="0.25">
      <c r="A16">
        <v>0</v>
      </c>
      <c r="B16">
        <v>2</v>
      </c>
      <c r="C16">
        <v>0</v>
      </c>
      <c r="D16">
        <v>6</v>
      </c>
      <c r="E16">
        <v>10</v>
      </c>
      <c r="F16">
        <v>40.65784</v>
      </c>
      <c r="G16">
        <v>120</v>
      </c>
      <c r="H16">
        <v>1</v>
      </c>
      <c r="I16">
        <v>1</v>
      </c>
      <c r="J16">
        <v>3</v>
      </c>
      <c r="K16">
        <v>16</v>
      </c>
      <c r="L16">
        <v>0</v>
      </c>
    </row>
    <row r="17" spans="1:12" x14ac:dyDescent="0.25">
      <c r="A17">
        <v>1</v>
      </c>
      <c r="B17">
        <v>1</v>
      </c>
      <c r="C17">
        <v>0</v>
      </c>
      <c r="D17">
        <v>2</v>
      </c>
      <c r="E17">
        <v>4</v>
      </c>
      <c r="F17">
        <v>45.083010000000002</v>
      </c>
      <c r="G17">
        <v>120</v>
      </c>
      <c r="H17">
        <v>2</v>
      </c>
      <c r="I17">
        <v>2</v>
      </c>
      <c r="J17">
        <v>0</v>
      </c>
      <c r="K17">
        <v>23</v>
      </c>
      <c r="L17">
        <v>0</v>
      </c>
    </row>
    <row r="18" spans="1:12" x14ac:dyDescent="0.25">
      <c r="A18">
        <v>2</v>
      </c>
      <c r="B18">
        <v>4</v>
      </c>
      <c r="C18">
        <v>1</v>
      </c>
      <c r="D18">
        <v>13</v>
      </c>
      <c r="E18">
        <v>34</v>
      </c>
      <c r="F18">
        <v>60.39087</v>
      </c>
      <c r="G18">
        <v>400</v>
      </c>
      <c r="H18">
        <v>1</v>
      </c>
      <c r="I18">
        <v>1</v>
      </c>
      <c r="J18">
        <v>5</v>
      </c>
      <c r="K18">
        <v>209</v>
      </c>
      <c r="L18">
        <v>0</v>
      </c>
    </row>
    <row r="19" spans="1:12" x14ac:dyDescent="0.25">
      <c r="A19">
        <v>0</v>
      </c>
      <c r="B19">
        <v>1</v>
      </c>
      <c r="C19">
        <v>0</v>
      </c>
      <c r="D19">
        <v>0</v>
      </c>
      <c r="E19">
        <v>0</v>
      </c>
      <c r="F19">
        <v>32.40137</v>
      </c>
      <c r="G19">
        <v>40</v>
      </c>
      <c r="H19">
        <v>1</v>
      </c>
      <c r="I19">
        <v>1</v>
      </c>
      <c r="J19">
        <v>0</v>
      </c>
      <c r="K19">
        <v>42</v>
      </c>
      <c r="L19">
        <v>0</v>
      </c>
    </row>
    <row r="20" spans="1:12" x14ac:dyDescent="0.25">
      <c r="A20">
        <v>1</v>
      </c>
      <c r="B20">
        <v>3</v>
      </c>
      <c r="C20">
        <v>1</v>
      </c>
      <c r="D20">
        <v>0</v>
      </c>
      <c r="E20">
        <v>0</v>
      </c>
      <c r="F20">
        <v>48.326540000000001</v>
      </c>
      <c r="G20">
        <v>120</v>
      </c>
      <c r="H20">
        <v>0</v>
      </c>
      <c r="I20">
        <v>1</v>
      </c>
      <c r="J20">
        <v>0</v>
      </c>
      <c r="K20">
        <v>46</v>
      </c>
      <c r="L20">
        <v>12</v>
      </c>
    </row>
    <row r="21" spans="1:12" x14ac:dyDescent="0.25">
      <c r="A21">
        <f>SUBTOTAL(101,temp20[Column1])</f>
        <v>1.263157894736842</v>
      </c>
      <c r="B21">
        <f>SUBTOTAL(101,temp20[Column2])</f>
        <v>2.3157894736842106</v>
      </c>
      <c r="C21">
        <f>SUBTOTAL(101,temp20[Column3])</f>
        <v>0.42105263157894735</v>
      </c>
      <c r="D21">
        <f>SUBTOTAL(101,temp20[Column4])</f>
        <v>1.5789473684210527</v>
      </c>
      <c r="E21">
        <f>SUBTOTAL(101,temp20[Column5])</f>
        <v>33.842105263157897</v>
      </c>
      <c r="F21">
        <f>SUBTOTAL(101,temp20[Column6])</f>
        <v>170513.89362484633</v>
      </c>
      <c r="G21">
        <f>SUBTOTAL(101,temp20[Column7])</f>
        <v>242.10526315789474</v>
      </c>
      <c r="H21">
        <f>SUBTOTAL(101,temp20[Column8])</f>
        <v>0.78947368421052633</v>
      </c>
      <c r="I21">
        <f>SUBTOTAL(101,temp20[Column9])</f>
        <v>1.736842105263158</v>
      </c>
      <c r="J21">
        <f>SUBTOTAL(101,temp20[Column10])</f>
        <v>2.8421052631578947</v>
      </c>
      <c r="K21">
        <f>SUBTOTAL(101,temp20[Column11])</f>
        <v>58.94736842105263</v>
      </c>
      <c r="L21">
        <f>SUBTOTAL(101,temp20[Column12])</f>
        <v>9.7368421052631575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9C476-EF42-4863-8532-C2E0E16A13CB}">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3</v>
      </c>
      <c r="B2">
        <v>2</v>
      </c>
      <c r="C2">
        <v>1</v>
      </c>
      <c r="D2">
        <v>2</v>
      </c>
      <c r="E2">
        <v>1964</v>
      </c>
      <c r="F2">
        <v>190.98050000000001</v>
      </c>
      <c r="G2">
        <v>760</v>
      </c>
      <c r="H2">
        <v>2</v>
      </c>
      <c r="I2">
        <v>3</v>
      </c>
      <c r="J2">
        <v>9</v>
      </c>
      <c r="K2">
        <v>39</v>
      </c>
      <c r="L2">
        <v>47</v>
      </c>
    </row>
    <row r="3" spans="1:12" x14ac:dyDescent="0.25">
      <c r="A3">
        <v>1</v>
      </c>
      <c r="B3">
        <v>1</v>
      </c>
      <c r="C3">
        <v>0</v>
      </c>
      <c r="D3">
        <v>0</v>
      </c>
      <c r="E3">
        <v>0</v>
      </c>
      <c r="F3">
        <v>76.104249999999993</v>
      </c>
      <c r="G3">
        <v>360</v>
      </c>
      <c r="H3">
        <v>2</v>
      </c>
      <c r="I3">
        <v>2</v>
      </c>
      <c r="J3">
        <v>8</v>
      </c>
      <c r="K3">
        <v>76</v>
      </c>
      <c r="L3">
        <v>0</v>
      </c>
    </row>
    <row r="4" spans="1:12" x14ac:dyDescent="0.25">
      <c r="A4">
        <v>2</v>
      </c>
      <c r="B4">
        <v>1</v>
      </c>
      <c r="C4">
        <v>0</v>
      </c>
      <c r="D4">
        <v>0</v>
      </c>
      <c r="E4">
        <v>0</v>
      </c>
      <c r="F4">
        <v>72.783810000000003</v>
      </c>
      <c r="G4">
        <v>360</v>
      </c>
      <c r="H4">
        <v>3</v>
      </c>
      <c r="I4">
        <v>3</v>
      </c>
      <c r="J4">
        <v>3</v>
      </c>
      <c r="K4">
        <v>113</v>
      </c>
      <c r="L4">
        <v>0</v>
      </c>
    </row>
    <row r="5" spans="1:12" x14ac:dyDescent="0.25">
      <c r="A5">
        <v>0</v>
      </c>
      <c r="B5">
        <v>2</v>
      </c>
      <c r="C5">
        <v>0</v>
      </c>
      <c r="D5">
        <v>2</v>
      </c>
      <c r="E5">
        <v>70</v>
      </c>
      <c r="F5">
        <v>4775562</v>
      </c>
      <c r="G5">
        <v>280</v>
      </c>
      <c r="H5">
        <v>1</v>
      </c>
      <c r="I5">
        <v>1</v>
      </c>
      <c r="J5">
        <v>7</v>
      </c>
      <c r="K5">
        <v>79</v>
      </c>
      <c r="L5">
        <v>0</v>
      </c>
    </row>
    <row r="6" spans="1:12" x14ac:dyDescent="0.25">
      <c r="A6">
        <v>3</v>
      </c>
      <c r="B6">
        <v>4</v>
      </c>
      <c r="C6">
        <v>1</v>
      </c>
      <c r="D6">
        <v>0</v>
      </c>
      <c r="E6">
        <v>0</v>
      </c>
      <c r="F6">
        <v>39.94312</v>
      </c>
      <c r="G6">
        <v>360</v>
      </c>
      <c r="H6">
        <v>0</v>
      </c>
      <c r="I6">
        <v>4</v>
      </c>
      <c r="J6">
        <v>1</v>
      </c>
      <c r="K6">
        <v>11</v>
      </c>
      <c r="L6">
        <v>1</v>
      </c>
    </row>
    <row r="7" spans="1:12" x14ac:dyDescent="0.25">
      <c r="A7">
        <v>0</v>
      </c>
      <c r="B7">
        <v>2</v>
      </c>
      <c r="C7">
        <v>1</v>
      </c>
      <c r="D7">
        <v>0</v>
      </c>
      <c r="E7">
        <v>0</v>
      </c>
      <c r="F7">
        <v>0.1198254</v>
      </c>
      <c r="G7">
        <v>0</v>
      </c>
      <c r="H7">
        <v>0</v>
      </c>
      <c r="I7">
        <v>0</v>
      </c>
      <c r="J7">
        <v>0</v>
      </c>
      <c r="K7">
        <v>0</v>
      </c>
      <c r="L7">
        <v>0</v>
      </c>
    </row>
    <row r="8" spans="1:12" x14ac:dyDescent="0.25">
      <c r="A8">
        <v>7</v>
      </c>
      <c r="B8">
        <v>4</v>
      </c>
      <c r="C8">
        <v>1</v>
      </c>
      <c r="D8">
        <v>0</v>
      </c>
      <c r="E8">
        <v>0</v>
      </c>
      <c r="F8">
        <v>148.1123</v>
      </c>
      <c r="G8">
        <v>1080</v>
      </c>
      <c r="H8">
        <v>0</v>
      </c>
      <c r="I8">
        <v>7</v>
      </c>
      <c r="J8">
        <v>8</v>
      </c>
      <c r="K8">
        <v>37</v>
      </c>
      <c r="L8">
        <v>0</v>
      </c>
    </row>
    <row r="9" spans="1:12" x14ac:dyDescent="0.25">
      <c r="A9">
        <v>0</v>
      </c>
      <c r="B9">
        <v>1</v>
      </c>
      <c r="C9">
        <v>0</v>
      </c>
      <c r="D9">
        <v>0</v>
      </c>
      <c r="E9">
        <v>0</v>
      </c>
      <c r="F9">
        <v>80.524780000000007</v>
      </c>
      <c r="G9">
        <v>200</v>
      </c>
      <c r="H9">
        <v>0</v>
      </c>
      <c r="I9">
        <v>1</v>
      </c>
      <c r="J9">
        <v>3</v>
      </c>
      <c r="K9">
        <v>23</v>
      </c>
      <c r="L9">
        <v>24</v>
      </c>
    </row>
    <row r="10" spans="1:12" x14ac:dyDescent="0.25">
      <c r="A10">
        <v>1</v>
      </c>
      <c r="B10">
        <v>2</v>
      </c>
      <c r="C10">
        <v>1</v>
      </c>
      <c r="D10">
        <v>0</v>
      </c>
      <c r="E10">
        <v>0</v>
      </c>
      <c r="F10">
        <v>25.437010000000001</v>
      </c>
      <c r="G10">
        <v>120</v>
      </c>
      <c r="H10">
        <v>0</v>
      </c>
      <c r="I10">
        <v>1</v>
      </c>
      <c r="J10">
        <v>0</v>
      </c>
      <c r="K10">
        <v>14</v>
      </c>
      <c r="L10">
        <v>0</v>
      </c>
    </row>
    <row r="11" spans="1:12" x14ac:dyDescent="0.25">
      <c r="A11">
        <v>3</v>
      </c>
      <c r="B11">
        <v>2</v>
      </c>
      <c r="C11">
        <v>0</v>
      </c>
      <c r="D11">
        <v>11</v>
      </c>
      <c r="E11">
        <v>32</v>
      </c>
      <c r="F11">
        <v>1245156</v>
      </c>
      <c r="G11">
        <v>680</v>
      </c>
      <c r="H11">
        <v>4</v>
      </c>
      <c r="I11">
        <v>4</v>
      </c>
      <c r="J11">
        <v>4</v>
      </c>
      <c r="K11">
        <v>101</v>
      </c>
      <c r="L11">
        <v>11</v>
      </c>
    </row>
    <row r="12" spans="1:12" x14ac:dyDescent="0.25">
      <c r="A12">
        <v>2</v>
      </c>
      <c r="B12">
        <v>2</v>
      </c>
      <c r="C12">
        <v>1</v>
      </c>
      <c r="D12">
        <v>3</v>
      </c>
      <c r="E12">
        <v>57</v>
      </c>
      <c r="F12">
        <v>53.384520000000002</v>
      </c>
      <c r="G12">
        <v>360</v>
      </c>
      <c r="H12">
        <v>0</v>
      </c>
      <c r="I12">
        <v>2</v>
      </c>
      <c r="J12">
        <v>4</v>
      </c>
      <c r="K12">
        <v>96</v>
      </c>
      <c r="L12">
        <v>0</v>
      </c>
    </row>
    <row r="13" spans="1:12" x14ac:dyDescent="0.25">
      <c r="A13">
        <v>2</v>
      </c>
      <c r="B13">
        <v>2</v>
      </c>
      <c r="C13">
        <v>0</v>
      </c>
      <c r="D13">
        <v>10</v>
      </c>
      <c r="E13">
        <v>115</v>
      </c>
      <c r="F13">
        <v>85.208740000000006</v>
      </c>
      <c r="G13">
        <v>560</v>
      </c>
      <c r="H13">
        <v>3</v>
      </c>
      <c r="I13">
        <v>3</v>
      </c>
      <c r="J13">
        <v>7</v>
      </c>
      <c r="K13">
        <v>144</v>
      </c>
      <c r="L13">
        <v>0</v>
      </c>
    </row>
    <row r="14" spans="1:12" x14ac:dyDescent="0.25">
      <c r="A14">
        <v>1</v>
      </c>
      <c r="B14">
        <v>2</v>
      </c>
      <c r="C14">
        <v>1</v>
      </c>
      <c r="D14">
        <v>0</v>
      </c>
      <c r="E14">
        <v>0</v>
      </c>
      <c r="F14">
        <v>15.097659999999999</v>
      </c>
      <c r="G14">
        <v>120</v>
      </c>
      <c r="H14">
        <v>0</v>
      </c>
      <c r="I14">
        <v>0</v>
      </c>
      <c r="J14">
        <v>0</v>
      </c>
      <c r="K14">
        <v>52</v>
      </c>
      <c r="L14">
        <v>0</v>
      </c>
    </row>
    <row r="15" spans="1:12" x14ac:dyDescent="0.25">
      <c r="A15">
        <v>1</v>
      </c>
      <c r="B15">
        <v>3</v>
      </c>
      <c r="C15">
        <v>1</v>
      </c>
      <c r="D15">
        <v>1</v>
      </c>
      <c r="E15">
        <v>32</v>
      </c>
      <c r="F15">
        <v>50.173340000000003</v>
      </c>
      <c r="G15">
        <v>200</v>
      </c>
      <c r="H15">
        <v>0</v>
      </c>
      <c r="I15">
        <v>2</v>
      </c>
      <c r="J15">
        <v>1</v>
      </c>
      <c r="K15">
        <v>78</v>
      </c>
      <c r="L15">
        <v>73</v>
      </c>
    </row>
    <row r="16" spans="1:12" x14ac:dyDescent="0.25">
      <c r="A16">
        <v>0</v>
      </c>
      <c r="B16">
        <v>2</v>
      </c>
      <c r="C16">
        <v>0</v>
      </c>
      <c r="D16">
        <v>11</v>
      </c>
      <c r="E16">
        <v>19</v>
      </c>
      <c r="F16">
        <v>56.6449</v>
      </c>
      <c r="G16">
        <v>240</v>
      </c>
      <c r="H16">
        <v>3</v>
      </c>
      <c r="I16">
        <v>1</v>
      </c>
      <c r="J16">
        <v>4</v>
      </c>
      <c r="K16">
        <v>17</v>
      </c>
      <c r="L16">
        <v>0</v>
      </c>
    </row>
    <row r="17" spans="1:12" x14ac:dyDescent="0.25">
      <c r="A17">
        <v>2</v>
      </c>
      <c r="B17">
        <v>2</v>
      </c>
      <c r="C17">
        <v>0</v>
      </c>
      <c r="D17">
        <v>7</v>
      </c>
      <c r="E17">
        <v>27</v>
      </c>
      <c r="F17">
        <v>82.938720000000004</v>
      </c>
      <c r="G17">
        <v>520</v>
      </c>
      <c r="H17">
        <v>3</v>
      </c>
      <c r="I17">
        <v>3</v>
      </c>
      <c r="J17">
        <v>6</v>
      </c>
      <c r="K17">
        <v>23</v>
      </c>
      <c r="L17">
        <v>0</v>
      </c>
    </row>
    <row r="18" spans="1:12" x14ac:dyDescent="0.25">
      <c r="A18">
        <v>0</v>
      </c>
      <c r="B18">
        <v>1</v>
      </c>
      <c r="C18">
        <v>0</v>
      </c>
      <c r="D18">
        <v>0</v>
      </c>
      <c r="E18">
        <v>0</v>
      </c>
      <c r="F18">
        <v>35.019170000000003</v>
      </c>
      <c r="G18">
        <v>160</v>
      </c>
      <c r="H18">
        <v>1</v>
      </c>
      <c r="I18">
        <v>1</v>
      </c>
      <c r="J18">
        <v>3</v>
      </c>
      <c r="K18">
        <v>137</v>
      </c>
      <c r="L18">
        <v>0</v>
      </c>
    </row>
    <row r="19" spans="1:12" x14ac:dyDescent="0.25">
      <c r="A19">
        <v>2</v>
      </c>
      <c r="B19">
        <v>3</v>
      </c>
      <c r="C19">
        <v>0</v>
      </c>
      <c r="D19">
        <v>0</v>
      </c>
      <c r="E19">
        <v>0</v>
      </c>
      <c r="F19">
        <v>98.73657</v>
      </c>
      <c r="G19">
        <v>720</v>
      </c>
      <c r="H19">
        <v>3</v>
      </c>
      <c r="I19">
        <v>3</v>
      </c>
      <c r="J19">
        <v>15</v>
      </c>
      <c r="K19">
        <v>145</v>
      </c>
      <c r="L19">
        <v>2</v>
      </c>
    </row>
    <row r="20" spans="1:12" x14ac:dyDescent="0.25">
      <c r="A20">
        <v>1</v>
      </c>
      <c r="B20">
        <v>3</v>
      </c>
      <c r="C20">
        <v>1</v>
      </c>
      <c r="D20">
        <v>0</v>
      </c>
      <c r="E20">
        <v>0</v>
      </c>
      <c r="F20">
        <v>24.749389999999998</v>
      </c>
      <c r="G20">
        <v>120</v>
      </c>
      <c r="H20">
        <v>0</v>
      </c>
      <c r="I20">
        <v>1</v>
      </c>
      <c r="J20">
        <v>0</v>
      </c>
      <c r="K20">
        <v>41</v>
      </c>
      <c r="L20">
        <v>2</v>
      </c>
    </row>
    <row r="21" spans="1:12" x14ac:dyDescent="0.25">
      <c r="A21">
        <f>SUBTOTAL(101,temp19[Column1])</f>
        <v>1.631578947368421</v>
      </c>
      <c r="B21">
        <f>SUBTOTAL(101,temp19[Column2])</f>
        <v>2.1578947368421053</v>
      </c>
      <c r="C21">
        <f>SUBTOTAL(101,temp19[Column3])</f>
        <v>0.47368421052631576</v>
      </c>
      <c r="D21">
        <f>SUBTOTAL(101,temp19[Column4])</f>
        <v>2.4736842105263159</v>
      </c>
      <c r="E21">
        <f>SUBTOTAL(101,temp19[Column5])</f>
        <v>121.89473684210526</v>
      </c>
      <c r="F21">
        <f>SUBTOTAL(101,temp19[Column6])</f>
        <v>316939.68203186319</v>
      </c>
      <c r="G21">
        <f>SUBTOTAL(101,temp19[Column7])</f>
        <v>378.94736842105266</v>
      </c>
      <c r="H21">
        <f>SUBTOTAL(101,temp19[Column8])</f>
        <v>1.3157894736842106</v>
      </c>
      <c r="I21">
        <f>SUBTOTAL(101,temp19[Column9])</f>
        <v>2.2105263157894739</v>
      </c>
      <c r="J21">
        <f>SUBTOTAL(101,temp19[Column10])</f>
        <v>4.3684210526315788</v>
      </c>
      <c r="K21">
        <f>SUBTOTAL(101,temp19[Column11])</f>
        <v>64.526315789473685</v>
      </c>
      <c r="L21">
        <f>SUBTOTAL(101,temp19[Column12])</f>
        <v>8.4210526315789469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218B-D0FD-49FA-95E2-825ECA723A0F}">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2</v>
      </c>
      <c r="C2">
        <v>0</v>
      </c>
      <c r="D2">
        <v>3</v>
      </c>
      <c r="E2">
        <v>356</v>
      </c>
      <c r="F2">
        <v>144.07859999999999</v>
      </c>
      <c r="G2">
        <v>240</v>
      </c>
      <c r="H2">
        <v>1</v>
      </c>
      <c r="I2">
        <v>2</v>
      </c>
      <c r="J2">
        <v>2</v>
      </c>
      <c r="K2">
        <v>21</v>
      </c>
      <c r="L2">
        <v>18</v>
      </c>
    </row>
    <row r="3" spans="1:12" x14ac:dyDescent="0.25">
      <c r="A3">
        <v>0</v>
      </c>
      <c r="B3">
        <v>1</v>
      </c>
      <c r="C3">
        <v>0</v>
      </c>
      <c r="D3">
        <v>0</v>
      </c>
      <c r="E3">
        <v>0</v>
      </c>
      <c r="F3">
        <v>45.416499999999999</v>
      </c>
      <c r="G3">
        <v>40</v>
      </c>
      <c r="H3">
        <v>1</v>
      </c>
      <c r="I3">
        <v>1</v>
      </c>
      <c r="J3">
        <v>1</v>
      </c>
      <c r="K3">
        <v>45</v>
      </c>
      <c r="L3">
        <v>0</v>
      </c>
    </row>
    <row r="4" spans="1:12" x14ac:dyDescent="0.25">
      <c r="A4">
        <v>0</v>
      </c>
      <c r="B4">
        <v>3</v>
      </c>
      <c r="C4">
        <v>0</v>
      </c>
      <c r="D4">
        <v>0</v>
      </c>
      <c r="E4">
        <v>0</v>
      </c>
      <c r="F4">
        <v>69.224490000000003</v>
      </c>
      <c r="G4">
        <v>0</v>
      </c>
      <c r="H4">
        <v>1</v>
      </c>
      <c r="I4">
        <v>1</v>
      </c>
      <c r="J4">
        <v>0</v>
      </c>
      <c r="K4">
        <v>63</v>
      </c>
      <c r="L4">
        <v>0</v>
      </c>
    </row>
    <row r="5" spans="1:12" x14ac:dyDescent="0.25">
      <c r="A5">
        <v>0</v>
      </c>
      <c r="B5">
        <v>1</v>
      </c>
      <c r="C5">
        <v>0</v>
      </c>
      <c r="D5">
        <v>0</v>
      </c>
      <c r="E5">
        <v>55</v>
      </c>
      <c r="F5">
        <v>4962695</v>
      </c>
      <c r="G5">
        <v>160</v>
      </c>
      <c r="H5">
        <v>3</v>
      </c>
      <c r="I5">
        <v>1</v>
      </c>
      <c r="J5">
        <v>4</v>
      </c>
      <c r="K5">
        <v>107</v>
      </c>
      <c r="L5">
        <v>0</v>
      </c>
    </row>
    <row r="6" spans="1:12" x14ac:dyDescent="0.25">
      <c r="A6">
        <v>1</v>
      </c>
      <c r="B6">
        <v>2</v>
      </c>
      <c r="C6">
        <v>0</v>
      </c>
      <c r="D6">
        <v>0</v>
      </c>
      <c r="E6">
        <v>0</v>
      </c>
      <c r="F6">
        <v>176.8579</v>
      </c>
      <c r="G6">
        <v>600</v>
      </c>
      <c r="H6">
        <v>0</v>
      </c>
      <c r="I6">
        <v>2</v>
      </c>
      <c r="J6">
        <v>10</v>
      </c>
      <c r="K6">
        <v>47</v>
      </c>
      <c r="L6">
        <v>0</v>
      </c>
    </row>
    <row r="7" spans="1:12" x14ac:dyDescent="0.25">
      <c r="A7">
        <v>0</v>
      </c>
      <c r="B7">
        <v>3</v>
      </c>
      <c r="C7">
        <v>1</v>
      </c>
      <c r="D7">
        <v>0</v>
      </c>
      <c r="E7">
        <v>0</v>
      </c>
      <c r="F7">
        <v>0.2260742</v>
      </c>
      <c r="G7">
        <v>0</v>
      </c>
      <c r="H7">
        <v>0</v>
      </c>
      <c r="I7">
        <v>0</v>
      </c>
      <c r="J7">
        <v>0</v>
      </c>
      <c r="K7">
        <v>0</v>
      </c>
      <c r="L7">
        <v>0</v>
      </c>
    </row>
    <row r="8" spans="1:12" x14ac:dyDescent="0.25">
      <c r="A8">
        <v>0</v>
      </c>
      <c r="B8">
        <v>1</v>
      </c>
      <c r="C8">
        <v>0</v>
      </c>
      <c r="D8">
        <v>0</v>
      </c>
      <c r="E8">
        <v>0</v>
      </c>
      <c r="F8">
        <v>145.39449999999999</v>
      </c>
      <c r="G8">
        <v>200</v>
      </c>
      <c r="H8">
        <v>0</v>
      </c>
      <c r="I8">
        <v>1</v>
      </c>
      <c r="J8">
        <v>5</v>
      </c>
      <c r="K8">
        <v>35</v>
      </c>
      <c r="L8">
        <v>0</v>
      </c>
    </row>
    <row r="9" spans="1:12" x14ac:dyDescent="0.25">
      <c r="A9">
        <v>0</v>
      </c>
      <c r="B9">
        <v>1</v>
      </c>
      <c r="C9">
        <v>0</v>
      </c>
      <c r="D9">
        <v>0</v>
      </c>
      <c r="E9">
        <v>0</v>
      </c>
      <c r="F9">
        <v>41.94641</v>
      </c>
      <c r="G9">
        <v>80</v>
      </c>
      <c r="H9">
        <v>1</v>
      </c>
      <c r="I9">
        <v>1</v>
      </c>
      <c r="J9">
        <v>1</v>
      </c>
      <c r="K9">
        <v>14</v>
      </c>
      <c r="L9">
        <v>0</v>
      </c>
    </row>
    <row r="10" spans="1:12" x14ac:dyDescent="0.25">
      <c r="A10">
        <v>1</v>
      </c>
      <c r="B10">
        <v>3</v>
      </c>
      <c r="C10">
        <v>1</v>
      </c>
      <c r="D10">
        <v>0</v>
      </c>
      <c r="E10">
        <v>0</v>
      </c>
      <c r="F10">
        <v>25.078489999999999</v>
      </c>
      <c r="G10">
        <v>120</v>
      </c>
      <c r="H10">
        <v>0</v>
      </c>
      <c r="I10">
        <v>0</v>
      </c>
      <c r="J10">
        <v>0</v>
      </c>
      <c r="K10">
        <v>77</v>
      </c>
      <c r="L10">
        <v>0</v>
      </c>
    </row>
    <row r="11" spans="1:12" x14ac:dyDescent="0.25">
      <c r="A11">
        <v>1</v>
      </c>
      <c r="B11">
        <v>1</v>
      </c>
      <c r="C11">
        <v>0</v>
      </c>
      <c r="D11">
        <v>1</v>
      </c>
      <c r="E11">
        <v>6</v>
      </c>
      <c r="F11">
        <v>1205186</v>
      </c>
      <c r="G11">
        <v>360</v>
      </c>
      <c r="H11">
        <v>0</v>
      </c>
      <c r="I11">
        <v>2</v>
      </c>
      <c r="J11">
        <v>4</v>
      </c>
      <c r="K11">
        <v>209</v>
      </c>
      <c r="L11">
        <v>2</v>
      </c>
    </row>
    <row r="12" spans="1:12" x14ac:dyDescent="0.25">
      <c r="A12">
        <v>0</v>
      </c>
      <c r="B12">
        <v>2</v>
      </c>
      <c r="C12">
        <v>0</v>
      </c>
      <c r="D12">
        <v>0</v>
      </c>
      <c r="E12">
        <v>0</v>
      </c>
      <c r="F12">
        <v>57.421390000000002</v>
      </c>
      <c r="G12">
        <v>160</v>
      </c>
      <c r="H12">
        <v>0</v>
      </c>
      <c r="I12">
        <v>1</v>
      </c>
      <c r="J12">
        <v>3</v>
      </c>
      <c r="K12">
        <v>110</v>
      </c>
      <c r="L12">
        <v>0</v>
      </c>
    </row>
    <row r="13" spans="1:12" x14ac:dyDescent="0.25">
      <c r="A13">
        <v>0</v>
      </c>
      <c r="B13">
        <v>1</v>
      </c>
      <c r="C13">
        <v>0</v>
      </c>
      <c r="D13">
        <v>0</v>
      </c>
      <c r="E13">
        <v>0</v>
      </c>
      <c r="F13">
        <v>32.633420000000001</v>
      </c>
      <c r="G13">
        <v>0</v>
      </c>
      <c r="H13">
        <v>1</v>
      </c>
      <c r="I13">
        <v>1</v>
      </c>
      <c r="J13">
        <v>0</v>
      </c>
      <c r="K13">
        <v>50</v>
      </c>
      <c r="L13">
        <v>0</v>
      </c>
    </row>
    <row r="14" spans="1:12" x14ac:dyDescent="0.25">
      <c r="A14">
        <v>1</v>
      </c>
      <c r="B14">
        <v>2</v>
      </c>
      <c r="C14">
        <v>1</v>
      </c>
      <c r="D14">
        <v>0</v>
      </c>
      <c r="E14">
        <v>0</v>
      </c>
      <c r="F14">
        <v>33.224850000000004</v>
      </c>
      <c r="G14">
        <v>120</v>
      </c>
      <c r="H14">
        <v>0</v>
      </c>
      <c r="I14">
        <v>0</v>
      </c>
      <c r="J14">
        <v>0</v>
      </c>
      <c r="K14">
        <v>116</v>
      </c>
      <c r="L14">
        <v>0</v>
      </c>
    </row>
    <row r="15" spans="1:12" x14ac:dyDescent="0.25">
      <c r="A15">
        <v>0</v>
      </c>
      <c r="B15">
        <v>1</v>
      </c>
      <c r="C15">
        <v>0</v>
      </c>
      <c r="D15">
        <v>0</v>
      </c>
      <c r="E15">
        <v>0</v>
      </c>
      <c r="F15">
        <v>86.384280000000004</v>
      </c>
      <c r="G15">
        <v>80</v>
      </c>
      <c r="H15">
        <v>0</v>
      </c>
      <c r="I15">
        <v>1</v>
      </c>
      <c r="J15">
        <v>1</v>
      </c>
      <c r="K15">
        <v>68</v>
      </c>
      <c r="L15">
        <v>166</v>
      </c>
    </row>
    <row r="16" spans="1:12" x14ac:dyDescent="0.25">
      <c r="A16">
        <v>0</v>
      </c>
      <c r="B16">
        <v>1</v>
      </c>
      <c r="C16">
        <v>0</v>
      </c>
      <c r="D16">
        <v>10</v>
      </c>
      <c r="E16">
        <v>24</v>
      </c>
      <c r="F16">
        <v>64.56335</v>
      </c>
      <c r="G16">
        <v>80</v>
      </c>
      <c r="H16">
        <v>1</v>
      </c>
      <c r="I16">
        <v>1</v>
      </c>
      <c r="J16">
        <v>4</v>
      </c>
      <c r="K16">
        <v>15</v>
      </c>
      <c r="L16">
        <v>0</v>
      </c>
    </row>
    <row r="17" spans="1:12" x14ac:dyDescent="0.25">
      <c r="A17">
        <v>0</v>
      </c>
      <c r="B17">
        <v>1</v>
      </c>
      <c r="C17">
        <v>0</v>
      </c>
      <c r="D17">
        <v>0</v>
      </c>
      <c r="E17">
        <v>0</v>
      </c>
      <c r="F17">
        <v>93.413210000000007</v>
      </c>
      <c r="G17">
        <v>80</v>
      </c>
      <c r="H17">
        <v>1</v>
      </c>
      <c r="I17">
        <v>2</v>
      </c>
      <c r="J17">
        <v>2</v>
      </c>
      <c r="K17">
        <v>11</v>
      </c>
      <c r="L17">
        <v>0</v>
      </c>
    </row>
    <row r="18" spans="1:12" x14ac:dyDescent="0.25">
      <c r="A18">
        <v>2</v>
      </c>
      <c r="B18">
        <v>1</v>
      </c>
      <c r="C18">
        <v>0</v>
      </c>
      <c r="D18">
        <v>15</v>
      </c>
      <c r="E18">
        <v>177</v>
      </c>
      <c r="F18">
        <v>93.080200000000005</v>
      </c>
      <c r="G18">
        <v>320</v>
      </c>
      <c r="H18">
        <v>4</v>
      </c>
      <c r="I18">
        <v>4</v>
      </c>
      <c r="J18">
        <v>3</v>
      </c>
      <c r="K18">
        <v>281</v>
      </c>
      <c r="L18">
        <v>8</v>
      </c>
    </row>
    <row r="19" spans="1:12" x14ac:dyDescent="0.25">
      <c r="A19">
        <v>0</v>
      </c>
      <c r="B19">
        <v>1</v>
      </c>
      <c r="C19">
        <v>0</v>
      </c>
      <c r="D19">
        <v>1</v>
      </c>
      <c r="E19">
        <v>5</v>
      </c>
      <c r="F19">
        <v>37.034300000000002</v>
      </c>
      <c r="G19">
        <v>0</v>
      </c>
      <c r="H19">
        <v>1</v>
      </c>
      <c r="I19">
        <v>1</v>
      </c>
      <c r="J19">
        <v>0</v>
      </c>
      <c r="K19">
        <v>32</v>
      </c>
      <c r="L19">
        <v>5</v>
      </c>
    </row>
    <row r="20" spans="1:12" x14ac:dyDescent="0.25">
      <c r="A20">
        <v>1</v>
      </c>
      <c r="B20">
        <v>3</v>
      </c>
      <c r="C20">
        <v>1</v>
      </c>
      <c r="D20">
        <v>0</v>
      </c>
      <c r="E20">
        <v>0</v>
      </c>
      <c r="F20">
        <v>53.104370000000003</v>
      </c>
      <c r="G20">
        <v>120</v>
      </c>
      <c r="H20">
        <v>0</v>
      </c>
      <c r="I20">
        <v>1</v>
      </c>
      <c r="J20">
        <v>0</v>
      </c>
      <c r="K20">
        <v>50</v>
      </c>
      <c r="L20">
        <v>5</v>
      </c>
    </row>
    <row r="21" spans="1:12" x14ac:dyDescent="0.25">
      <c r="A21">
        <f>SUBTOTAL(101,temp18[Column1])</f>
        <v>0.42105263157894735</v>
      </c>
      <c r="B21">
        <f>SUBTOTAL(101,temp18[Column2])</f>
        <v>1.631578947368421</v>
      </c>
      <c r="C21">
        <f>SUBTOTAL(101,temp18[Column3])</f>
        <v>0.21052631578947367</v>
      </c>
      <c r="D21">
        <f>SUBTOTAL(101,temp18[Column4])</f>
        <v>1.5789473684210527</v>
      </c>
      <c r="E21">
        <f>SUBTOTAL(101,temp18[Column5])</f>
        <v>32.789473684210527</v>
      </c>
      <c r="F21">
        <f>SUBTOTAL(101,temp18[Column6])</f>
        <v>324688.42538601055</v>
      </c>
      <c r="G21">
        <f>SUBTOTAL(101,temp18[Column7])</f>
        <v>145.26315789473685</v>
      </c>
      <c r="H21">
        <f>SUBTOTAL(101,temp18[Column8])</f>
        <v>0.78947368421052633</v>
      </c>
      <c r="I21">
        <f>SUBTOTAL(101,temp18[Column9])</f>
        <v>1.2105263157894737</v>
      </c>
      <c r="J21">
        <f>SUBTOTAL(101,temp18[Column10])</f>
        <v>2.1052631578947367</v>
      </c>
      <c r="K21">
        <f>SUBTOTAL(101,temp18[Column11])</f>
        <v>71.10526315789474</v>
      </c>
      <c r="L21">
        <f>SUBTOTAL(101,temp18[Column12])</f>
        <v>10.736842105263158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1655-C722-4C7C-B627-E733EA1A444B}">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4</v>
      </c>
      <c r="B2">
        <v>4</v>
      </c>
      <c r="C2">
        <v>0</v>
      </c>
      <c r="D2">
        <v>3</v>
      </c>
      <c r="E2">
        <v>2587</v>
      </c>
      <c r="F2">
        <v>229.45240000000001</v>
      </c>
      <c r="G2">
        <v>1040</v>
      </c>
      <c r="H2">
        <v>10</v>
      </c>
      <c r="I2">
        <v>5</v>
      </c>
      <c r="J2">
        <v>17</v>
      </c>
      <c r="K2">
        <v>44</v>
      </c>
      <c r="L2">
        <v>35</v>
      </c>
    </row>
    <row r="3" spans="1:12" x14ac:dyDescent="0.25">
      <c r="A3">
        <v>1</v>
      </c>
      <c r="B3">
        <v>1</v>
      </c>
      <c r="C3">
        <v>0</v>
      </c>
      <c r="D3">
        <v>0</v>
      </c>
      <c r="E3">
        <v>0</v>
      </c>
      <c r="F3">
        <v>63.623779999999996</v>
      </c>
      <c r="G3">
        <v>400</v>
      </c>
      <c r="H3">
        <v>2</v>
      </c>
      <c r="I3">
        <v>2</v>
      </c>
      <c r="J3">
        <v>6</v>
      </c>
      <c r="K3">
        <v>53</v>
      </c>
      <c r="L3">
        <v>0</v>
      </c>
    </row>
    <row r="4" spans="1:12" x14ac:dyDescent="0.25">
      <c r="A4">
        <v>2</v>
      </c>
      <c r="B4">
        <v>2</v>
      </c>
      <c r="C4">
        <v>0</v>
      </c>
      <c r="D4">
        <v>0</v>
      </c>
      <c r="E4">
        <v>0</v>
      </c>
      <c r="F4">
        <v>98.222049999999996</v>
      </c>
      <c r="G4">
        <v>480</v>
      </c>
      <c r="H4">
        <v>3</v>
      </c>
      <c r="I4">
        <v>3</v>
      </c>
      <c r="J4">
        <v>6</v>
      </c>
      <c r="K4">
        <v>183</v>
      </c>
      <c r="L4">
        <v>0</v>
      </c>
    </row>
    <row r="5" spans="1:12" x14ac:dyDescent="0.25">
      <c r="A5">
        <v>2</v>
      </c>
      <c r="B5">
        <v>2</v>
      </c>
      <c r="C5">
        <v>0</v>
      </c>
      <c r="D5">
        <v>0</v>
      </c>
      <c r="E5">
        <v>18</v>
      </c>
      <c r="F5">
        <v>9883911</v>
      </c>
      <c r="G5">
        <v>480</v>
      </c>
      <c r="H5">
        <v>4</v>
      </c>
      <c r="I5">
        <v>3</v>
      </c>
      <c r="J5">
        <v>15</v>
      </c>
      <c r="K5">
        <v>166</v>
      </c>
      <c r="L5">
        <v>0</v>
      </c>
    </row>
    <row r="6" spans="1:12" x14ac:dyDescent="0.25">
      <c r="A6">
        <v>2</v>
      </c>
      <c r="B6">
        <v>3</v>
      </c>
      <c r="C6">
        <v>1</v>
      </c>
      <c r="D6">
        <v>0</v>
      </c>
      <c r="E6">
        <v>0</v>
      </c>
      <c r="F6">
        <v>72.760009999999994</v>
      </c>
      <c r="G6">
        <v>480</v>
      </c>
      <c r="H6">
        <v>0</v>
      </c>
      <c r="I6">
        <v>2</v>
      </c>
      <c r="J6">
        <v>12</v>
      </c>
      <c r="K6">
        <v>26</v>
      </c>
      <c r="L6">
        <v>0</v>
      </c>
    </row>
    <row r="7" spans="1:12" x14ac:dyDescent="0.25">
      <c r="A7">
        <v>0</v>
      </c>
      <c r="B7">
        <v>2</v>
      </c>
      <c r="C7">
        <v>1</v>
      </c>
      <c r="D7">
        <v>0</v>
      </c>
      <c r="E7">
        <v>0</v>
      </c>
      <c r="F7">
        <v>0.23706630000000001</v>
      </c>
      <c r="G7">
        <v>0</v>
      </c>
      <c r="H7">
        <v>0</v>
      </c>
      <c r="I7">
        <v>0</v>
      </c>
      <c r="J7">
        <v>0</v>
      </c>
      <c r="K7">
        <v>1</v>
      </c>
      <c r="L7">
        <v>0</v>
      </c>
    </row>
    <row r="8" spans="1:12" x14ac:dyDescent="0.25">
      <c r="A8">
        <v>9</v>
      </c>
      <c r="B8">
        <v>4</v>
      </c>
      <c r="C8">
        <v>1</v>
      </c>
      <c r="D8">
        <v>0</v>
      </c>
      <c r="E8">
        <v>0</v>
      </c>
      <c r="F8">
        <v>229.10059999999999</v>
      </c>
      <c r="G8">
        <v>1680</v>
      </c>
      <c r="H8">
        <v>0</v>
      </c>
      <c r="I8">
        <v>10</v>
      </c>
      <c r="J8">
        <v>15</v>
      </c>
      <c r="K8">
        <v>51</v>
      </c>
      <c r="L8">
        <v>0</v>
      </c>
    </row>
    <row r="9" spans="1:12" x14ac:dyDescent="0.25">
      <c r="A9">
        <v>0</v>
      </c>
      <c r="B9">
        <v>1</v>
      </c>
      <c r="C9">
        <v>0</v>
      </c>
      <c r="D9">
        <v>0</v>
      </c>
      <c r="E9">
        <v>0</v>
      </c>
      <c r="F9">
        <v>81.733519999999999</v>
      </c>
      <c r="G9">
        <v>160</v>
      </c>
      <c r="H9">
        <v>0</v>
      </c>
      <c r="I9">
        <v>1</v>
      </c>
      <c r="J9">
        <v>6</v>
      </c>
      <c r="K9">
        <v>23</v>
      </c>
      <c r="L9">
        <v>10</v>
      </c>
    </row>
    <row r="10" spans="1:12" x14ac:dyDescent="0.25">
      <c r="A10">
        <v>3</v>
      </c>
      <c r="B10">
        <v>3</v>
      </c>
      <c r="C10">
        <v>1</v>
      </c>
      <c r="D10">
        <v>0</v>
      </c>
      <c r="E10">
        <v>0</v>
      </c>
      <c r="F10">
        <v>43.54468</v>
      </c>
      <c r="G10">
        <v>480</v>
      </c>
      <c r="H10">
        <v>0</v>
      </c>
      <c r="I10">
        <v>1</v>
      </c>
      <c r="J10">
        <v>0</v>
      </c>
      <c r="K10">
        <v>121</v>
      </c>
      <c r="L10">
        <v>2</v>
      </c>
    </row>
    <row r="11" spans="1:12" x14ac:dyDescent="0.25">
      <c r="A11">
        <v>20</v>
      </c>
      <c r="B11">
        <v>4</v>
      </c>
      <c r="C11">
        <v>0</v>
      </c>
      <c r="D11">
        <v>39</v>
      </c>
      <c r="E11">
        <v>173</v>
      </c>
      <c r="F11">
        <v>8369131</v>
      </c>
      <c r="G11">
        <v>4720</v>
      </c>
      <c r="H11">
        <v>3</v>
      </c>
      <c r="I11">
        <v>23</v>
      </c>
      <c r="J11">
        <v>38</v>
      </c>
      <c r="K11">
        <v>493</v>
      </c>
      <c r="L11">
        <v>24</v>
      </c>
    </row>
    <row r="12" spans="1:12" x14ac:dyDescent="0.25">
      <c r="A12">
        <v>2</v>
      </c>
      <c r="B12">
        <v>4</v>
      </c>
      <c r="C12">
        <v>1</v>
      </c>
      <c r="D12">
        <v>0</v>
      </c>
      <c r="E12">
        <v>0</v>
      </c>
      <c r="F12">
        <v>25.507930000000002</v>
      </c>
      <c r="G12">
        <v>400</v>
      </c>
      <c r="H12">
        <v>0</v>
      </c>
      <c r="I12">
        <v>3</v>
      </c>
      <c r="J12">
        <v>1</v>
      </c>
      <c r="K12">
        <v>1</v>
      </c>
      <c r="L12">
        <v>0</v>
      </c>
    </row>
    <row r="13" spans="1:12" x14ac:dyDescent="0.25">
      <c r="A13">
        <v>0</v>
      </c>
      <c r="B13">
        <v>1</v>
      </c>
      <c r="C13">
        <v>0</v>
      </c>
      <c r="D13">
        <v>1</v>
      </c>
      <c r="E13">
        <v>6</v>
      </c>
      <c r="F13">
        <v>31.581050000000001</v>
      </c>
      <c r="G13">
        <v>80</v>
      </c>
      <c r="H13">
        <v>1</v>
      </c>
      <c r="I13">
        <v>1</v>
      </c>
      <c r="J13">
        <v>1</v>
      </c>
      <c r="K13">
        <v>56</v>
      </c>
      <c r="L13">
        <v>0</v>
      </c>
    </row>
    <row r="14" spans="1:12" x14ac:dyDescent="0.25">
      <c r="A14">
        <v>1</v>
      </c>
      <c r="B14">
        <v>4</v>
      </c>
      <c r="C14">
        <v>1</v>
      </c>
      <c r="D14">
        <v>0</v>
      </c>
      <c r="E14">
        <v>0</v>
      </c>
      <c r="F14">
        <v>14.081300000000001</v>
      </c>
      <c r="G14">
        <v>160</v>
      </c>
      <c r="H14">
        <v>0</v>
      </c>
      <c r="I14">
        <v>0</v>
      </c>
      <c r="J14">
        <v>0</v>
      </c>
      <c r="K14">
        <v>49</v>
      </c>
      <c r="L14">
        <v>0</v>
      </c>
    </row>
    <row r="15" spans="1:12" x14ac:dyDescent="0.25">
      <c r="A15">
        <v>2</v>
      </c>
      <c r="B15">
        <v>4</v>
      </c>
      <c r="C15">
        <v>1</v>
      </c>
      <c r="D15">
        <v>0</v>
      </c>
      <c r="E15">
        <v>0</v>
      </c>
      <c r="F15">
        <v>41.129390000000001</v>
      </c>
      <c r="G15">
        <v>320</v>
      </c>
      <c r="H15">
        <v>0</v>
      </c>
      <c r="I15">
        <v>2</v>
      </c>
      <c r="J15">
        <v>1</v>
      </c>
      <c r="K15">
        <v>39</v>
      </c>
      <c r="L15">
        <v>75</v>
      </c>
    </row>
    <row r="16" spans="1:12" x14ac:dyDescent="0.25">
      <c r="A16">
        <v>0</v>
      </c>
      <c r="B16">
        <v>2</v>
      </c>
      <c r="C16">
        <v>0</v>
      </c>
      <c r="D16">
        <v>9</v>
      </c>
      <c r="E16">
        <v>18</v>
      </c>
      <c r="F16">
        <v>52.152709999999999</v>
      </c>
      <c r="G16">
        <v>240</v>
      </c>
      <c r="H16">
        <v>1</v>
      </c>
      <c r="I16">
        <v>1</v>
      </c>
      <c r="J16">
        <v>9</v>
      </c>
      <c r="K16">
        <v>29</v>
      </c>
      <c r="L16">
        <v>0</v>
      </c>
    </row>
    <row r="17" spans="1:12" x14ac:dyDescent="0.25">
      <c r="A17">
        <v>1</v>
      </c>
      <c r="B17">
        <v>1</v>
      </c>
      <c r="C17">
        <v>0</v>
      </c>
      <c r="D17">
        <v>6</v>
      </c>
      <c r="E17">
        <v>20</v>
      </c>
      <c r="F17">
        <v>43.705199999999998</v>
      </c>
      <c r="G17">
        <v>320</v>
      </c>
      <c r="H17">
        <v>2</v>
      </c>
      <c r="I17">
        <v>2</v>
      </c>
      <c r="J17">
        <v>1</v>
      </c>
      <c r="K17">
        <v>11</v>
      </c>
      <c r="L17">
        <v>0</v>
      </c>
    </row>
    <row r="18" spans="1:12" x14ac:dyDescent="0.25">
      <c r="A18">
        <v>2</v>
      </c>
      <c r="B18">
        <v>4</v>
      </c>
      <c r="C18">
        <v>1</v>
      </c>
      <c r="D18">
        <v>0</v>
      </c>
      <c r="E18">
        <v>110</v>
      </c>
      <c r="F18">
        <v>29.46509</v>
      </c>
      <c r="G18">
        <v>320</v>
      </c>
      <c r="H18">
        <v>1</v>
      </c>
      <c r="I18">
        <v>2</v>
      </c>
      <c r="J18">
        <v>2</v>
      </c>
      <c r="K18">
        <v>85</v>
      </c>
      <c r="L18">
        <v>1</v>
      </c>
    </row>
    <row r="19" spans="1:12" x14ac:dyDescent="0.25">
      <c r="A19">
        <v>0</v>
      </c>
      <c r="B19">
        <v>1</v>
      </c>
      <c r="C19">
        <v>0</v>
      </c>
      <c r="D19">
        <v>0</v>
      </c>
      <c r="E19">
        <v>0</v>
      </c>
      <c r="F19">
        <v>38.978389999999997</v>
      </c>
      <c r="G19">
        <v>80</v>
      </c>
      <c r="H19">
        <v>1</v>
      </c>
      <c r="I19">
        <v>1</v>
      </c>
      <c r="J19">
        <v>2</v>
      </c>
      <c r="K19">
        <v>62</v>
      </c>
      <c r="L19">
        <v>0</v>
      </c>
    </row>
    <row r="20" spans="1:12" x14ac:dyDescent="0.25">
      <c r="A20">
        <v>0</v>
      </c>
      <c r="B20">
        <v>4</v>
      </c>
      <c r="C20">
        <v>1</v>
      </c>
      <c r="D20">
        <v>0</v>
      </c>
      <c r="E20">
        <v>0</v>
      </c>
      <c r="F20">
        <v>18.891719999999999</v>
      </c>
      <c r="G20">
        <v>80</v>
      </c>
      <c r="H20">
        <v>0</v>
      </c>
      <c r="I20">
        <v>1</v>
      </c>
      <c r="J20">
        <v>0</v>
      </c>
      <c r="K20">
        <v>5</v>
      </c>
      <c r="L20">
        <v>5</v>
      </c>
    </row>
    <row r="21" spans="1:12" x14ac:dyDescent="0.25">
      <c r="A21">
        <f>SUBTOTAL(101,temp17[Column1])</f>
        <v>2.6842105263157894</v>
      </c>
      <c r="B21">
        <f>SUBTOTAL(101,temp17[Column2])</f>
        <v>2.6842105263157894</v>
      </c>
      <c r="C21">
        <f>SUBTOTAL(101,temp17[Column3])</f>
        <v>0.47368421052631576</v>
      </c>
      <c r="D21">
        <f>SUBTOTAL(101,temp17[Column4])</f>
        <v>3.0526315789473686</v>
      </c>
      <c r="E21">
        <f>SUBTOTAL(101,temp17[Column5])</f>
        <v>154.31578947368422</v>
      </c>
      <c r="F21">
        <f>SUBTOTAL(101,temp17[Column6])</f>
        <v>960745.06141506857</v>
      </c>
      <c r="G21">
        <f>SUBTOTAL(101,temp17[Column7])</f>
        <v>627.36842105263156</v>
      </c>
      <c r="H21">
        <f>SUBTOTAL(101,temp17[Column8])</f>
        <v>1.4736842105263157</v>
      </c>
      <c r="I21">
        <f>SUBTOTAL(101,temp17[Column9])</f>
        <v>3.3157894736842106</v>
      </c>
      <c r="J21">
        <f>SUBTOTAL(101,temp17[Column10])</f>
        <v>6.9473684210526319</v>
      </c>
      <c r="K21">
        <f>SUBTOTAL(101,temp17[Column11])</f>
        <v>78.84210526315789</v>
      </c>
      <c r="L21">
        <f>SUBTOTAL(101,temp17[Column12])</f>
        <v>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4F9F-60A0-4B2A-8528-02E642F2BCAE}">
  <dimension ref="A1:L21"/>
  <sheetViews>
    <sheetView workbookViewId="0">
      <selection sqref="A1:L20"/>
    </sheetView>
  </sheetViews>
  <sheetFormatPr defaultColWidth="9.140625" defaultRowHeight="15" x14ac:dyDescent="0.25"/>
  <cols>
    <col min="1" max="9" width="11.42578125" bestFit="1" customWidth="1"/>
    <col min="10" max="12"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2</v>
      </c>
      <c r="C2">
        <v>0</v>
      </c>
      <c r="D2">
        <v>2</v>
      </c>
      <c r="E2">
        <v>575</v>
      </c>
      <c r="F2">
        <v>129.9871</v>
      </c>
      <c r="G2">
        <v>260</v>
      </c>
      <c r="H2">
        <v>1</v>
      </c>
      <c r="I2">
        <v>2</v>
      </c>
      <c r="J2">
        <v>3</v>
      </c>
      <c r="K2">
        <v>27</v>
      </c>
      <c r="L2">
        <v>12</v>
      </c>
    </row>
    <row r="3" spans="1:12" x14ac:dyDescent="0.25">
      <c r="A3">
        <v>0</v>
      </c>
      <c r="B3">
        <v>1</v>
      </c>
      <c r="C3">
        <v>0</v>
      </c>
      <c r="D3">
        <v>0</v>
      </c>
      <c r="E3">
        <v>0</v>
      </c>
      <c r="F3">
        <v>43.411619999999999</v>
      </c>
      <c r="G3">
        <v>40</v>
      </c>
      <c r="H3">
        <v>1</v>
      </c>
      <c r="I3">
        <v>1</v>
      </c>
      <c r="J3">
        <v>2</v>
      </c>
      <c r="K3">
        <v>55</v>
      </c>
      <c r="L3">
        <v>0</v>
      </c>
    </row>
    <row r="4" spans="1:12" x14ac:dyDescent="0.25">
      <c r="A4">
        <v>0</v>
      </c>
      <c r="B4">
        <v>1</v>
      </c>
      <c r="C4">
        <v>0</v>
      </c>
      <c r="D4">
        <v>0</v>
      </c>
      <c r="E4">
        <v>0</v>
      </c>
      <c r="F4">
        <v>39.348750000000003</v>
      </c>
      <c r="G4">
        <v>40</v>
      </c>
      <c r="H4">
        <v>1</v>
      </c>
      <c r="I4">
        <v>1</v>
      </c>
      <c r="J4">
        <v>0</v>
      </c>
      <c r="K4">
        <v>57</v>
      </c>
      <c r="L4">
        <v>0</v>
      </c>
    </row>
    <row r="5" spans="1:12" x14ac:dyDescent="0.25">
      <c r="A5">
        <v>0</v>
      </c>
      <c r="B5">
        <v>1</v>
      </c>
      <c r="C5">
        <v>0</v>
      </c>
      <c r="D5">
        <v>1</v>
      </c>
      <c r="E5">
        <v>34</v>
      </c>
      <c r="F5">
        <v>4125122</v>
      </c>
      <c r="G5">
        <v>140</v>
      </c>
      <c r="H5">
        <v>1</v>
      </c>
      <c r="I5">
        <v>1</v>
      </c>
      <c r="J5">
        <v>4</v>
      </c>
      <c r="K5">
        <v>100</v>
      </c>
      <c r="L5">
        <v>0</v>
      </c>
    </row>
    <row r="6" spans="1:12" x14ac:dyDescent="0.25">
      <c r="A6">
        <v>0</v>
      </c>
      <c r="B6">
        <v>2</v>
      </c>
      <c r="C6">
        <v>0</v>
      </c>
      <c r="D6">
        <v>0</v>
      </c>
      <c r="E6">
        <v>0</v>
      </c>
      <c r="F6">
        <v>97.129149999999996</v>
      </c>
      <c r="G6">
        <v>160</v>
      </c>
      <c r="H6">
        <v>0</v>
      </c>
      <c r="I6">
        <v>1</v>
      </c>
      <c r="J6">
        <v>4</v>
      </c>
      <c r="K6">
        <v>35</v>
      </c>
      <c r="L6">
        <v>0</v>
      </c>
    </row>
    <row r="7" spans="1:12" x14ac:dyDescent="0.25">
      <c r="A7">
        <v>0</v>
      </c>
      <c r="B7">
        <v>3</v>
      </c>
      <c r="C7">
        <v>1</v>
      </c>
      <c r="D7">
        <v>0</v>
      </c>
      <c r="E7">
        <v>0</v>
      </c>
      <c r="F7">
        <v>0.24901010000000001</v>
      </c>
      <c r="G7">
        <v>0</v>
      </c>
      <c r="H7">
        <v>0</v>
      </c>
      <c r="I7">
        <v>0</v>
      </c>
      <c r="J7">
        <v>0</v>
      </c>
      <c r="K7">
        <v>0</v>
      </c>
      <c r="L7">
        <v>0</v>
      </c>
    </row>
    <row r="8" spans="1:12" x14ac:dyDescent="0.25">
      <c r="A8">
        <v>2</v>
      </c>
      <c r="B8">
        <v>1</v>
      </c>
      <c r="C8">
        <v>0</v>
      </c>
      <c r="D8">
        <v>0</v>
      </c>
      <c r="E8">
        <v>0</v>
      </c>
      <c r="F8">
        <v>347.70749999999998</v>
      </c>
      <c r="G8">
        <v>700</v>
      </c>
      <c r="H8">
        <v>0</v>
      </c>
      <c r="I8">
        <v>3</v>
      </c>
      <c r="J8">
        <v>12</v>
      </c>
      <c r="K8">
        <v>57</v>
      </c>
      <c r="L8">
        <v>0</v>
      </c>
    </row>
    <row r="9" spans="1:12" x14ac:dyDescent="0.25">
      <c r="A9">
        <v>0</v>
      </c>
      <c r="B9">
        <v>1</v>
      </c>
      <c r="C9">
        <v>0</v>
      </c>
      <c r="D9">
        <v>1</v>
      </c>
      <c r="E9">
        <v>33</v>
      </c>
      <c r="F9">
        <v>54.937620000000003</v>
      </c>
      <c r="G9">
        <v>60</v>
      </c>
      <c r="H9">
        <v>0</v>
      </c>
      <c r="I9">
        <v>1</v>
      </c>
      <c r="J9">
        <v>1</v>
      </c>
      <c r="K9">
        <v>27</v>
      </c>
      <c r="L9">
        <v>9</v>
      </c>
    </row>
    <row r="10" spans="1:12" x14ac:dyDescent="0.25">
      <c r="A10">
        <v>2</v>
      </c>
      <c r="B10">
        <v>3</v>
      </c>
      <c r="C10">
        <v>1</v>
      </c>
      <c r="D10">
        <v>0</v>
      </c>
      <c r="E10">
        <v>0</v>
      </c>
      <c r="F10">
        <v>58.007080000000002</v>
      </c>
      <c r="G10">
        <v>200</v>
      </c>
      <c r="H10">
        <v>0</v>
      </c>
      <c r="I10">
        <v>2</v>
      </c>
      <c r="J10">
        <v>0</v>
      </c>
      <c r="K10">
        <v>258</v>
      </c>
      <c r="L10">
        <v>1</v>
      </c>
    </row>
    <row r="11" spans="1:12" x14ac:dyDescent="0.25">
      <c r="A11">
        <v>0</v>
      </c>
      <c r="B11">
        <v>3</v>
      </c>
      <c r="C11">
        <v>0</v>
      </c>
      <c r="D11">
        <v>1</v>
      </c>
      <c r="E11">
        <v>5</v>
      </c>
      <c r="F11">
        <v>9685059</v>
      </c>
      <c r="G11">
        <v>220</v>
      </c>
      <c r="H11">
        <v>0</v>
      </c>
      <c r="I11">
        <v>1</v>
      </c>
      <c r="J11">
        <v>4</v>
      </c>
      <c r="K11">
        <v>94</v>
      </c>
      <c r="L11">
        <v>12</v>
      </c>
    </row>
    <row r="12" spans="1:12" x14ac:dyDescent="0.25">
      <c r="A12">
        <v>0</v>
      </c>
      <c r="B12">
        <v>2</v>
      </c>
      <c r="C12">
        <v>1</v>
      </c>
      <c r="D12">
        <v>0</v>
      </c>
      <c r="E12">
        <v>0</v>
      </c>
      <c r="F12">
        <v>49.725589999999997</v>
      </c>
      <c r="G12">
        <v>100</v>
      </c>
      <c r="H12">
        <v>0</v>
      </c>
      <c r="I12">
        <v>1</v>
      </c>
      <c r="J12">
        <v>7</v>
      </c>
      <c r="K12">
        <v>97</v>
      </c>
      <c r="L12">
        <v>0</v>
      </c>
    </row>
    <row r="13" spans="1:12" x14ac:dyDescent="0.25">
      <c r="A13">
        <v>0</v>
      </c>
      <c r="B13">
        <v>1</v>
      </c>
      <c r="C13">
        <v>0</v>
      </c>
      <c r="D13">
        <v>0</v>
      </c>
      <c r="E13">
        <v>0</v>
      </c>
      <c r="F13">
        <v>25.404910000000001</v>
      </c>
      <c r="G13">
        <v>0</v>
      </c>
      <c r="H13">
        <v>1</v>
      </c>
      <c r="I13">
        <v>1</v>
      </c>
      <c r="J13">
        <v>0</v>
      </c>
      <c r="K13">
        <v>48</v>
      </c>
      <c r="L13">
        <v>0</v>
      </c>
    </row>
    <row r="14" spans="1:12" x14ac:dyDescent="0.25">
      <c r="A14">
        <v>1</v>
      </c>
      <c r="B14">
        <v>1</v>
      </c>
      <c r="C14">
        <v>1</v>
      </c>
      <c r="D14">
        <v>0</v>
      </c>
      <c r="E14">
        <v>0</v>
      </c>
      <c r="F14">
        <v>34.066040000000001</v>
      </c>
      <c r="G14">
        <v>100</v>
      </c>
      <c r="H14">
        <v>0</v>
      </c>
      <c r="I14">
        <v>0</v>
      </c>
      <c r="J14">
        <v>0</v>
      </c>
      <c r="K14">
        <v>121</v>
      </c>
      <c r="L14">
        <v>0</v>
      </c>
    </row>
    <row r="15" spans="1:12" x14ac:dyDescent="0.25">
      <c r="A15">
        <v>0</v>
      </c>
      <c r="B15">
        <v>1</v>
      </c>
      <c r="C15">
        <v>0</v>
      </c>
      <c r="D15">
        <v>0</v>
      </c>
      <c r="E15">
        <v>0</v>
      </c>
      <c r="F15">
        <v>61.824710000000003</v>
      </c>
      <c r="G15">
        <v>40</v>
      </c>
      <c r="H15">
        <v>0</v>
      </c>
      <c r="I15">
        <v>1</v>
      </c>
      <c r="J15">
        <v>1</v>
      </c>
      <c r="K15">
        <v>64</v>
      </c>
      <c r="L15">
        <v>109</v>
      </c>
    </row>
    <row r="16" spans="1:12" x14ac:dyDescent="0.25">
      <c r="A16">
        <v>0</v>
      </c>
      <c r="B16">
        <v>1</v>
      </c>
      <c r="C16">
        <v>0</v>
      </c>
      <c r="D16">
        <v>5</v>
      </c>
      <c r="E16">
        <v>11</v>
      </c>
      <c r="F16">
        <v>38.709960000000002</v>
      </c>
      <c r="G16">
        <v>80</v>
      </c>
      <c r="H16">
        <v>1</v>
      </c>
      <c r="I16">
        <v>1</v>
      </c>
      <c r="J16">
        <v>2</v>
      </c>
      <c r="K16">
        <v>17</v>
      </c>
      <c r="L16">
        <v>0</v>
      </c>
    </row>
    <row r="17" spans="1:12" x14ac:dyDescent="0.25">
      <c r="A17">
        <v>0</v>
      </c>
      <c r="B17">
        <v>1</v>
      </c>
      <c r="C17">
        <v>0</v>
      </c>
      <c r="D17">
        <v>3</v>
      </c>
      <c r="E17">
        <v>11</v>
      </c>
      <c r="F17">
        <v>42.228879999999997</v>
      </c>
      <c r="G17">
        <v>80</v>
      </c>
      <c r="H17">
        <v>1</v>
      </c>
      <c r="I17">
        <v>1</v>
      </c>
      <c r="J17">
        <v>3</v>
      </c>
      <c r="K17">
        <v>28</v>
      </c>
      <c r="L17">
        <v>0</v>
      </c>
    </row>
    <row r="18" spans="1:12" x14ac:dyDescent="0.25">
      <c r="A18">
        <v>0</v>
      </c>
      <c r="B18">
        <v>1</v>
      </c>
      <c r="C18">
        <v>0</v>
      </c>
      <c r="D18">
        <v>0</v>
      </c>
      <c r="E18">
        <v>59</v>
      </c>
      <c r="F18">
        <v>75.976929999999996</v>
      </c>
      <c r="G18">
        <v>120</v>
      </c>
      <c r="H18">
        <v>0</v>
      </c>
      <c r="I18">
        <v>1</v>
      </c>
      <c r="J18">
        <v>2</v>
      </c>
      <c r="K18">
        <v>345</v>
      </c>
      <c r="L18">
        <v>1</v>
      </c>
    </row>
    <row r="19" spans="1:12" x14ac:dyDescent="0.25">
      <c r="A19">
        <v>0</v>
      </c>
      <c r="B19">
        <v>1</v>
      </c>
      <c r="C19">
        <v>0</v>
      </c>
      <c r="D19">
        <v>1</v>
      </c>
      <c r="E19">
        <v>4</v>
      </c>
      <c r="F19">
        <v>59.690429999999999</v>
      </c>
      <c r="G19">
        <v>100</v>
      </c>
      <c r="H19">
        <v>1</v>
      </c>
      <c r="I19">
        <v>1</v>
      </c>
      <c r="J19">
        <v>5</v>
      </c>
      <c r="K19">
        <v>52</v>
      </c>
      <c r="L19">
        <v>14</v>
      </c>
    </row>
    <row r="20" spans="1:12" x14ac:dyDescent="0.25">
      <c r="A20">
        <v>1</v>
      </c>
      <c r="B20">
        <v>3</v>
      </c>
      <c r="C20">
        <v>1</v>
      </c>
      <c r="D20">
        <v>0</v>
      </c>
      <c r="E20">
        <v>0</v>
      </c>
      <c r="F20">
        <v>35.764040000000001</v>
      </c>
      <c r="G20">
        <v>100</v>
      </c>
      <c r="H20">
        <v>0</v>
      </c>
      <c r="I20">
        <v>1</v>
      </c>
      <c r="J20">
        <v>0</v>
      </c>
      <c r="K20">
        <v>11</v>
      </c>
      <c r="L20">
        <v>10</v>
      </c>
    </row>
    <row r="21" spans="1:12" x14ac:dyDescent="0.25">
      <c r="A21">
        <f>SUBTOTAL(101,temp16[Column1])</f>
        <v>0.36842105263157893</v>
      </c>
      <c r="B21">
        <f>SUBTOTAL(101,temp16[Column2])</f>
        <v>1.5789473684210527</v>
      </c>
      <c r="C21">
        <f>SUBTOTAL(101,temp16[Column3])</f>
        <v>0.26315789473684209</v>
      </c>
      <c r="D21">
        <f>SUBTOTAL(101,temp16[Column4])</f>
        <v>0.73684210526315785</v>
      </c>
      <c r="E21">
        <f>SUBTOTAL(101,temp16[Column5])</f>
        <v>38.526315789473685</v>
      </c>
      <c r="F21">
        <f>SUBTOTAL(101,temp16[Column6])</f>
        <v>726914.48259579483</v>
      </c>
      <c r="G21">
        <f>SUBTOTAL(101,temp16[Column7])</f>
        <v>133.68421052631578</v>
      </c>
      <c r="H21">
        <f>SUBTOTAL(101,temp16[Column8])</f>
        <v>0.42105263157894735</v>
      </c>
      <c r="I21">
        <f>SUBTOTAL(101,temp16[Column9])</f>
        <v>1.1052631578947369</v>
      </c>
      <c r="J21">
        <f>SUBTOTAL(101,temp16[Column10])</f>
        <v>2.6315789473684212</v>
      </c>
      <c r="K21">
        <f>SUBTOTAL(101,temp16[Column11])</f>
        <v>78.578947368421055</v>
      </c>
      <c r="L21">
        <f>SUBTOTAL(101,temp16[Column12])</f>
        <v>8.8421052631578956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Q G A A B Q S w M E F A A C A A g A i J K R W I + G O g y k A A A A 9 g A A A B I A H A B D b 2 5 m a W c v U G F j a 2 F n Z S 5 4 b W w g o h g A K K A U A A A A A A A A A A A A A A A A A A A A A A A A A A A A h Y 8 x D o I w G I W v Q r r T l j p g y E + J c Z X E R G N c m 1 K h A Y q h x X I 3 B 4 / k F c Q o 6 u b 4 v v c N 7 9 2 v N 8 j G t g k u q r e 6 M y m K M E W B M r I r t C l T N L h T u E Q Z h 6 2 Q t S h V M M n G J q M t U l Q 5 d 0 4 I 8 d 5 j v 8 B d X x J G a U S O + W Y n K 9 U K 9 J H 1 f z n U x j p h p E I c D q 8 x n O G I x Z j F M a Z A Z g i 5 N l + B T X u f 7 Q + E 9 d C 4 o V e 8 U O F q D 2 S O Q N 4 f + A N Q S w M E F A A C A A g A i J K 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i S k V i c z 6 X J 7 g M A A A l A A A A T A B w A R m 9 y b X V s Y X M v U 2 V j d G l v b j E u b S C i G A A o o B Q A A A A A A A A A A A A A A A A A A A A A A A A A A A D t m 1 t P 2 z A U x 9 + R + A 6 W e W m l U N W h 5 b Z 1 0 9 Y N r S + 7 A N v D 2 j 6 Y x q P R E q d z n K 4 I 9 b v P l 9 K k p Q b G z C Z P 5 g X q k 5 y b f / a R / i o 5 G f E 4 o + B M / 0 b P t r e 2 t / I x Z i Q C n K Q T B D o g I X x 7 C 4 i f s 6 x g I y J W u v m 0 8 S Y b F S m h v H Y S J 6 T R z S g X H / I a 7 B 4 P P u e E 5 Y O c k 8 l 4 8 I b k 3 3 k 2 G U S Y 4 4 H y 2 O A z D u s B C g M I g 7 c z z v A X n B Q k b / Q u a c a I M L T D e q A j 7 s D u G N N L k c z 5 1 Y R A E f o c X 4 h w 5 w z T / F v G 0 m 6 W F C m V x r y m 0 w u u r 6 F e R T A A P c r 3 W w 1 p n w f g x h C a D H s m Q 8 t k a J s M + 8 L A x R K g R X p B W M V y Y H r l 0 G Q 4 M h l Q 0 2 g x F o / W q p / X t 7 d i u r H d 6 z C E 1 m E I P Q y u w r B n H Y Y 9 D 4 O r M L S s w 9 D y M L g K Q 9 s 6 D G 0 P g 6 s w 7 F u H Y d / D 4 C o M B 9 Z h O P A w u A r D o X U Y D j 0 M r s J w Z B 2 G I w + D q z C g p n 3 V q e l x c B a H J x A h v Q r p L g 7 2 Z U j k d U h 3 c b A v R C K v R L q L g 3 0 p E n k t 0 l 0 c 7 I u R y K u R 7 u J g X 4 5 E X o 9 0 F w f 7 g i T y i q S 7 O N i X J J H X J N 3 F w b 4 o i b w q 6 S w O o X 1 V M v S q p L s 4 2 F c l Q 6 9 K u o v D E 3 w 5 0 q u S 7 u J g X 5 U M v S r p L g 7 2 V c n Q q 5 J O 4 i A 3 c C M M J 1 k S E d a Q G N y 9 / b D c V P E w J 9 L r u z i K C A X q Z V R u 7 x l J y I i f Z j + X m w o I H o 1 B / x X n L L 4 o O M m H L / v 6 5 e F L 8 P w F 4 K w g p f 8 e n W b f C e g W O c 9 S c F J Q / V 8 i Z Y B X U a S 7 U T M m E w C 4 p E y t w U U S O + v r t f 4 C / 2 G 9 T O G U U J w K p z p M t T h t W a z X z M n K L X s v n p S Z 6 C 4 0 1 M d 5 N U i a T U W Q D 3 x M 2 I Z Q u o 9 l q F t J y R h V 3 7 e L r k R 7 O 5 t g G k k 4 p H N w c 8 i W 0 b R d / b 1 s r i H D T c 3 V T v Q j M h m Z 8 H q n d + A Z T i c i u P p Y r z / q n j B W I q + O 1 W 6 o E 8 z J j F c P k L 9 W 7 F 0 r q x t q 6 Y J 5 j 6 f x J V a n S L y v H V 0 3 5 8 t j W m Z W e b K a 1 U f M x P 6 L W 0 G + v 5 a i W M e g 3 8 u X z 3 w q C L v q y A s o A K 9 j i t l V T 1 w j P P 4 W E 9 Z Z f T l Q D e h A / Z h s 2 J q b U / K j i E U G y t 1 w t V H l W b i 3 Z S s D u i z m n p l b t k U 7 U u H 7 y x t J J S g y j 2 J 6 K W L A a w j J T E z 0 B L M T k V W R Y H V o 4 D E 0 p A r n E A w 3 F m S u p J J 9 H X R e l E 9 Y q V c 6 u a m 5 d L i x D 8 u s I x Z P y W 6 U / a R J h q P d s B m 2 m i 3 U P k e t V j s 8 + r r b b K L H c L z w l w 8 e 4 t / x S Q p q Y d 0 0 T Z X t f 5 6 o q s C / N F U X j b 5 / s u q u r 1 x W a s l P 2 P 9 r w q p N / V u 3 k 7 0 x H K 6 P Y V 3 H H 4 z i m 5 N h e R y b + 7 t 5 R I X / d i S r d O 8 e y + a K K l X 8 9 m i + v + 4 H j u Z f U E s B A i 0 A F A A C A A g A i J K R W I + G O g y k A A A A 9 g A A A B I A A A A A A A A A A A A A A A A A A A A A A E N v b m Z p Z y 9 Q Y W N r Y W d l L n h t b F B L A Q I t A B Q A A g A I A I i S k V g P y u m r p A A A A O k A A A A T A A A A A A A A A A A A A A A A A P A A A A B b Q 2 9 u d G V u d F 9 U e X B l c 1 0 u e G 1 s U E s B A i 0 A F A A C A A g A i J K R W J z P p c n u A w A A C U A A A B M A A A A A A A A A A A A A A A A A 4 Q E A A E Z v c m 1 1 b G F z L 1 N l Y 3 R p b 2 4 x L m 1 Q S w U G A A A A A A M A A w D C A A A A H 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3 k B A A A A A A D 1 e A 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J B Q U F B Q U F B Q U F E d m E z R m V Z M j l 6 U 2 9 u S T k 0 Q W N G N V k 0 R 0 Z S e V l X N X p a b T l 5 Y l N C R 2 F X e G x J R 1 p 5 Y j I w Z 1 p H R j B Z U U F B Q U F B Q U F B Q U F B Q U F G e V o 1 U 0 Y v a z l S N 0 V O Z 0 p 1 W W p D Z 2 5 E a 2 h s Y k h C b G N p Q l J k V 1 Z 5 Y V d W e k F B S H Z h M 0 Z l W T I 5 e l N v b k k 5 N E F j R j V Z N E F B Q U F B Q U F B Q U F D M n F H Z 3 d t d U g w U X F 1 T U 1 l M F Z k N l V E T j F S e V l X N X p a b T l 5 Y l N C R 2 F X e G x J R 1 p 5 Y j I w Z 1 p I S n B k b V V 0 W k c 5 M 2 J t e H Z Z V 1 F 0 T W p B e U 5 E Q T B N V F Z V T V R R M E 5 U S T V X a T B 3 T U R F Q U F B S U F B Q U F B Q U F B Q S 8 y U G F I S U R s b j B L R G Z Q W k x G R D F M e H c 1 S V p X e H d a W E l n V V h W b G N t b G x j d 0 F C d H F o b 0 1 K c m g 5 R U t y a k R I d E Z Y Z W x B d 0 F B Q U F B P S I g L z 4 8 L 1 N 0 Y W J s Z U V u d H J p Z X M + P C 9 J d G V t P j x J d G V t P j x J d G V t T G 9 j Y X R p b 2 4 + P E l 0 Z W 1 U e X B l P k Z v c m 1 1 b G E 8 L 0 l 0 Z W 1 U e X B l P j x J d G V t U G F 0 a D 5 T Z W N 0 a W 9 u M S 9 0 Z W 1 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z Z T U 2 N T E x L W I x O D I t N D l h M S 1 i N j E w L T Z m M D U x Z D I 1 O W F i N y I g L z 4 8 R W 5 0 c n k g V H l w Z T 0 i Q n V m Z m V y T m V 4 d F J l Z n J l c 2 g i I F Z h b H V l P S J s M S I g L z 4 8 R W 5 0 c n k g V H l w Z T 0 i U m V z d W x 0 V H l w Z S I g V m F s d W U 9 I n N U Y W J s Z S I g L z 4 8 R W 5 0 c n k g V H l w Z T 0 i T m F t Z V V w Z G F 0 Z W R B Z n R l c k Z p b G w i I F Z h b H V l P S J s M C I g L z 4 8 R W 5 0 c n k g V H l w Z T 0 i R m l s b F R h c m d l d C I g V m F s d W U 9 I n N 0 Z W 1 w M 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M j o 0 O S 4 2 M T A 4 N D E 1 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E v Q X V 0 b 1 J l b W 9 2 Z W R D b 2 x 1 b W 5 z M S 5 7 Q 2 9 s d W 1 u M S w w f S Z x d W 9 0 O y w m c X V v d D t T Z W N 0 a W 9 u M S 9 0 Z W 1 w M S 9 B d X R v U m V t b 3 Z l Z E N v b H V t b n M x L n t D b 2 x 1 b W 4 y L D F 9 J n F 1 b 3 Q 7 L C Z x d W 9 0 O 1 N l Y 3 R p b 2 4 x L 3 R l b X A x L 0 F 1 d G 9 S Z W 1 v d m V k Q 2 9 s d W 1 u c z E u e 0 N v b H V t b j M s M n 0 m c X V v d D s s J n F 1 b 3 Q 7 U 2 V j d G l v b j E v d G V t c D E v Q X V 0 b 1 J l b W 9 2 Z W R D b 2 x 1 b W 5 z M S 5 7 Q 2 9 s d W 1 u N C w z f S Z x d W 9 0 O y w m c X V v d D t T Z W N 0 a W 9 u M S 9 0 Z W 1 w M S 9 B d X R v U m V t b 3 Z l Z E N v b H V t b n M x L n t D b 2 x 1 b W 4 1 L D R 9 J n F 1 b 3 Q 7 L C Z x d W 9 0 O 1 N l Y 3 R p b 2 4 x L 3 R l b X A x L 0 F 1 d G 9 S Z W 1 v d m V k Q 2 9 s d W 1 u c z E u e 0 N v b H V t b j Y s N X 0 m c X V v d D s s J n F 1 b 3 Q 7 U 2 V j d G l v b j E v d G V t c D E v Q X V 0 b 1 J l b W 9 2 Z W R D b 2 x 1 b W 5 z M S 5 7 Q 2 9 s d W 1 u N y w 2 f S Z x d W 9 0 O y w m c X V v d D t T Z W N 0 a W 9 u M S 9 0 Z W 1 w M S 9 B d X R v U m V t b 3 Z l Z E N v b H V t b n M x L n t D b 2 x 1 b W 4 4 L D d 9 J n F 1 b 3 Q 7 L C Z x d W 9 0 O 1 N l Y 3 R p b 2 4 x L 3 R l b X A x L 0 F 1 d G 9 S Z W 1 v d m V k Q 2 9 s d W 1 u c z E u e 0 N v b H V t b j k s O H 0 m c X V v d D s s J n F 1 b 3 Q 7 U 2 V j d G l v b j E v d G V t c D E v Q X V 0 b 1 J l b W 9 2 Z W R D b 2 x 1 b W 5 z M S 5 7 Q 2 9 s d W 1 u M T A s O X 0 m c X V v d D s s J n F 1 b 3 Q 7 U 2 V j d G l v b j E v d G V t c D E v Q X V 0 b 1 J l b W 9 2 Z W R D b 2 x 1 b W 5 z M S 5 7 Q 2 9 s d W 1 u M T E s M T B 9 J n F 1 b 3 Q 7 L C Z x d W 9 0 O 1 N l Y 3 R p b 2 4 x L 3 R l b X A x L 0 F 1 d G 9 S Z W 1 v d m V k Q 2 9 s d W 1 u c z E u e 0 N v b H V t b j E y L D E x f S Z x d W 9 0 O 1 0 s J n F 1 b 3 Q 7 Q 2 9 s d W 1 u Q 2 9 1 b n Q m c X V v d D s 6 M T I s J n F 1 b 3 Q 7 S 2 V 5 Q 2 9 s d W 1 u T m F t Z X M m c X V v d D s 6 W 1 0 s J n F 1 b 3 Q 7 Q 2 9 s d W 1 u S W R l b n R p d G l l c y Z x d W 9 0 O z p b J n F 1 b 3 Q 7 U 2 V j d G l v b j E v d G V t c D E v Q X V 0 b 1 J l b W 9 2 Z W R D b 2 x 1 b W 5 z M S 5 7 Q 2 9 s d W 1 u M S w w f S Z x d W 9 0 O y w m c X V v d D t T Z W N 0 a W 9 u M S 9 0 Z W 1 w M S 9 B d X R v U m V t b 3 Z l Z E N v b H V t b n M x L n t D b 2 x 1 b W 4 y L D F 9 J n F 1 b 3 Q 7 L C Z x d W 9 0 O 1 N l Y 3 R p b 2 4 x L 3 R l b X A x L 0 F 1 d G 9 S Z W 1 v d m V k Q 2 9 s d W 1 u c z E u e 0 N v b H V t b j M s M n 0 m c X V v d D s s J n F 1 b 3 Q 7 U 2 V j d G l v b j E v d G V t c D E v Q X V 0 b 1 J l b W 9 2 Z W R D b 2 x 1 b W 5 z M S 5 7 Q 2 9 s d W 1 u N C w z f S Z x d W 9 0 O y w m c X V v d D t T Z W N 0 a W 9 u M S 9 0 Z W 1 w M S 9 B d X R v U m V t b 3 Z l Z E N v b H V t b n M x L n t D b 2 x 1 b W 4 1 L D R 9 J n F 1 b 3 Q 7 L C Z x d W 9 0 O 1 N l Y 3 R p b 2 4 x L 3 R l b X A x L 0 F 1 d G 9 S Z W 1 v d m V k Q 2 9 s d W 1 u c z E u e 0 N v b H V t b j Y s N X 0 m c X V v d D s s J n F 1 b 3 Q 7 U 2 V j d G l v b j E v d G V t c D E v Q X V 0 b 1 J l b W 9 2 Z W R D b 2 x 1 b W 5 z M S 5 7 Q 2 9 s d W 1 u N y w 2 f S Z x d W 9 0 O y w m c X V v d D t T Z W N 0 a W 9 u M S 9 0 Z W 1 w M S 9 B d X R v U m V t b 3 Z l Z E N v b H V t b n M x L n t D b 2 x 1 b W 4 4 L D d 9 J n F 1 b 3 Q 7 L C Z x d W 9 0 O 1 N l Y 3 R p b 2 4 x L 3 R l b X A x L 0 F 1 d G 9 S Z W 1 v d m V k Q 2 9 s d W 1 u c z E u e 0 N v b H V t b j k s O H 0 m c X V v d D s s J n F 1 b 3 Q 7 U 2 V j d G l v b j E v d G V t c D E v Q X V 0 b 1 J l b W 9 2 Z W R D b 2 x 1 b W 5 z M S 5 7 Q 2 9 s d W 1 u M T A s O X 0 m c X V v d D s s J n F 1 b 3 Q 7 U 2 V j d G l v b j E v d G V t c D E v Q X V 0 b 1 J l b W 9 2 Z W R D b 2 x 1 b W 5 z M S 5 7 Q 2 9 s d W 1 u M T E s M T B 9 J n F 1 b 3 Q 7 L C Z x d W 9 0 O 1 N l Y 3 R p b 2 4 x L 3 R l b X A x L 0 F 1 d G 9 S Z W 1 v d m V k Q 2 9 s d W 1 u c z E u e 0 N v b H V t b j E y L D E x f S Z x d W 9 0 O 1 0 s J n F 1 b 3 Q 7 U m V s Y X R p b 2 5 z a G l w S W 5 m b y Z x d W 9 0 O z p b X X 0 i I C 8 + P C 9 T d G F i b G V F b n R y a W V z P j w v S X R l b T 4 8 S X R l b T 4 8 S X R l b U x v Y 2 F 0 a W 9 u P j x J d G V t V H l w Z T 5 G b 3 J t d W x h P C 9 J d G V t V H l w Z T 4 8 S X R l b V B h d G g + U 2 V j d G l v b j E v d G V t c D E v U 2 9 1 c m N l P C 9 J d G V t U G F 0 a D 4 8 L 0 l 0 Z W 1 M b 2 N h d G l v b j 4 8 U 3 R h Y m x l R W 5 0 c m l l c y A v P j w v S X R l b T 4 8 S X R l b T 4 8 S X R l b U x v Y 2 F 0 a W 9 u P j x J d G V t V H l w Z T 5 G b 3 J t d W x h P C 9 J d G V t V H l w Z T 4 8 S X R l b V B h d G g + U 2 V j d G l v b j E v d G V t c D E v Q 2 h h b m d l Z C U y M F R 5 c G U 8 L 0 l 0 Z W 1 Q Y X R o P j w v S X R l b U x v Y 2 F 0 a W 9 u P j x T d G F i b G V F b n R y a W V z I C 8 + P C 9 J d G V t P j x J d G V t P j x J d G V t T G 9 j Y X R p b 2 4 + P E l 0 Z W 1 U e X B l P k Z v c m 1 1 b G E 8 L 0 l 0 Z W 1 U e X B l P j x J d G V t U G F 0 a D 5 T Z W N 0 a W 9 u M S 9 0 Z W 1 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5 M 2 F h M z k x L T R l N W M t N D Y 1 M S 0 4 N D Z j L T F l Z W J h Z T F m M j Q x Z S I g L z 4 8 R W 5 0 c n k g V H l w Z T 0 i Q n V m Z m V y T m V 4 d F J l Z n J l c 2 g i I F Z h b H V l P S J s M S I g L z 4 8 R W 5 0 c n k g V H l w Z T 0 i U m V z d W x 0 V H l w Z S I g V m F s d W U 9 I n N U Y W J s Z S I g L z 4 8 R W 5 0 c n k g V H l w Z T 0 i T m F t Z V V w Z G F 0 Z W R B Z n R l c k Z p b G w i I F Z h b H V l P S J s M C I g L z 4 8 R W 5 0 c n k g V H l w Z T 0 i R m l s b F R h c m d l d C I g V m F s d W U 9 I n N 0 Z W 1 w M 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T o x N S 4 3 O T k 3 N z k y 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I v Q X V 0 b 1 J l b W 9 2 Z W R D b 2 x 1 b W 5 z M S 5 7 Q 2 9 s d W 1 u M S w w f S Z x d W 9 0 O y w m c X V v d D t T Z W N 0 a W 9 u M S 9 0 Z W 1 w M i 9 B d X R v U m V t b 3 Z l Z E N v b H V t b n M x L n t D b 2 x 1 b W 4 y L D F 9 J n F 1 b 3 Q 7 L C Z x d W 9 0 O 1 N l Y 3 R p b 2 4 x L 3 R l b X A y L 0 F 1 d G 9 S Z W 1 v d m V k Q 2 9 s d W 1 u c z E u e 0 N v b H V t b j M s M n 0 m c X V v d D s s J n F 1 b 3 Q 7 U 2 V j d G l v b j E v d G V t c D I v Q X V 0 b 1 J l b W 9 2 Z W R D b 2 x 1 b W 5 z M S 5 7 Q 2 9 s d W 1 u N C w z f S Z x d W 9 0 O y w m c X V v d D t T Z W N 0 a W 9 u M S 9 0 Z W 1 w M i 9 B d X R v U m V t b 3 Z l Z E N v b H V t b n M x L n t D b 2 x 1 b W 4 1 L D R 9 J n F 1 b 3 Q 7 L C Z x d W 9 0 O 1 N l Y 3 R p b 2 4 x L 3 R l b X A y L 0 F 1 d G 9 S Z W 1 v d m V k Q 2 9 s d W 1 u c z E u e 0 N v b H V t b j Y s N X 0 m c X V v d D s s J n F 1 b 3 Q 7 U 2 V j d G l v b j E v d G V t c D I v Q X V 0 b 1 J l b W 9 2 Z W R D b 2 x 1 b W 5 z M S 5 7 Q 2 9 s d W 1 u N y w 2 f S Z x d W 9 0 O y w m c X V v d D t T Z W N 0 a W 9 u M S 9 0 Z W 1 w M i 9 B d X R v U m V t b 3 Z l Z E N v b H V t b n M x L n t D b 2 x 1 b W 4 4 L D d 9 J n F 1 b 3 Q 7 L C Z x d W 9 0 O 1 N l Y 3 R p b 2 4 x L 3 R l b X A y L 0 F 1 d G 9 S Z W 1 v d m V k Q 2 9 s d W 1 u c z E u e 0 N v b H V t b j k s O H 0 m c X V v d D s s J n F 1 b 3 Q 7 U 2 V j d G l v b j E v d G V t c D I v Q X V 0 b 1 J l b W 9 2 Z W R D b 2 x 1 b W 5 z M S 5 7 Q 2 9 s d W 1 u M T A s O X 0 m c X V v d D s s J n F 1 b 3 Q 7 U 2 V j d G l v b j E v d G V t c D I v Q X V 0 b 1 J l b W 9 2 Z W R D b 2 x 1 b W 5 z M S 5 7 Q 2 9 s d W 1 u M T E s M T B 9 J n F 1 b 3 Q 7 L C Z x d W 9 0 O 1 N l Y 3 R p b 2 4 x L 3 R l b X A y L 0 F 1 d G 9 S Z W 1 v d m V k Q 2 9 s d W 1 u c z E u e 0 N v b H V t b j E y L D E x f S Z x d W 9 0 O 1 0 s J n F 1 b 3 Q 7 Q 2 9 s d W 1 u Q 2 9 1 b n Q m c X V v d D s 6 M T I s J n F 1 b 3 Q 7 S 2 V 5 Q 2 9 s d W 1 u T m F t Z X M m c X V v d D s 6 W 1 0 s J n F 1 b 3 Q 7 Q 2 9 s d W 1 u S W R l b n R p d G l l c y Z x d W 9 0 O z p b J n F 1 b 3 Q 7 U 2 V j d G l v b j E v d G V t c D I v Q X V 0 b 1 J l b W 9 2 Z W R D b 2 x 1 b W 5 z M S 5 7 Q 2 9 s d W 1 u M S w w f S Z x d W 9 0 O y w m c X V v d D t T Z W N 0 a W 9 u M S 9 0 Z W 1 w M i 9 B d X R v U m V t b 3 Z l Z E N v b H V t b n M x L n t D b 2 x 1 b W 4 y L D F 9 J n F 1 b 3 Q 7 L C Z x d W 9 0 O 1 N l Y 3 R p b 2 4 x L 3 R l b X A y L 0 F 1 d G 9 S Z W 1 v d m V k Q 2 9 s d W 1 u c z E u e 0 N v b H V t b j M s M n 0 m c X V v d D s s J n F 1 b 3 Q 7 U 2 V j d G l v b j E v d G V t c D I v Q X V 0 b 1 J l b W 9 2 Z W R D b 2 x 1 b W 5 z M S 5 7 Q 2 9 s d W 1 u N C w z f S Z x d W 9 0 O y w m c X V v d D t T Z W N 0 a W 9 u M S 9 0 Z W 1 w M i 9 B d X R v U m V t b 3 Z l Z E N v b H V t b n M x L n t D b 2 x 1 b W 4 1 L D R 9 J n F 1 b 3 Q 7 L C Z x d W 9 0 O 1 N l Y 3 R p b 2 4 x L 3 R l b X A y L 0 F 1 d G 9 S Z W 1 v d m V k Q 2 9 s d W 1 u c z E u e 0 N v b H V t b j Y s N X 0 m c X V v d D s s J n F 1 b 3 Q 7 U 2 V j d G l v b j E v d G V t c D I v Q X V 0 b 1 J l b W 9 2 Z W R D b 2 x 1 b W 5 z M S 5 7 Q 2 9 s d W 1 u N y w 2 f S Z x d W 9 0 O y w m c X V v d D t T Z W N 0 a W 9 u M S 9 0 Z W 1 w M i 9 B d X R v U m V t b 3 Z l Z E N v b H V t b n M x L n t D b 2 x 1 b W 4 4 L D d 9 J n F 1 b 3 Q 7 L C Z x d W 9 0 O 1 N l Y 3 R p b 2 4 x L 3 R l b X A y L 0 F 1 d G 9 S Z W 1 v d m V k Q 2 9 s d W 1 u c z E u e 0 N v b H V t b j k s O H 0 m c X V v d D s s J n F 1 b 3 Q 7 U 2 V j d G l v b j E v d G V t c D I v Q X V 0 b 1 J l b W 9 2 Z W R D b 2 x 1 b W 5 z M S 5 7 Q 2 9 s d W 1 u M T A s O X 0 m c X V v d D s s J n F 1 b 3 Q 7 U 2 V j d G l v b j E v d G V t c D I v Q X V 0 b 1 J l b W 9 2 Z W R D b 2 x 1 b W 5 z M S 5 7 Q 2 9 s d W 1 u M T E s M T B 9 J n F 1 b 3 Q 7 L C Z x d W 9 0 O 1 N l Y 3 R p b 2 4 x L 3 R l b X A y L 0 F 1 d G 9 S Z W 1 v d m V k Q 2 9 s d W 1 u c z E u e 0 N v b H V t b j E y L D E x f S Z x d W 9 0 O 1 0 s J n F 1 b 3 Q 7 U m V s Y X R p b 2 5 z a G l w S W 5 m b y Z x d W 9 0 O z p b X X 0 i I C 8 + P C 9 T d G F i b G V F b n R y a W V z P j w v S X R l b T 4 8 S X R l b T 4 8 S X R l b U x v Y 2 F 0 a W 9 u P j x J d G V t V H l w Z T 5 G b 3 J t d W x h P C 9 J d G V t V H l w Z T 4 8 S X R l b V B h d G g + U 2 V j d G l v b j E v d G V t c D I v U 2 9 1 c m N l P C 9 J d G V t U G F 0 a D 4 8 L 0 l 0 Z W 1 M b 2 N h d G l v b j 4 8 U 3 R h Y m x l R W 5 0 c m l l c y A v P j w v S X R l b T 4 8 S X R l b T 4 8 S X R l b U x v Y 2 F 0 a W 9 u P j x J d G V t V H l w Z T 5 G b 3 J t d W x h P C 9 J d G V t V H l w Z T 4 8 S X R l b V B h d G g + U 2 V j d G l v b j E v d G V t c D I v Q 2 h h b m d l Z C U y M F R 5 c G U 8 L 0 l 0 Z W 1 Q Y X R o P j w v S X R l b U x v Y 2 F 0 a W 9 u P j x T d G F i b G V F b n R y a W V z I C 8 + P C 9 J d G V t P j x J d G V t P j x J d G V t T G 9 j Y X R p b 2 4 + P E l 0 Z W 1 U e X B l P k Z v c m 1 1 b G E 8 L 0 l 0 Z W 1 U e X B l P j x J d G V t U G F 0 a D 5 T Z W N 0 a W 9 u M S 9 0 Z W 1 w 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M 1 N T d j M D N i L T M x Z j c t N G Y 2 N C 0 4 O W V j L T R k M T Q 1 M G E 2 O D B m Y S I g L z 4 8 R W 5 0 c n k g V H l w Z T 0 i Q n V m Z m V y T m V 4 d F J l Z n J l c 2 g i I F Z h b H V l P S J s M S I g L z 4 8 R W 5 0 c n k g V H l w Z T 0 i U m V z d W x 0 V H l w Z S I g V m F s d W U 9 I n N U Y W J s Z S I g L z 4 8 R W 5 0 c n k g V H l w Z T 0 i T m F t Z V V w Z G F 0 Z W R B Z n R l c k Z p b G w i I F Z h b H V l P S J s M C I g L z 4 8 R W 5 0 c n k g V H l w Z T 0 i R m l s b F R h c m d l d C I g V m F s d W U 9 I n N 0 Z W 1 w M y 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T o y N i 4 5 O D k w O D I z 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M v Q X V 0 b 1 J l b W 9 2 Z W R D b 2 x 1 b W 5 z M S 5 7 Q 2 9 s d W 1 u M S w w f S Z x d W 9 0 O y w m c X V v d D t T Z W N 0 a W 9 u M S 9 0 Z W 1 w M y 9 B d X R v U m V t b 3 Z l Z E N v b H V t b n M x L n t D b 2 x 1 b W 4 y L D F 9 J n F 1 b 3 Q 7 L C Z x d W 9 0 O 1 N l Y 3 R p b 2 4 x L 3 R l b X A z L 0 F 1 d G 9 S Z W 1 v d m V k Q 2 9 s d W 1 u c z E u e 0 N v b H V t b j M s M n 0 m c X V v d D s s J n F 1 b 3 Q 7 U 2 V j d G l v b j E v d G V t c D M v Q X V 0 b 1 J l b W 9 2 Z W R D b 2 x 1 b W 5 z M S 5 7 Q 2 9 s d W 1 u N C w z f S Z x d W 9 0 O y w m c X V v d D t T Z W N 0 a W 9 u M S 9 0 Z W 1 w M y 9 B d X R v U m V t b 3 Z l Z E N v b H V t b n M x L n t D b 2 x 1 b W 4 1 L D R 9 J n F 1 b 3 Q 7 L C Z x d W 9 0 O 1 N l Y 3 R p b 2 4 x L 3 R l b X A z L 0 F 1 d G 9 S Z W 1 v d m V k Q 2 9 s d W 1 u c z E u e 0 N v b H V t b j Y s N X 0 m c X V v d D s s J n F 1 b 3 Q 7 U 2 V j d G l v b j E v d G V t c D M v Q X V 0 b 1 J l b W 9 2 Z W R D b 2 x 1 b W 5 z M S 5 7 Q 2 9 s d W 1 u N y w 2 f S Z x d W 9 0 O y w m c X V v d D t T Z W N 0 a W 9 u M S 9 0 Z W 1 w M y 9 B d X R v U m V t b 3 Z l Z E N v b H V t b n M x L n t D b 2 x 1 b W 4 4 L D d 9 J n F 1 b 3 Q 7 L C Z x d W 9 0 O 1 N l Y 3 R p b 2 4 x L 3 R l b X A z L 0 F 1 d G 9 S Z W 1 v d m V k Q 2 9 s d W 1 u c z E u e 0 N v b H V t b j k s O H 0 m c X V v d D s s J n F 1 b 3 Q 7 U 2 V j d G l v b j E v d G V t c D M v Q X V 0 b 1 J l b W 9 2 Z W R D b 2 x 1 b W 5 z M S 5 7 Q 2 9 s d W 1 u M T A s O X 0 m c X V v d D s s J n F 1 b 3 Q 7 U 2 V j d G l v b j E v d G V t c D M v Q X V 0 b 1 J l b W 9 2 Z W R D b 2 x 1 b W 5 z M S 5 7 Q 2 9 s d W 1 u M T E s M T B 9 J n F 1 b 3 Q 7 L C Z x d W 9 0 O 1 N l Y 3 R p b 2 4 x L 3 R l b X A z L 0 F 1 d G 9 S Z W 1 v d m V k Q 2 9 s d W 1 u c z E u e 0 N v b H V t b j E y L D E x f S Z x d W 9 0 O 1 0 s J n F 1 b 3 Q 7 Q 2 9 s d W 1 u Q 2 9 1 b n Q m c X V v d D s 6 M T I s J n F 1 b 3 Q 7 S 2 V 5 Q 2 9 s d W 1 u T m F t Z X M m c X V v d D s 6 W 1 0 s J n F 1 b 3 Q 7 Q 2 9 s d W 1 u S W R l b n R p d G l l c y Z x d W 9 0 O z p b J n F 1 b 3 Q 7 U 2 V j d G l v b j E v d G V t c D M v Q X V 0 b 1 J l b W 9 2 Z W R D b 2 x 1 b W 5 z M S 5 7 Q 2 9 s d W 1 u M S w w f S Z x d W 9 0 O y w m c X V v d D t T Z W N 0 a W 9 u M S 9 0 Z W 1 w M y 9 B d X R v U m V t b 3 Z l Z E N v b H V t b n M x L n t D b 2 x 1 b W 4 y L D F 9 J n F 1 b 3 Q 7 L C Z x d W 9 0 O 1 N l Y 3 R p b 2 4 x L 3 R l b X A z L 0 F 1 d G 9 S Z W 1 v d m V k Q 2 9 s d W 1 u c z E u e 0 N v b H V t b j M s M n 0 m c X V v d D s s J n F 1 b 3 Q 7 U 2 V j d G l v b j E v d G V t c D M v Q X V 0 b 1 J l b W 9 2 Z W R D b 2 x 1 b W 5 z M S 5 7 Q 2 9 s d W 1 u N C w z f S Z x d W 9 0 O y w m c X V v d D t T Z W N 0 a W 9 u M S 9 0 Z W 1 w M y 9 B d X R v U m V t b 3 Z l Z E N v b H V t b n M x L n t D b 2 x 1 b W 4 1 L D R 9 J n F 1 b 3 Q 7 L C Z x d W 9 0 O 1 N l Y 3 R p b 2 4 x L 3 R l b X A z L 0 F 1 d G 9 S Z W 1 v d m V k Q 2 9 s d W 1 u c z E u e 0 N v b H V t b j Y s N X 0 m c X V v d D s s J n F 1 b 3 Q 7 U 2 V j d G l v b j E v d G V t c D M v Q X V 0 b 1 J l b W 9 2 Z W R D b 2 x 1 b W 5 z M S 5 7 Q 2 9 s d W 1 u N y w 2 f S Z x d W 9 0 O y w m c X V v d D t T Z W N 0 a W 9 u M S 9 0 Z W 1 w M y 9 B d X R v U m V t b 3 Z l Z E N v b H V t b n M x L n t D b 2 x 1 b W 4 4 L D d 9 J n F 1 b 3 Q 7 L C Z x d W 9 0 O 1 N l Y 3 R p b 2 4 x L 3 R l b X A z L 0 F 1 d G 9 S Z W 1 v d m V k Q 2 9 s d W 1 u c z E u e 0 N v b H V t b j k s O H 0 m c X V v d D s s J n F 1 b 3 Q 7 U 2 V j d G l v b j E v d G V t c D M v Q X V 0 b 1 J l b W 9 2 Z W R D b 2 x 1 b W 5 z M S 5 7 Q 2 9 s d W 1 u M T A s O X 0 m c X V v d D s s J n F 1 b 3 Q 7 U 2 V j d G l v b j E v d G V t c D M v Q X V 0 b 1 J l b W 9 2 Z W R D b 2 x 1 b W 5 z M S 5 7 Q 2 9 s d W 1 u M T E s M T B 9 J n F 1 b 3 Q 7 L C Z x d W 9 0 O 1 N l Y 3 R p b 2 4 x L 3 R l b X A z L 0 F 1 d G 9 S Z W 1 v d m V k Q 2 9 s d W 1 u c z E u e 0 N v b H V t b j E y L D E x f S Z x d W 9 0 O 1 0 s J n F 1 b 3 Q 7 U m V s Y X R p b 2 5 z a G l w S W 5 m b y Z x d W 9 0 O z p b X X 0 i I C 8 + P C 9 T d G F i b G V F b n R y a W V z P j w v S X R l b T 4 8 S X R l b T 4 8 S X R l b U x v Y 2 F 0 a W 9 u P j x J d G V t V H l w Z T 5 G b 3 J t d W x h P C 9 J d G V t V H l w Z T 4 8 S X R l b V B h d G g + U 2 V j d G l v b j E v d G V t c D M v U 2 9 1 c m N l P C 9 J d G V t U G F 0 a D 4 8 L 0 l 0 Z W 1 M b 2 N h d G l v b j 4 8 U 3 R h Y m x l R W 5 0 c m l l c y A v P j w v S X R l b T 4 8 S X R l b T 4 8 S X R l b U x v Y 2 F 0 a W 9 u P j x J d G V t V H l w Z T 5 G b 3 J t d W x h P C 9 J d G V t V H l w Z T 4 8 S X R l b V B h d G g + U 2 V j d G l v b j E v d G V t c D M v Q 2 h h b m d l Z C U y M F R 5 c G U 8 L 0 l 0 Z W 1 Q Y X R o P j w v S X R l b U x v Y 2 F 0 a W 9 u P j x T d G F i b G V F b n R y a W V z I C 8 + P C 9 J d G V t P j x J d G V t P j x J d G V t T G 9 j Y X R p b 2 4 + P E l 0 Z W 1 U e X B l P k Z v c m 1 1 b G E 8 L 0 l 0 Z W 1 U e X B l P j x J d G V t U G F 0 a D 5 T Z W N 0 a W 9 u M S 9 0 Z W 1 w 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Z i M D d k N z Z i L T Y 1 N m M t N G M 1 N i 0 4 Z D Z l L T R h N j d m N T k y N z A y M y I g L z 4 8 R W 5 0 c n k g V H l w Z T 0 i Q n V m Z m V y T m V 4 d F J l Z n J l c 2 g i I F Z h b H V l P S J s M S I g L z 4 8 R W 5 0 c n k g V H l w Z T 0 i U m V z d W x 0 V H l w Z S I g V m F s d W U 9 I n N U Y W J s Z S I g L z 4 8 R W 5 0 c n k g V H l w Z T 0 i T m F t Z V V w Z G F 0 Z W R B Z n R l c k Z p b G w i I F Z h b H V l P S J s M C I g L z 4 8 R W 5 0 c n k g V H l w Z T 0 i R m l s b F R h c m d l d C I g V m F s d W U 9 I n N 0 Z W 1 w N 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T o z N C 4 z M D A y M z U 5 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Q v Q X V 0 b 1 J l b W 9 2 Z W R D b 2 x 1 b W 5 z M S 5 7 Q 2 9 s d W 1 u M S w w f S Z x d W 9 0 O y w m c X V v d D t T Z W N 0 a W 9 u M S 9 0 Z W 1 w N C 9 B d X R v U m V t b 3 Z l Z E N v b H V t b n M x L n t D b 2 x 1 b W 4 y L D F 9 J n F 1 b 3 Q 7 L C Z x d W 9 0 O 1 N l Y 3 R p b 2 4 x L 3 R l b X A 0 L 0 F 1 d G 9 S Z W 1 v d m V k Q 2 9 s d W 1 u c z E u e 0 N v b H V t b j M s M n 0 m c X V v d D s s J n F 1 b 3 Q 7 U 2 V j d G l v b j E v d G V t c D Q v Q X V 0 b 1 J l b W 9 2 Z W R D b 2 x 1 b W 5 z M S 5 7 Q 2 9 s d W 1 u N C w z f S Z x d W 9 0 O y w m c X V v d D t T Z W N 0 a W 9 u M S 9 0 Z W 1 w N C 9 B d X R v U m V t b 3 Z l Z E N v b H V t b n M x L n t D b 2 x 1 b W 4 1 L D R 9 J n F 1 b 3 Q 7 L C Z x d W 9 0 O 1 N l Y 3 R p b 2 4 x L 3 R l b X A 0 L 0 F 1 d G 9 S Z W 1 v d m V k Q 2 9 s d W 1 u c z E u e 0 N v b H V t b j Y s N X 0 m c X V v d D s s J n F 1 b 3 Q 7 U 2 V j d G l v b j E v d G V t c D Q v Q X V 0 b 1 J l b W 9 2 Z W R D b 2 x 1 b W 5 z M S 5 7 Q 2 9 s d W 1 u N y w 2 f S Z x d W 9 0 O y w m c X V v d D t T Z W N 0 a W 9 u M S 9 0 Z W 1 w N C 9 B d X R v U m V t b 3 Z l Z E N v b H V t b n M x L n t D b 2 x 1 b W 4 4 L D d 9 J n F 1 b 3 Q 7 L C Z x d W 9 0 O 1 N l Y 3 R p b 2 4 x L 3 R l b X A 0 L 0 F 1 d G 9 S Z W 1 v d m V k Q 2 9 s d W 1 u c z E u e 0 N v b H V t b j k s O H 0 m c X V v d D s s J n F 1 b 3 Q 7 U 2 V j d G l v b j E v d G V t c D Q v Q X V 0 b 1 J l b W 9 2 Z W R D b 2 x 1 b W 5 z M S 5 7 Q 2 9 s d W 1 u M T A s O X 0 m c X V v d D s s J n F 1 b 3 Q 7 U 2 V j d G l v b j E v d G V t c D Q v Q X V 0 b 1 J l b W 9 2 Z W R D b 2 x 1 b W 5 z M S 5 7 Q 2 9 s d W 1 u M T E s M T B 9 J n F 1 b 3 Q 7 L C Z x d W 9 0 O 1 N l Y 3 R p b 2 4 x L 3 R l b X A 0 L 0 F 1 d G 9 S Z W 1 v d m V k Q 2 9 s d W 1 u c z E u e 0 N v b H V t b j E y L D E x f S Z x d W 9 0 O 1 0 s J n F 1 b 3 Q 7 Q 2 9 s d W 1 u Q 2 9 1 b n Q m c X V v d D s 6 M T I s J n F 1 b 3 Q 7 S 2 V 5 Q 2 9 s d W 1 u T m F t Z X M m c X V v d D s 6 W 1 0 s J n F 1 b 3 Q 7 Q 2 9 s d W 1 u S W R l b n R p d G l l c y Z x d W 9 0 O z p b J n F 1 b 3 Q 7 U 2 V j d G l v b j E v d G V t c D Q v Q X V 0 b 1 J l b W 9 2 Z W R D b 2 x 1 b W 5 z M S 5 7 Q 2 9 s d W 1 u M S w w f S Z x d W 9 0 O y w m c X V v d D t T Z W N 0 a W 9 u M S 9 0 Z W 1 w N C 9 B d X R v U m V t b 3 Z l Z E N v b H V t b n M x L n t D b 2 x 1 b W 4 y L D F 9 J n F 1 b 3 Q 7 L C Z x d W 9 0 O 1 N l Y 3 R p b 2 4 x L 3 R l b X A 0 L 0 F 1 d G 9 S Z W 1 v d m V k Q 2 9 s d W 1 u c z E u e 0 N v b H V t b j M s M n 0 m c X V v d D s s J n F 1 b 3 Q 7 U 2 V j d G l v b j E v d G V t c D Q v Q X V 0 b 1 J l b W 9 2 Z W R D b 2 x 1 b W 5 z M S 5 7 Q 2 9 s d W 1 u N C w z f S Z x d W 9 0 O y w m c X V v d D t T Z W N 0 a W 9 u M S 9 0 Z W 1 w N C 9 B d X R v U m V t b 3 Z l Z E N v b H V t b n M x L n t D b 2 x 1 b W 4 1 L D R 9 J n F 1 b 3 Q 7 L C Z x d W 9 0 O 1 N l Y 3 R p b 2 4 x L 3 R l b X A 0 L 0 F 1 d G 9 S Z W 1 v d m V k Q 2 9 s d W 1 u c z E u e 0 N v b H V t b j Y s N X 0 m c X V v d D s s J n F 1 b 3 Q 7 U 2 V j d G l v b j E v d G V t c D Q v Q X V 0 b 1 J l b W 9 2 Z W R D b 2 x 1 b W 5 z M S 5 7 Q 2 9 s d W 1 u N y w 2 f S Z x d W 9 0 O y w m c X V v d D t T Z W N 0 a W 9 u M S 9 0 Z W 1 w N C 9 B d X R v U m V t b 3 Z l Z E N v b H V t b n M x L n t D b 2 x 1 b W 4 4 L D d 9 J n F 1 b 3 Q 7 L C Z x d W 9 0 O 1 N l Y 3 R p b 2 4 x L 3 R l b X A 0 L 0 F 1 d G 9 S Z W 1 v d m V k Q 2 9 s d W 1 u c z E u e 0 N v b H V t b j k s O H 0 m c X V v d D s s J n F 1 b 3 Q 7 U 2 V j d G l v b j E v d G V t c D Q v Q X V 0 b 1 J l b W 9 2 Z W R D b 2 x 1 b W 5 z M S 5 7 Q 2 9 s d W 1 u M T A s O X 0 m c X V v d D s s J n F 1 b 3 Q 7 U 2 V j d G l v b j E v d G V t c D Q v Q X V 0 b 1 J l b W 9 2 Z W R D b 2 x 1 b W 5 z M S 5 7 Q 2 9 s d W 1 u M T E s M T B 9 J n F 1 b 3 Q 7 L C Z x d W 9 0 O 1 N l Y 3 R p b 2 4 x L 3 R l b X A 0 L 0 F 1 d G 9 S Z W 1 v d m V k Q 2 9 s d W 1 u c z E u e 0 N v b H V t b j E y L D E x f S Z x d W 9 0 O 1 0 s J n F 1 b 3 Q 7 U m V s Y X R p b 2 5 z a G l w S W 5 m b y Z x d W 9 0 O z p b X X 0 i I C 8 + P C 9 T d G F i b G V F b n R y a W V z P j w v S X R l b T 4 8 S X R l b T 4 8 S X R l b U x v Y 2 F 0 a W 9 u P j x J d G V t V H l w Z T 5 G b 3 J t d W x h P C 9 J d G V t V H l w Z T 4 8 S X R l b V B h d G g + U 2 V j d G l v b j E v d G V t c D Q v U 2 9 1 c m N l P C 9 J d G V t U G F 0 a D 4 8 L 0 l 0 Z W 1 M b 2 N h d G l v b j 4 8 U 3 R h Y m x l R W 5 0 c m l l c y A v P j w v S X R l b T 4 8 S X R l b T 4 8 S X R l b U x v Y 2 F 0 a W 9 u P j x J d G V t V H l w Z T 5 G b 3 J t d W x h P C 9 J d G V t V H l w Z T 4 8 S X R l b V B h d G g + U 2 V j d G l v b j E v d G V t c D Q v Q 2 h h b m d l Z C U y M F R 5 c G U 8 L 0 l 0 Z W 1 Q Y X R o P j w v S X R l b U x v Y 2 F 0 a W 9 u P j x T d G F i b G V F b n R y a W V z I C 8 + P C 9 J d G V t P j x J d G V t P j x J d G V t T G 9 j Y X R p b 2 4 + P E l 0 Z W 1 U e X B l P k Z v c m 1 1 b G E 8 L 0 l 0 Z W 1 U e X B l P j x J d G V t U G F 0 a D 5 T Z W N 0 a W 9 u M S 9 0 Z W 1 w 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1 M m U 1 O G M z L W M 3 Y 2 E t N D A 4 O S 1 h O G E 1 L W I w M z h l Y T R m Y m E 2 N i I g L z 4 8 R W 5 0 c n k g V H l w Z T 0 i Q n V m Z m V y T m V 4 d F J l Z n J l c 2 g i I F Z h b H V l P S J s M S I g L z 4 8 R W 5 0 c n k g V H l w Z T 0 i U m V z d W x 0 V H l w Z S I g V m F s d W U 9 I n N U Y W J s Z S I g L z 4 8 R W 5 0 c n k g V H l w Z T 0 i T m F t Z V V w Z G F 0 Z W R B Z n R l c k Z p b G w i I F Z h b H V l P S J s M C I g L z 4 8 R W 5 0 c n k g V H l w Z T 0 i R m l s b F R h c m d l d C I g V m F s d W U 9 I n N 0 Z W 1 w N 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T o 0 M S 4 4 O D E 2 M T c 2 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U v Q X V 0 b 1 J l b W 9 2 Z W R D b 2 x 1 b W 5 z M S 5 7 Q 2 9 s d W 1 u M S w w f S Z x d W 9 0 O y w m c X V v d D t T Z W N 0 a W 9 u M S 9 0 Z W 1 w N S 9 B d X R v U m V t b 3 Z l Z E N v b H V t b n M x L n t D b 2 x 1 b W 4 y L D F 9 J n F 1 b 3 Q 7 L C Z x d W 9 0 O 1 N l Y 3 R p b 2 4 x L 3 R l b X A 1 L 0 F 1 d G 9 S Z W 1 v d m V k Q 2 9 s d W 1 u c z E u e 0 N v b H V t b j M s M n 0 m c X V v d D s s J n F 1 b 3 Q 7 U 2 V j d G l v b j E v d G V t c D U v Q X V 0 b 1 J l b W 9 2 Z W R D b 2 x 1 b W 5 z M S 5 7 Q 2 9 s d W 1 u N C w z f S Z x d W 9 0 O y w m c X V v d D t T Z W N 0 a W 9 u M S 9 0 Z W 1 w N S 9 B d X R v U m V t b 3 Z l Z E N v b H V t b n M x L n t D b 2 x 1 b W 4 1 L D R 9 J n F 1 b 3 Q 7 L C Z x d W 9 0 O 1 N l Y 3 R p b 2 4 x L 3 R l b X A 1 L 0 F 1 d G 9 S Z W 1 v d m V k Q 2 9 s d W 1 u c z E u e 0 N v b H V t b j Y s N X 0 m c X V v d D s s J n F 1 b 3 Q 7 U 2 V j d G l v b j E v d G V t c D U v Q X V 0 b 1 J l b W 9 2 Z W R D b 2 x 1 b W 5 z M S 5 7 Q 2 9 s d W 1 u N y w 2 f S Z x d W 9 0 O y w m c X V v d D t T Z W N 0 a W 9 u M S 9 0 Z W 1 w N S 9 B d X R v U m V t b 3 Z l Z E N v b H V t b n M x L n t D b 2 x 1 b W 4 4 L D d 9 J n F 1 b 3 Q 7 L C Z x d W 9 0 O 1 N l Y 3 R p b 2 4 x L 3 R l b X A 1 L 0 F 1 d G 9 S Z W 1 v d m V k Q 2 9 s d W 1 u c z E u e 0 N v b H V t b j k s O H 0 m c X V v d D s s J n F 1 b 3 Q 7 U 2 V j d G l v b j E v d G V t c D U v Q X V 0 b 1 J l b W 9 2 Z W R D b 2 x 1 b W 5 z M S 5 7 Q 2 9 s d W 1 u M T A s O X 0 m c X V v d D s s J n F 1 b 3 Q 7 U 2 V j d G l v b j E v d G V t c D U v Q X V 0 b 1 J l b W 9 2 Z W R D b 2 x 1 b W 5 z M S 5 7 Q 2 9 s d W 1 u M T E s M T B 9 J n F 1 b 3 Q 7 L C Z x d W 9 0 O 1 N l Y 3 R p b 2 4 x L 3 R l b X A 1 L 0 F 1 d G 9 S Z W 1 v d m V k Q 2 9 s d W 1 u c z E u e 0 N v b H V t b j E y L D E x f S Z x d W 9 0 O 1 0 s J n F 1 b 3 Q 7 Q 2 9 s d W 1 u Q 2 9 1 b n Q m c X V v d D s 6 M T I s J n F 1 b 3 Q 7 S 2 V 5 Q 2 9 s d W 1 u T m F t Z X M m c X V v d D s 6 W 1 0 s J n F 1 b 3 Q 7 Q 2 9 s d W 1 u S W R l b n R p d G l l c y Z x d W 9 0 O z p b J n F 1 b 3 Q 7 U 2 V j d G l v b j E v d G V t c D U v Q X V 0 b 1 J l b W 9 2 Z W R D b 2 x 1 b W 5 z M S 5 7 Q 2 9 s d W 1 u M S w w f S Z x d W 9 0 O y w m c X V v d D t T Z W N 0 a W 9 u M S 9 0 Z W 1 w N S 9 B d X R v U m V t b 3 Z l Z E N v b H V t b n M x L n t D b 2 x 1 b W 4 y L D F 9 J n F 1 b 3 Q 7 L C Z x d W 9 0 O 1 N l Y 3 R p b 2 4 x L 3 R l b X A 1 L 0 F 1 d G 9 S Z W 1 v d m V k Q 2 9 s d W 1 u c z E u e 0 N v b H V t b j M s M n 0 m c X V v d D s s J n F 1 b 3 Q 7 U 2 V j d G l v b j E v d G V t c D U v Q X V 0 b 1 J l b W 9 2 Z W R D b 2 x 1 b W 5 z M S 5 7 Q 2 9 s d W 1 u N C w z f S Z x d W 9 0 O y w m c X V v d D t T Z W N 0 a W 9 u M S 9 0 Z W 1 w N S 9 B d X R v U m V t b 3 Z l Z E N v b H V t b n M x L n t D b 2 x 1 b W 4 1 L D R 9 J n F 1 b 3 Q 7 L C Z x d W 9 0 O 1 N l Y 3 R p b 2 4 x L 3 R l b X A 1 L 0 F 1 d G 9 S Z W 1 v d m V k Q 2 9 s d W 1 u c z E u e 0 N v b H V t b j Y s N X 0 m c X V v d D s s J n F 1 b 3 Q 7 U 2 V j d G l v b j E v d G V t c D U v Q X V 0 b 1 J l b W 9 2 Z W R D b 2 x 1 b W 5 z M S 5 7 Q 2 9 s d W 1 u N y w 2 f S Z x d W 9 0 O y w m c X V v d D t T Z W N 0 a W 9 u M S 9 0 Z W 1 w N S 9 B d X R v U m V t b 3 Z l Z E N v b H V t b n M x L n t D b 2 x 1 b W 4 4 L D d 9 J n F 1 b 3 Q 7 L C Z x d W 9 0 O 1 N l Y 3 R p b 2 4 x L 3 R l b X A 1 L 0 F 1 d G 9 S Z W 1 v d m V k Q 2 9 s d W 1 u c z E u e 0 N v b H V t b j k s O H 0 m c X V v d D s s J n F 1 b 3 Q 7 U 2 V j d G l v b j E v d G V t c D U v Q X V 0 b 1 J l b W 9 2 Z W R D b 2 x 1 b W 5 z M S 5 7 Q 2 9 s d W 1 u M T A s O X 0 m c X V v d D s s J n F 1 b 3 Q 7 U 2 V j d G l v b j E v d G V t c D U v Q X V 0 b 1 J l b W 9 2 Z W R D b 2 x 1 b W 5 z M S 5 7 Q 2 9 s d W 1 u M T E s M T B 9 J n F 1 b 3 Q 7 L C Z x d W 9 0 O 1 N l Y 3 R p b 2 4 x L 3 R l b X A 1 L 0 F 1 d G 9 S Z W 1 v d m V k Q 2 9 s d W 1 u c z E u e 0 N v b H V t b j E y L D E x f S Z x d W 9 0 O 1 0 s J n F 1 b 3 Q 7 U m V s Y X R p b 2 5 z a G l w S W 5 m b y Z x d W 9 0 O z p b X X 0 i I C 8 + P C 9 T d G F i b G V F b n R y a W V z P j w v S X R l b T 4 8 S X R l b T 4 8 S X R l b U x v Y 2 F 0 a W 9 u P j x J d G V t V H l w Z T 5 G b 3 J t d W x h P C 9 J d G V t V H l w Z T 4 8 S X R l b V B h d G g + U 2 V j d G l v b j E v d G V t c D U v U 2 9 1 c m N l P C 9 J d G V t U G F 0 a D 4 8 L 0 l 0 Z W 1 M b 2 N h d G l v b j 4 8 U 3 R h Y m x l R W 5 0 c m l l c y A v P j w v S X R l b T 4 8 S X R l b T 4 8 S X R l b U x v Y 2 F 0 a W 9 u P j x J d G V t V H l w Z T 5 G b 3 J t d W x h P C 9 J d G V t V H l w Z T 4 8 S X R l b V B h d G g + U 2 V j d G l v b j E v d G V t c D U v Q 2 h h b m d l Z C U y M F R 5 c G U 8 L 0 l 0 Z W 1 Q Y X R o P j w v S X R l b U x v Y 2 F 0 a W 9 u P j x T d G F i b G V F b n R y a W V z I C 8 + P C 9 J d G V t P j x J d G V t P j x J d G V t T G 9 j Y X R p b 2 4 + P E l 0 Z W 1 U e X B l P k Z v c m 1 1 b G E 8 L 0 l 0 Z W 1 U e X B l P j x J d G V t U G F 0 a D 5 T Z W N 0 a W 9 u M S 9 0 Z W 1 w 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1 O G M 2 N D k x L W E 1 Y W U t N D g 2 Z i 0 5 N j g x L T N i Z D k 4 M D I x Z T U 1 Z i I g L z 4 8 R W 5 0 c n k g V H l w Z T 0 i Q n V m Z m V y T m V 4 d F J l Z n J l c 2 g i I F Z h b H V l P S J s M S I g L z 4 8 R W 5 0 c n k g V H l w Z T 0 i U m V z d W x 0 V H l w Z S I g V m F s d W U 9 I n N U Y W J s Z S I g L z 4 8 R W 5 0 c n k g V H l w Z T 0 i T m F t Z V V w Z G F 0 Z W R B Z n R l c k Z p b G w i I F Z h b H V l P S J s M C I g L z 4 8 R W 5 0 c n k g V H l w Z T 0 i R m l s b F R h c m d l d C I g V m F s d W U 9 I n N 0 Z W 1 w N 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T o 0 O S 4 y N z M 3 M D g z 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Y v Q X V 0 b 1 J l b W 9 2 Z W R D b 2 x 1 b W 5 z M S 5 7 Q 2 9 s d W 1 u M S w w f S Z x d W 9 0 O y w m c X V v d D t T Z W N 0 a W 9 u M S 9 0 Z W 1 w N i 9 B d X R v U m V t b 3 Z l Z E N v b H V t b n M x L n t D b 2 x 1 b W 4 y L D F 9 J n F 1 b 3 Q 7 L C Z x d W 9 0 O 1 N l Y 3 R p b 2 4 x L 3 R l b X A 2 L 0 F 1 d G 9 S Z W 1 v d m V k Q 2 9 s d W 1 u c z E u e 0 N v b H V t b j M s M n 0 m c X V v d D s s J n F 1 b 3 Q 7 U 2 V j d G l v b j E v d G V t c D Y v Q X V 0 b 1 J l b W 9 2 Z W R D b 2 x 1 b W 5 z M S 5 7 Q 2 9 s d W 1 u N C w z f S Z x d W 9 0 O y w m c X V v d D t T Z W N 0 a W 9 u M S 9 0 Z W 1 w N i 9 B d X R v U m V t b 3 Z l Z E N v b H V t b n M x L n t D b 2 x 1 b W 4 1 L D R 9 J n F 1 b 3 Q 7 L C Z x d W 9 0 O 1 N l Y 3 R p b 2 4 x L 3 R l b X A 2 L 0 F 1 d G 9 S Z W 1 v d m V k Q 2 9 s d W 1 u c z E u e 0 N v b H V t b j Y s N X 0 m c X V v d D s s J n F 1 b 3 Q 7 U 2 V j d G l v b j E v d G V t c D Y v Q X V 0 b 1 J l b W 9 2 Z W R D b 2 x 1 b W 5 z M S 5 7 Q 2 9 s d W 1 u N y w 2 f S Z x d W 9 0 O y w m c X V v d D t T Z W N 0 a W 9 u M S 9 0 Z W 1 w N i 9 B d X R v U m V t b 3 Z l Z E N v b H V t b n M x L n t D b 2 x 1 b W 4 4 L D d 9 J n F 1 b 3 Q 7 L C Z x d W 9 0 O 1 N l Y 3 R p b 2 4 x L 3 R l b X A 2 L 0 F 1 d G 9 S Z W 1 v d m V k Q 2 9 s d W 1 u c z E u e 0 N v b H V t b j k s O H 0 m c X V v d D s s J n F 1 b 3 Q 7 U 2 V j d G l v b j E v d G V t c D Y v Q X V 0 b 1 J l b W 9 2 Z W R D b 2 x 1 b W 5 z M S 5 7 Q 2 9 s d W 1 u M T A s O X 0 m c X V v d D s s J n F 1 b 3 Q 7 U 2 V j d G l v b j E v d G V t c D Y v Q X V 0 b 1 J l b W 9 2 Z W R D b 2 x 1 b W 5 z M S 5 7 Q 2 9 s d W 1 u M T E s M T B 9 J n F 1 b 3 Q 7 L C Z x d W 9 0 O 1 N l Y 3 R p b 2 4 x L 3 R l b X A 2 L 0 F 1 d G 9 S Z W 1 v d m V k Q 2 9 s d W 1 u c z E u e 0 N v b H V t b j E y L D E x f S Z x d W 9 0 O 1 0 s J n F 1 b 3 Q 7 Q 2 9 s d W 1 u Q 2 9 1 b n Q m c X V v d D s 6 M T I s J n F 1 b 3 Q 7 S 2 V 5 Q 2 9 s d W 1 u T m F t Z X M m c X V v d D s 6 W 1 0 s J n F 1 b 3 Q 7 Q 2 9 s d W 1 u S W R l b n R p d G l l c y Z x d W 9 0 O z p b J n F 1 b 3 Q 7 U 2 V j d G l v b j E v d G V t c D Y v Q X V 0 b 1 J l b W 9 2 Z W R D b 2 x 1 b W 5 z M S 5 7 Q 2 9 s d W 1 u M S w w f S Z x d W 9 0 O y w m c X V v d D t T Z W N 0 a W 9 u M S 9 0 Z W 1 w N i 9 B d X R v U m V t b 3 Z l Z E N v b H V t b n M x L n t D b 2 x 1 b W 4 y L D F 9 J n F 1 b 3 Q 7 L C Z x d W 9 0 O 1 N l Y 3 R p b 2 4 x L 3 R l b X A 2 L 0 F 1 d G 9 S Z W 1 v d m V k Q 2 9 s d W 1 u c z E u e 0 N v b H V t b j M s M n 0 m c X V v d D s s J n F 1 b 3 Q 7 U 2 V j d G l v b j E v d G V t c D Y v Q X V 0 b 1 J l b W 9 2 Z W R D b 2 x 1 b W 5 z M S 5 7 Q 2 9 s d W 1 u N C w z f S Z x d W 9 0 O y w m c X V v d D t T Z W N 0 a W 9 u M S 9 0 Z W 1 w N i 9 B d X R v U m V t b 3 Z l Z E N v b H V t b n M x L n t D b 2 x 1 b W 4 1 L D R 9 J n F 1 b 3 Q 7 L C Z x d W 9 0 O 1 N l Y 3 R p b 2 4 x L 3 R l b X A 2 L 0 F 1 d G 9 S Z W 1 v d m V k Q 2 9 s d W 1 u c z E u e 0 N v b H V t b j Y s N X 0 m c X V v d D s s J n F 1 b 3 Q 7 U 2 V j d G l v b j E v d G V t c D Y v Q X V 0 b 1 J l b W 9 2 Z W R D b 2 x 1 b W 5 z M S 5 7 Q 2 9 s d W 1 u N y w 2 f S Z x d W 9 0 O y w m c X V v d D t T Z W N 0 a W 9 u M S 9 0 Z W 1 w N i 9 B d X R v U m V t b 3 Z l Z E N v b H V t b n M x L n t D b 2 x 1 b W 4 4 L D d 9 J n F 1 b 3 Q 7 L C Z x d W 9 0 O 1 N l Y 3 R p b 2 4 x L 3 R l b X A 2 L 0 F 1 d G 9 S Z W 1 v d m V k Q 2 9 s d W 1 u c z E u e 0 N v b H V t b j k s O H 0 m c X V v d D s s J n F 1 b 3 Q 7 U 2 V j d G l v b j E v d G V t c D Y v Q X V 0 b 1 J l b W 9 2 Z W R D b 2 x 1 b W 5 z M S 5 7 Q 2 9 s d W 1 u M T A s O X 0 m c X V v d D s s J n F 1 b 3 Q 7 U 2 V j d G l v b j E v d G V t c D Y v Q X V 0 b 1 J l b W 9 2 Z W R D b 2 x 1 b W 5 z M S 5 7 Q 2 9 s d W 1 u M T E s M T B 9 J n F 1 b 3 Q 7 L C Z x d W 9 0 O 1 N l Y 3 R p b 2 4 x L 3 R l b X A 2 L 0 F 1 d G 9 S Z W 1 v d m V k Q 2 9 s d W 1 u c z E u e 0 N v b H V t b j E y L D E x f S Z x d W 9 0 O 1 0 s J n F 1 b 3 Q 7 U m V s Y X R p b 2 5 z a G l w S W 5 m b y Z x d W 9 0 O z p b X X 0 i I C 8 + P C 9 T d G F i b G V F b n R y a W V z P j w v S X R l b T 4 8 S X R l b T 4 8 S X R l b U x v Y 2 F 0 a W 9 u P j x J d G V t V H l w Z T 5 G b 3 J t d W x h P C 9 J d G V t V H l w Z T 4 8 S X R l b V B h d G g + U 2 V j d G l v b j E v d G V t c D Y v U 2 9 1 c m N l P C 9 J d G V t U G F 0 a D 4 8 L 0 l 0 Z W 1 M b 2 N h d G l v b j 4 8 U 3 R h Y m x l R W 5 0 c m l l c y A v P j w v S X R l b T 4 8 S X R l b T 4 8 S X R l b U x v Y 2 F 0 a W 9 u P j x J d G V t V H l w Z T 5 G b 3 J t d W x h P C 9 J d G V t V H l w Z T 4 8 S X R l b V B h d G g + U 2 V j d G l v b j E v d G V t c D Y v Q 2 h h b m d l Z C U y M F R 5 c G U 8 L 0 l 0 Z W 1 Q Y X R o P j w v S X R l b U x v Y 2 F 0 a W 9 u P j x T d G F i b G V F b n R y a W V z I C 8 + P C 9 J d G V t P j x J d G V t P j x J d G V t T G 9 j Y X R p b 2 4 + P E l 0 Z W 1 U e X B l P k Z v c m 1 1 b G E 8 L 0 l 0 Z W 1 U e X B l P j x J d G V t U G F 0 a D 5 T Z W N 0 a W 9 u M S 9 0 Z W 1 w 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0 N j F m N z k 0 L T E y M j A t N G N i M i 0 5 N T l k L T R k Y 2 N j N D A w N D Q 4 O S I g L z 4 8 R W 5 0 c n k g V H l w Z T 0 i Q n V m Z m V y T m V 4 d F J l Z n J l c 2 g i I F Z h b H V l P S J s M S I g L z 4 8 R W 5 0 c n k g V H l w Z T 0 i U m V z d W x 0 V H l w Z S I g V m F s d W U 9 I n N U Y W J s Z S I g L z 4 8 R W 5 0 c n k g V H l w Z T 0 i T m F t Z V V w Z G F 0 Z W R B Z n R l c k Z p b G w i I F Z h b H V l P S J s M C I g L z 4 8 R W 5 0 c n k g V H l w Z T 0 i R m l s b F R h c m d l d C I g V m F s d W U 9 I n N 0 Z W 1 w N y 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T o 1 N i 4 5 M T E 0 M z Y 0 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c v Q X V 0 b 1 J l b W 9 2 Z W R D b 2 x 1 b W 5 z M S 5 7 Q 2 9 s d W 1 u M S w w f S Z x d W 9 0 O y w m c X V v d D t T Z W N 0 a W 9 u M S 9 0 Z W 1 w N y 9 B d X R v U m V t b 3 Z l Z E N v b H V t b n M x L n t D b 2 x 1 b W 4 y L D F 9 J n F 1 b 3 Q 7 L C Z x d W 9 0 O 1 N l Y 3 R p b 2 4 x L 3 R l b X A 3 L 0 F 1 d G 9 S Z W 1 v d m V k Q 2 9 s d W 1 u c z E u e 0 N v b H V t b j M s M n 0 m c X V v d D s s J n F 1 b 3 Q 7 U 2 V j d G l v b j E v d G V t c D c v Q X V 0 b 1 J l b W 9 2 Z W R D b 2 x 1 b W 5 z M S 5 7 Q 2 9 s d W 1 u N C w z f S Z x d W 9 0 O y w m c X V v d D t T Z W N 0 a W 9 u M S 9 0 Z W 1 w N y 9 B d X R v U m V t b 3 Z l Z E N v b H V t b n M x L n t D b 2 x 1 b W 4 1 L D R 9 J n F 1 b 3 Q 7 L C Z x d W 9 0 O 1 N l Y 3 R p b 2 4 x L 3 R l b X A 3 L 0 F 1 d G 9 S Z W 1 v d m V k Q 2 9 s d W 1 u c z E u e 0 N v b H V t b j Y s N X 0 m c X V v d D s s J n F 1 b 3 Q 7 U 2 V j d G l v b j E v d G V t c D c v Q X V 0 b 1 J l b W 9 2 Z W R D b 2 x 1 b W 5 z M S 5 7 Q 2 9 s d W 1 u N y w 2 f S Z x d W 9 0 O y w m c X V v d D t T Z W N 0 a W 9 u M S 9 0 Z W 1 w N y 9 B d X R v U m V t b 3 Z l Z E N v b H V t b n M x L n t D b 2 x 1 b W 4 4 L D d 9 J n F 1 b 3 Q 7 L C Z x d W 9 0 O 1 N l Y 3 R p b 2 4 x L 3 R l b X A 3 L 0 F 1 d G 9 S Z W 1 v d m V k Q 2 9 s d W 1 u c z E u e 0 N v b H V t b j k s O H 0 m c X V v d D s s J n F 1 b 3 Q 7 U 2 V j d G l v b j E v d G V t c D c v Q X V 0 b 1 J l b W 9 2 Z W R D b 2 x 1 b W 5 z M S 5 7 Q 2 9 s d W 1 u M T A s O X 0 m c X V v d D s s J n F 1 b 3 Q 7 U 2 V j d G l v b j E v d G V t c D c v Q X V 0 b 1 J l b W 9 2 Z W R D b 2 x 1 b W 5 z M S 5 7 Q 2 9 s d W 1 u M T E s M T B 9 J n F 1 b 3 Q 7 L C Z x d W 9 0 O 1 N l Y 3 R p b 2 4 x L 3 R l b X A 3 L 0 F 1 d G 9 S Z W 1 v d m V k Q 2 9 s d W 1 u c z E u e 0 N v b H V t b j E y L D E x f S Z x d W 9 0 O 1 0 s J n F 1 b 3 Q 7 Q 2 9 s d W 1 u Q 2 9 1 b n Q m c X V v d D s 6 M T I s J n F 1 b 3 Q 7 S 2 V 5 Q 2 9 s d W 1 u T m F t Z X M m c X V v d D s 6 W 1 0 s J n F 1 b 3 Q 7 Q 2 9 s d W 1 u S W R l b n R p d G l l c y Z x d W 9 0 O z p b J n F 1 b 3 Q 7 U 2 V j d G l v b j E v d G V t c D c v Q X V 0 b 1 J l b W 9 2 Z W R D b 2 x 1 b W 5 z M S 5 7 Q 2 9 s d W 1 u M S w w f S Z x d W 9 0 O y w m c X V v d D t T Z W N 0 a W 9 u M S 9 0 Z W 1 w N y 9 B d X R v U m V t b 3 Z l Z E N v b H V t b n M x L n t D b 2 x 1 b W 4 y L D F 9 J n F 1 b 3 Q 7 L C Z x d W 9 0 O 1 N l Y 3 R p b 2 4 x L 3 R l b X A 3 L 0 F 1 d G 9 S Z W 1 v d m V k Q 2 9 s d W 1 u c z E u e 0 N v b H V t b j M s M n 0 m c X V v d D s s J n F 1 b 3 Q 7 U 2 V j d G l v b j E v d G V t c D c v Q X V 0 b 1 J l b W 9 2 Z W R D b 2 x 1 b W 5 z M S 5 7 Q 2 9 s d W 1 u N C w z f S Z x d W 9 0 O y w m c X V v d D t T Z W N 0 a W 9 u M S 9 0 Z W 1 w N y 9 B d X R v U m V t b 3 Z l Z E N v b H V t b n M x L n t D b 2 x 1 b W 4 1 L D R 9 J n F 1 b 3 Q 7 L C Z x d W 9 0 O 1 N l Y 3 R p b 2 4 x L 3 R l b X A 3 L 0 F 1 d G 9 S Z W 1 v d m V k Q 2 9 s d W 1 u c z E u e 0 N v b H V t b j Y s N X 0 m c X V v d D s s J n F 1 b 3 Q 7 U 2 V j d G l v b j E v d G V t c D c v Q X V 0 b 1 J l b W 9 2 Z W R D b 2 x 1 b W 5 z M S 5 7 Q 2 9 s d W 1 u N y w 2 f S Z x d W 9 0 O y w m c X V v d D t T Z W N 0 a W 9 u M S 9 0 Z W 1 w N y 9 B d X R v U m V t b 3 Z l Z E N v b H V t b n M x L n t D b 2 x 1 b W 4 4 L D d 9 J n F 1 b 3 Q 7 L C Z x d W 9 0 O 1 N l Y 3 R p b 2 4 x L 3 R l b X A 3 L 0 F 1 d G 9 S Z W 1 v d m V k Q 2 9 s d W 1 u c z E u e 0 N v b H V t b j k s O H 0 m c X V v d D s s J n F 1 b 3 Q 7 U 2 V j d G l v b j E v d G V t c D c v Q X V 0 b 1 J l b W 9 2 Z W R D b 2 x 1 b W 5 z M S 5 7 Q 2 9 s d W 1 u M T A s O X 0 m c X V v d D s s J n F 1 b 3 Q 7 U 2 V j d G l v b j E v d G V t c D c v Q X V 0 b 1 J l b W 9 2 Z W R D b 2 x 1 b W 5 z M S 5 7 Q 2 9 s d W 1 u M T E s M T B 9 J n F 1 b 3 Q 7 L C Z x d W 9 0 O 1 N l Y 3 R p b 2 4 x L 3 R l b X A 3 L 0 F 1 d G 9 S Z W 1 v d m V k Q 2 9 s d W 1 u c z E u e 0 N v b H V t b j E y L D E x f S Z x d W 9 0 O 1 0 s J n F 1 b 3 Q 7 U m V s Y X R p b 2 5 z a G l w S W 5 m b y Z x d W 9 0 O z p b X X 0 i I C 8 + P C 9 T d G F i b G V F b n R y a W V z P j w v S X R l b T 4 8 S X R l b T 4 8 S X R l b U x v Y 2 F 0 a W 9 u P j x J d G V t V H l w Z T 5 G b 3 J t d W x h P C 9 J d G V t V H l w Z T 4 8 S X R l b V B h d G g + U 2 V j d G l v b j E v d G V t c D c v U 2 9 1 c m N l P C 9 J d G V t U G F 0 a D 4 8 L 0 l 0 Z W 1 M b 2 N h d G l v b j 4 8 U 3 R h Y m x l R W 5 0 c m l l c y A v P j w v S X R l b T 4 8 S X R l b T 4 8 S X R l b U x v Y 2 F 0 a W 9 u P j x J d G V t V H l w Z T 5 G b 3 J t d W x h P C 9 J d G V t V H l w Z T 4 8 S X R l b V B h d G g + U 2 V j d G l v b j E v d G V t c D c v Q 2 h h b m d l Z C U y M F R 5 c G U 8 L 0 l 0 Z W 1 Q Y X R o P j w v S X R l b U x v Y 2 F 0 a W 9 u P j x T d G F i b G V F b n R y a W V z I C 8 + P C 9 J d G V t P j x J d G V t P j x J d G V t T G 9 j Y X R p b 2 4 + P E l 0 Z W 1 U e X B l P k Z v c m 1 1 b G E 8 L 0 l 0 Z W 1 U e X B l P j x J d G V t U G F 0 a D 5 T Z W N 0 a W 9 u M S 9 0 Z W 1 w 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2 Y j k z Y z Y x L T V m N D Y t N D R h O S 1 i Z W U 4 L T d h M 2 Y 5 O D U 3 N z Y 2 N y I g L z 4 8 R W 5 0 c n k g V H l w Z T 0 i Q n V m Z m V y T m V 4 d F J l Z n J l c 2 g i I F Z h b H V l P S J s M S I g L z 4 8 R W 5 0 c n k g V H l w Z T 0 i U m V z d W x 0 V H l w Z S I g V m F s d W U 9 I n N U Y W J s Z S I g L z 4 8 R W 5 0 c n k g V H l w Z T 0 i T m F t Z V V w Z G F 0 Z W R B Z n R l c k Z p b G w i I F Z h b H V l P S J s M C I g L z 4 8 R W 5 0 c n k g V H l w Z T 0 i R m l s b F R h c m d l d C I g V m F s d W U 9 I n N 0 Z W 1 w O 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j o w N C 4 5 M j Y 2 O D M 5 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g v Q X V 0 b 1 J l b W 9 2 Z W R D b 2 x 1 b W 5 z M S 5 7 Q 2 9 s d W 1 u M S w w f S Z x d W 9 0 O y w m c X V v d D t T Z W N 0 a W 9 u M S 9 0 Z W 1 w O C 9 B d X R v U m V t b 3 Z l Z E N v b H V t b n M x L n t D b 2 x 1 b W 4 y L D F 9 J n F 1 b 3 Q 7 L C Z x d W 9 0 O 1 N l Y 3 R p b 2 4 x L 3 R l b X A 4 L 0 F 1 d G 9 S Z W 1 v d m V k Q 2 9 s d W 1 u c z E u e 0 N v b H V t b j M s M n 0 m c X V v d D s s J n F 1 b 3 Q 7 U 2 V j d G l v b j E v d G V t c D g v Q X V 0 b 1 J l b W 9 2 Z W R D b 2 x 1 b W 5 z M S 5 7 Q 2 9 s d W 1 u N C w z f S Z x d W 9 0 O y w m c X V v d D t T Z W N 0 a W 9 u M S 9 0 Z W 1 w O C 9 B d X R v U m V t b 3 Z l Z E N v b H V t b n M x L n t D b 2 x 1 b W 4 1 L D R 9 J n F 1 b 3 Q 7 L C Z x d W 9 0 O 1 N l Y 3 R p b 2 4 x L 3 R l b X A 4 L 0 F 1 d G 9 S Z W 1 v d m V k Q 2 9 s d W 1 u c z E u e 0 N v b H V t b j Y s N X 0 m c X V v d D s s J n F 1 b 3 Q 7 U 2 V j d G l v b j E v d G V t c D g v Q X V 0 b 1 J l b W 9 2 Z W R D b 2 x 1 b W 5 z M S 5 7 Q 2 9 s d W 1 u N y w 2 f S Z x d W 9 0 O y w m c X V v d D t T Z W N 0 a W 9 u M S 9 0 Z W 1 w O C 9 B d X R v U m V t b 3 Z l Z E N v b H V t b n M x L n t D b 2 x 1 b W 4 4 L D d 9 J n F 1 b 3 Q 7 L C Z x d W 9 0 O 1 N l Y 3 R p b 2 4 x L 3 R l b X A 4 L 0 F 1 d G 9 S Z W 1 v d m V k Q 2 9 s d W 1 u c z E u e 0 N v b H V t b j k s O H 0 m c X V v d D s s J n F 1 b 3 Q 7 U 2 V j d G l v b j E v d G V t c D g v Q X V 0 b 1 J l b W 9 2 Z W R D b 2 x 1 b W 5 z M S 5 7 Q 2 9 s d W 1 u M T A s O X 0 m c X V v d D s s J n F 1 b 3 Q 7 U 2 V j d G l v b j E v d G V t c D g v Q X V 0 b 1 J l b W 9 2 Z W R D b 2 x 1 b W 5 z M S 5 7 Q 2 9 s d W 1 u M T E s M T B 9 J n F 1 b 3 Q 7 L C Z x d W 9 0 O 1 N l Y 3 R p b 2 4 x L 3 R l b X A 4 L 0 F 1 d G 9 S Z W 1 v d m V k Q 2 9 s d W 1 u c z E u e 0 N v b H V t b j E y L D E x f S Z x d W 9 0 O 1 0 s J n F 1 b 3 Q 7 Q 2 9 s d W 1 u Q 2 9 1 b n Q m c X V v d D s 6 M T I s J n F 1 b 3 Q 7 S 2 V 5 Q 2 9 s d W 1 u T m F t Z X M m c X V v d D s 6 W 1 0 s J n F 1 b 3 Q 7 Q 2 9 s d W 1 u S W R l b n R p d G l l c y Z x d W 9 0 O z p b J n F 1 b 3 Q 7 U 2 V j d G l v b j E v d G V t c D g v Q X V 0 b 1 J l b W 9 2 Z W R D b 2 x 1 b W 5 z M S 5 7 Q 2 9 s d W 1 u M S w w f S Z x d W 9 0 O y w m c X V v d D t T Z W N 0 a W 9 u M S 9 0 Z W 1 w O C 9 B d X R v U m V t b 3 Z l Z E N v b H V t b n M x L n t D b 2 x 1 b W 4 y L D F 9 J n F 1 b 3 Q 7 L C Z x d W 9 0 O 1 N l Y 3 R p b 2 4 x L 3 R l b X A 4 L 0 F 1 d G 9 S Z W 1 v d m V k Q 2 9 s d W 1 u c z E u e 0 N v b H V t b j M s M n 0 m c X V v d D s s J n F 1 b 3 Q 7 U 2 V j d G l v b j E v d G V t c D g v Q X V 0 b 1 J l b W 9 2 Z W R D b 2 x 1 b W 5 z M S 5 7 Q 2 9 s d W 1 u N C w z f S Z x d W 9 0 O y w m c X V v d D t T Z W N 0 a W 9 u M S 9 0 Z W 1 w O C 9 B d X R v U m V t b 3 Z l Z E N v b H V t b n M x L n t D b 2 x 1 b W 4 1 L D R 9 J n F 1 b 3 Q 7 L C Z x d W 9 0 O 1 N l Y 3 R p b 2 4 x L 3 R l b X A 4 L 0 F 1 d G 9 S Z W 1 v d m V k Q 2 9 s d W 1 u c z E u e 0 N v b H V t b j Y s N X 0 m c X V v d D s s J n F 1 b 3 Q 7 U 2 V j d G l v b j E v d G V t c D g v Q X V 0 b 1 J l b W 9 2 Z W R D b 2 x 1 b W 5 z M S 5 7 Q 2 9 s d W 1 u N y w 2 f S Z x d W 9 0 O y w m c X V v d D t T Z W N 0 a W 9 u M S 9 0 Z W 1 w O C 9 B d X R v U m V t b 3 Z l Z E N v b H V t b n M x L n t D b 2 x 1 b W 4 4 L D d 9 J n F 1 b 3 Q 7 L C Z x d W 9 0 O 1 N l Y 3 R p b 2 4 x L 3 R l b X A 4 L 0 F 1 d G 9 S Z W 1 v d m V k Q 2 9 s d W 1 u c z E u e 0 N v b H V t b j k s O H 0 m c X V v d D s s J n F 1 b 3 Q 7 U 2 V j d G l v b j E v d G V t c D g v Q X V 0 b 1 J l b W 9 2 Z W R D b 2 x 1 b W 5 z M S 5 7 Q 2 9 s d W 1 u M T A s O X 0 m c X V v d D s s J n F 1 b 3 Q 7 U 2 V j d G l v b j E v d G V t c D g v Q X V 0 b 1 J l b W 9 2 Z W R D b 2 x 1 b W 5 z M S 5 7 Q 2 9 s d W 1 u M T E s M T B 9 J n F 1 b 3 Q 7 L C Z x d W 9 0 O 1 N l Y 3 R p b 2 4 x L 3 R l b X A 4 L 0 F 1 d G 9 S Z W 1 v d m V k Q 2 9 s d W 1 u c z E u e 0 N v b H V t b j E y L D E x f S Z x d W 9 0 O 1 0 s J n F 1 b 3 Q 7 U m V s Y X R p b 2 5 z a G l w S W 5 m b y Z x d W 9 0 O z p b X X 0 i I C 8 + P C 9 T d G F i b G V F b n R y a W V z P j w v S X R l b T 4 8 S X R l b T 4 8 S X R l b U x v Y 2 F 0 a W 9 u P j x J d G V t V H l w Z T 5 G b 3 J t d W x h P C 9 J d G V t V H l w Z T 4 8 S X R l b V B h d G g + U 2 V j d G l v b j E v d G V t c D g v U 2 9 1 c m N l P C 9 J d G V t U G F 0 a D 4 8 L 0 l 0 Z W 1 M b 2 N h d G l v b j 4 8 U 3 R h Y m x l R W 5 0 c m l l c y A v P j w v S X R l b T 4 8 S X R l b T 4 8 S X R l b U x v Y 2 F 0 a W 9 u P j x J d G V t V H l w Z T 5 G b 3 J t d W x h P C 9 J d G V t V H l w Z T 4 8 S X R l b V B h d G g + U 2 V j d G l v b j E v d G V t c D g v Q 2 h h b m d l Z C U y M F R 5 c G U 8 L 0 l 0 Z W 1 Q Y X R o P j w v S X R l b U x v Y 2 F 0 a W 9 u P j x T d G F i b G V F b n R y a W V z I C 8 + P C 9 J d G V t P j x J d G V t P j x J d G V t T G 9 j Y X R p b 2 4 + P E l 0 Z W 1 U e X B l P k Z v c m 1 1 b G E 8 L 0 l 0 Z W 1 U e X B l P j x J d G V t U G F 0 a D 5 T Z W N 0 a W 9 u M S 9 0 Z W 1 w 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4 M m N i N 2 M 1 L W J h M W Y t N D M 4 Z C 0 5 N z R i L T R i Z T Q 3 Y W U 4 N T E y N S I g L z 4 8 R W 5 0 c n k g V H l w Z T 0 i Q n V m Z m V y T m V 4 d F J l Z n J l c 2 g i I F Z h b H V l P S J s M S I g L z 4 8 R W 5 0 c n k g V H l w Z T 0 i U m V z d W x 0 V H l w Z S I g V m F s d W U 9 I n N U Y W J s Z S I g L z 4 8 R W 5 0 c n k g V H l w Z T 0 i T m F t Z V V w Z G F 0 Z W R B Z n R l c k Z p b G w i I F Z h b H V l P S J s M C I g L z 4 8 R W 5 0 c n k g V H l w Z T 0 i R m l s b F R h c m d l d C I g V m F s d W U 9 I n N 0 Z W 1 w O 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j o x M S 4 5 M T I 5 M z Q x 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k v Q X V 0 b 1 J l b W 9 2 Z W R D b 2 x 1 b W 5 z M S 5 7 Q 2 9 s d W 1 u M S w w f S Z x d W 9 0 O y w m c X V v d D t T Z W N 0 a W 9 u M S 9 0 Z W 1 w O S 9 B d X R v U m V t b 3 Z l Z E N v b H V t b n M x L n t D b 2 x 1 b W 4 y L D F 9 J n F 1 b 3 Q 7 L C Z x d W 9 0 O 1 N l Y 3 R p b 2 4 x L 3 R l b X A 5 L 0 F 1 d G 9 S Z W 1 v d m V k Q 2 9 s d W 1 u c z E u e 0 N v b H V t b j M s M n 0 m c X V v d D s s J n F 1 b 3 Q 7 U 2 V j d G l v b j E v d G V t c D k v Q X V 0 b 1 J l b W 9 2 Z W R D b 2 x 1 b W 5 z M S 5 7 Q 2 9 s d W 1 u N C w z f S Z x d W 9 0 O y w m c X V v d D t T Z W N 0 a W 9 u M S 9 0 Z W 1 w O S 9 B d X R v U m V t b 3 Z l Z E N v b H V t b n M x L n t D b 2 x 1 b W 4 1 L D R 9 J n F 1 b 3 Q 7 L C Z x d W 9 0 O 1 N l Y 3 R p b 2 4 x L 3 R l b X A 5 L 0 F 1 d G 9 S Z W 1 v d m V k Q 2 9 s d W 1 u c z E u e 0 N v b H V t b j Y s N X 0 m c X V v d D s s J n F 1 b 3 Q 7 U 2 V j d G l v b j E v d G V t c D k v Q X V 0 b 1 J l b W 9 2 Z W R D b 2 x 1 b W 5 z M S 5 7 Q 2 9 s d W 1 u N y w 2 f S Z x d W 9 0 O y w m c X V v d D t T Z W N 0 a W 9 u M S 9 0 Z W 1 w O S 9 B d X R v U m V t b 3 Z l Z E N v b H V t b n M x L n t D b 2 x 1 b W 4 4 L D d 9 J n F 1 b 3 Q 7 L C Z x d W 9 0 O 1 N l Y 3 R p b 2 4 x L 3 R l b X A 5 L 0 F 1 d G 9 S Z W 1 v d m V k Q 2 9 s d W 1 u c z E u e 0 N v b H V t b j k s O H 0 m c X V v d D s s J n F 1 b 3 Q 7 U 2 V j d G l v b j E v d G V t c D k v Q X V 0 b 1 J l b W 9 2 Z W R D b 2 x 1 b W 5 z M S 5 7 Q 2 9 s d W 1 u M T A s O X 0 m c X V v d D s s J n F 1 b 3 Q 7 U 2 V j d G l v b j E v d G V t c D k v Q X V 0 b 1 J l b W 9 2 Z W R D b 2 x 1 b W 5 z M S 5 7 Q 2 9 s d W 1 u M T E s M T B 9 J n F 1 b 3 Q 7 L C Z x d W 9 0 O 1 N l Y 3 R p b 2 4 x L 3 R l b X A 5 L 0 F 1 d G 9 S Z W 1 v d m V k Q 2 9 s d W 1 u c z E u e 0 N v b H V t b j E y L D E x f S Z x d W 9 0 O 1 0 s J n F 1 b 3 Q 7 Q 2 9 s d W 1 u Q 2 9 1 b n Q m c X V v d D s 6 M T I s J n F 1 b 3 Q 7 S 2 V 5 Q 2 9 s d W 1 u T m F t Z X M m c X V v d D s 6 W 1 0 s J n F 1 b 3 Q 7 Q 2 9 s d W 1 u S W R l b n R p d G l l c y Z x d W 9 0 O z p b J n F 1 b 3 Q 7 U 2 V j d G l v b j E v d G V t c D k v Q X V 0 b 1 J l b W 9 2 Z W R D b 2 x 1 b W 5 z M S 5 7 Q 2 9 s d W 1 u M S w w f S Z x d W 9 0 O y w m c X V v d D t T Z W N 0 a W 9 u M S 9 0 Z W 1 w O S 9 B d X R v U m V t b 3 Z l Z E N v b H V t b n M x L n t D b 2 x 1 b W 4 y L D F 9 J n F 1 b 3 Q 7 L C Z x d W 9 0 O 1 N l Y 3 R p b 2 4 x L 3 R l b X A 5 L 0 F 1 d G 9 S Z W 1 v d m V k Q 2 9 s d W 1 u c z E u e 0 N v b H V t b j M s M n 0 m c X V v d D s s J n F 1 b 3 Q 7 U 2 V j d G l v b j E v d G V t c D k v Q X V 0 b 1 J l b W 9 2 Z W R D b 2 x 1 b W 5 z M S 5 7 Q 2 9 s d W 1 u N C w z f S Z x d W 9 0 O y w m c X V v d D t T Z W N 0 a W 9 u M S 9 0 Z W 1 w O S 9 B d X R v U m V t b 3 Z l Z E N v b H V t b n M x L n t D b 2 x 1 b W 4 1 L D R 9 J n F 1 b 3 Q 7 L C Z x d W 9 0 O 1 N l Y 3 R p b 2 4 x L 3 R l b X A 5 L 0 F 1 d G 9 S Z W 1 v d m V k Q 2 9 s d W 1 u c z E u e 0 N v b H V t b j Y s N X 0 m c X V v d D s s J n F 1 b 3 Q 7 U 2 V j d G l v b j E v d G V t c D k v Q X V 0 b 1 J l b W 9 2 Z W R D b 2 x 1 b W 5 z M S 5 7 Q 2 9 s d W 1 u N y w 2 f S Z x d W 9 0 O y w m c X V v d D t T Z W N 0 a W 9 u M S 9 0 Z W 1 w O S 9 B d X R v U m V t b 3 Z l Z E N v b H V t b n M x L n t D b 2 x 1 b W 4 4 L D d 9 J n F 1 b 3 Q 7 L C Z x d W 9 0 O 1 N l Y 3 R p b 2 4 x L 3 R l b X A 5 L 0 F 1 d G 9 S Z W 1 v d m V k Q 2 9 s d W 1 u c z E u e 0 N v b H V t b j k s O H 0 m c X V v d D s s J n F 1 b 3 Q 7 U 2 V j d G l v b j E v d G V t c D k v Q X V 0 b 1 J l b W 9 2 Z W R D b 2 x 1 b W 5 z M S 5 7 Q 2 9 s d W 1 u M T A s O X 0 m c X V v d D s s J n F 1 b 3 Q 7 U 2 V j d G l v b j E v d G V t c D k v Q X V 0 b 1 J l b W 9 2 Z W R D b 2 x 1 b W 5 z M S 5 7 Q 2 9 s d W 1 u M T E s M T B 9 J n F 1 b 3 Q 7 L C Z x d W 9 0 O 1 N l Y 3 R p b 2 4 x L 3 R l b X A 5 L 0 F 1 d G 9 S Z W 1 v d m V k Q 2 9 s d W 1 u c z E u e 0 N v b H V t b j E y L D E x f S Z x d W 9 0 O 1 0 s J n F 1 b 3 Q 7 U m V s Y X R p b 2 5 z a G l w S W 5 m b y Z x d W 9 0 O z p b X X 0 i I C 8 + P C 9 T d G F i b G V F b n R y a W V z P j w v S X R l b T 4 8 S X R l b T 4 8 S X R l b U x v Y 2 F 0 a W 9 u P j x J d G V t V H l w Z T 5 G b 3 J t d W x h P C 9 J d G V t V H l w Z T 4 8 S X R l b V B h d G g + U 2 V j d G l v b j E v d G V t c D k v U 2 9 1 c m N l P C 9 J d G V t U G F 0 a D 4 8 L 0 l 0 Z W 1 M b 2 N h d G l v b j 4 8 U 3 R h Y m x l R W 5 0 c m l l c y A v P j w v S X R l b T 4 8 S X R l b T 4 8 S X R l b U x v Y 2 F 0 a W 9 u P j x J d G V t V H l w Z T 5 G b 3 J t d W x h P C 9 J d G V t V H l w Z T 4 8 S X R l b V B h d G g + U 2 V j d G l v b j E v d G V t c D k v Q 2 h h b m d l Z C U y M F R 5 c G U 8 L 0 l 0 Z W 1 Q Y X R o P j w v S X R l b U x v Y 2 F 0 a W 9 u P j x T d G F i b G V F b n R y a W V z I C 8 + P C 9 J d G V t P j x J d G V t P j x J d G V t T G 9 j Y X R p b 2 4 + P E l 0 Z W 1 U e X B l P k Z v c m 1 1 b G E 8 L 0 l 0 Z W 1 U e X B l P j x J d G V t U G F 0 a D 5 T Z W N 0 a W 9 u M S 9 0 Z W 1 w M T 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D R l M 2 Q w Z i 0 5 Y 2 N i L T Q x M m E t Y j R m N C 0 3 Y T B h Z j F h Y j I 1 O T k i I C 8 + P E V u d H J 5 I F R 5 c G U 9 I k J 1 Z m Z l c k 5 l e H R S Z W Z y Z X N o I i B W Y W x 1 Z T 0 i b D E i I C 8 + P E V u d H J 5 I F R 5 c G U 9 I l J l c 3 V s d F R 5 c G U i I F Z h b H V l P S J z V G F i b G U i I C 8 + P E V u d H J 5 I F R 5 c G U 9 I k 5 h b W V V c G R h d G V k Q W Z 0 Z X J G a W x s I i B W Y W x 1 Z T 0 i b D A i I C 8 + P E V u d H J 5 I F R 5 c G U 9 I k Z p b G x U Y X J n Z X Q i I F Z h b H V l P S J z d G V t c D E w 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0 L T E 1 V D E 2 O j A 2 O j E 5 L j I z O T E 2 M j d a I i A v P j x F b n R y e S B U e X B l P S J G a W x s Q 2 9 s d W 1 u V H l w Z X M i I F Z h b H V l P S J z Q X d N R E F 3 T U Z B d 0 1 E Q X d N R 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Z W 1 w M T A v Q X V 0 b 1 J l b W 9 2 Z W R D b 2 x 1 b W 5 z M S 5 7 Q 2 9 s d W 1 u M S w w f S Z x d W 9 0 O y w m c X V v d D t T Z W N 0 a W 9 u M S 9 0 Z W 1 w M T A v Q X V 0 b 1 J l b W 9 2 Z W R D b 2 x 1 b W 5 z M S 5 7 Q 2 9 s d W 1 u M i w x f S Z x d W 9 0 O y w m c X V v d D t T Z W N 0 a W 9 u M S 9 0 Z W 1 w M T A v Q X V 0 b 1 J l b W 9 2 Z W R D b 2 x 1 b W 5 z M S 5 7 Q 2 9 s d W 1 u M y w y f S Z x d W 9 0 O y w m c X V v d D t T Z W N 0 a W 9 u M S 9 0 Z W 1 w M T A v Q X V 0 b 1 J l b W 9 2 Z W R D b 2 x 1 b W 5 z M S 5 7 Q 2 9 s d W 1 u N C w z f S Z x d W 9 0 O y w m c X V v d D t T Z W N 0 a W 9 u M S 9 0 Z W 1 w M T A v Q X V 0 b 1 J l b W 9 2 Z W R D b 2 x 1 b W 5 z M S 5 7 Q 2 9 s d W 1 u N S w 0 f S Z x d W 9 0 O y w m c X V v d D t T Z W N 0 a W 9 u M S 9 0 Z W 1 w M T A v Q X V 0 b 1 J l b W 9 2 Z W R D b 2 x 1 b W 5 z M S 5 7 Q 2 9 s d W 1 u N i w 1 f S Z x d W 9 0 O y w m c X V v d D t T Z W N 0 a W 9 u M S 9 0 Z W 1 w M T A v Q X V 0 b 1 J l b W 9 2 Z W R D b 2 x 1 b W 5 z M S 5 7 Q 2 9 s d W 1 u N y w 2 f S Z x d W 9 0 O y w m c X V v d D t T Z W N 0 a W 9 u M S 9 0 Z W 1 w M T A v Q X V 0 b 1 J l b W 9 2 Z W R D b 2 x 1 b W 5 z M S 5 7 Q 2 9 s d W 1 u O C w 3 f S Z x d W 9 0 O y w m c X V v d D t T Z W N 0 a W 9 u M S 9 0 Z W 1 w M T A v Q X V 0 b 1 J l b W 9 2 Z W R D b 2 x 1 b W 5 z M S 5 7 Q 2 9 s d W 1 u O S w 4 f S Z x d W 9 0 O y w m c X V v d D t T Z W N 0 a W 9 u M S 9 0 Z W 1 w M T A v Q X V 0 b 1 J l b W 9 2 Z W R D b 2 x 1 b W 5 z M S 5 7 Q 2 9 s d W 1 u M T A s O X 0 m c X V v d D s s J n F 1 b 3 Q 7 U 2 V j d G l v b j E v d G V t c D E w L 0 F 1 d G 9 S Z W 1 v d m V k Q 2 9 s d W 1 u c z E u e 0 N v b H V t b j E x L D E w f S Z x d W 9 0 O y w m c X V v d D t T Z W N 0 a W 9 u M S 9 0 Z W 1 w M T A v Q X V 0 b 1 J l b W 9 2 Z W R D b 2 x 1 b W 5 z M S 5 7 Q 2 9 s d W 1 u M T I s M T F 9 J n F 1 b 3 Q 7 X S w m c X V v d D t D b 2 x 1 b W 5 D b 3 V u d C Z x d W 9 0 O z o x M i w m c X V v d D t L Z X l D b 2 x 1 b W 5 O Y W 1 l c y Z x d W 9 0 O z p b X S w m c X V v d D t D b 2 x 1 b W 5 J Z G V u d G l 0 a W V z J n F 1 b 3 Q 7 O l s m c X V v d D t T Z W N 0 a W 9 u M S 9 0 Z W 1 w M T A v Q X V 0 b 1 J l b W 9 2 Z W R D b 2 x 1 b W 5 z M S 5 7 Q 2 9 s d W 1 u M S w w f S Z x d W 9 0 O y w m c X V v d D t T Z W N 0 a W 9 u M S 9 0 Z W 1 w M T A v Q X V 0 b 1 J l b W 9 2 Z W R D b 2 x 1 b W 5 z M S 5 7 Q 2 9 s d W 1 u M i w x f S Z x d W 9 0 O y w m c X V v d D t T Z W N 0 a W 9 u M S 9 0 Z W 1 w M T A v Q X V 0 b 1 J l b W 9 2 Z W R D b 2 x 1 b W 5 z M S 5 7 Q 2 9 s d W 1 u M y w y f S Z x d W 9 0 O y w m c X V v d D t T Z W N 0 a W 9 u M S 9 0 Z W 1 w M T A v Q X V 0 b 1 J l b W 9 2 Z W R D b 2 x 1 b W 5 z M S 5 7 Q 2 9 s d W 1 u N C w z f S Z x d W 9 0 O y w m c X V v d D t T Z W N 0 a W 9 u M S 9 0 Z W 1 w M T A v Q X V 0 b 1 J l b W 9 2 Z W R D b 2 x 1 b W 5 z M S 5 7 Q 2 9 s d W 1 u N S w 0 f S Z x d W 9 0 O y w m c X V v d D t T Z W N 0 a W 9 u M S 9 0 Z W 1 w M T A v Q X V 0 b 1 J l b W 9 2 Z W R D b 2 x 1 b W 5 z M S 5 7 Q 2 9 s d W 1 u N i w 1 f S Z x d W 9 0 O y w m c X V v d D t T Z W N 0 a W 9 u M S 9 0 Z W 1 w M T A v Q X V 0 b 1 J l b W 9 2 Z W R D b 2 x 1 b W 5 z M S 5 7 Q 2 9 s d W 1 u N y w 2 f S Z x d W 9 0 O y w m c X V v d D t T Z W N 0 a W 9 u M S 9 0 Z W 1 w M T A v Q X V 0 b 1 J l b W 9 2 Z W R D b 2 x 1 b W 5 z M S 5 7 Q 2 9 s d W 1 u O C w 3 f S Z x d W 9 0 O y w m c X V v d D t T Z W N 0 a W 9 u M S 9 0 Z W 1 w M T A v Q X V 0 b 1 J l b W 9 2 Z W R D b 2 x 1 b W 5 z M S 5 7 Q 2 9 s d W 1 u O S w 4 f S Z x d W 9 0 O y w m c X V v d D t T Z W N 0 a W 9 u M S 9 0 Z W 1 w M T A v Q X V 0 b 1 J l b W 9 2 Z W R D b 2 x 1 b W 5 z M S 5 7 Q 2 9 s d W 1 u M T A s O X 0 m c X V v d D s s J n F 1 b 3 Q 7 U 2 V j d G l v b j E v d G V t c D E w L 0 F 1 d G 9 S Z W 1 v d m V k Q 2 9 s d W 1 u c z E u e 0 N v b H V t b j E x L D E w f S Z x d W 9 0 O y w m c X V v d D t T Z W N 0 a W 9 u M S 9 0 Z W 1 w M T A v Q X V 0 b 1 J l b W 9 2 Z W R D b 2 x 1 b W 5 z M S 5 7 Q 2 9 s d W 1 u M T I s M T F 9 J n F 1 b 3 Q 7 X S w m c X V v d D t S Z W x h d G l v b n N o a X B J b m Z v J n F 1 b 3 Q 7 O l t d f S I g L z 4 8 L 1 N 0 Y W J s Z U V u d H J p Z X M + P C 9 J d G V t P j x J d G V t P j x J d G V t T G 9 j Y X R p b 2 4 + P E l 0 Z W 1 U e X B l P k Z v c m 1 1 b G E 8 L 0 l 0 Z W 1 U e X B l P j x J d G V t U G F 0 a D 5 T Z W N 0 a W 9 u M S 9 0 Z W 1 w M T A v U 2 9 1 c m N l P C 9 J d G V t U G F 0 a D 4 8 L 0 l 0 Z W 1 M b 2 N h d G l v b j 4 8 U 3 R h Y m x l R W 5 0 c m l l c y A v P j w v S X R l b T 4 8 S X R l b T 4 8 S X R l b U x v Y 2 F 0 a W 9 u P j x J d G V t V H l w Z T 5 G b 3 J t d W x h P C 9 J d G V t V H l w Z T 4 8 S X R l b V B h d G g + U 2 V j d G l v b j E v d G V t c D E w L 0 N o Y W 5 n Z W Q l M j B U e X B l P C 9 J d G V t U G F 0 a D 4 8 L 0 l 0 Z W 1 M b 2 N h d G l v b j 4 8 U 3 R h Y m x l R W 5 0 c m l l c y A v P j w v S X R l b T 4 8 S X R l b T 4 8 S X R l b U x v Y 2 F 0 a W 9 u P j x J d G V t V H l w Z T 5 G b 3 J t d W x h P C 9 J d G V t V H l w Z T 4 8 S X R l b V B h d G g + U 2 V j d G l v b j E v d G V t c D E 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l i Y T A 1 Y m Y t Z D M 2 Z i 0 0 Z m N m L W F k N 2 M t Z G M x M T d m O T I 4 Z T E 2 I i A v P j x F b n R y e S B U e X B l P S J C d W Z m Z X J O Z X h 0 U m V m c m V z a C I g V m F s d W U 9 I m w x I i A v P j x F b n R y e S B U e X B l P S J S Z X N 1 b H R U e X B l I i B W Y W x 1 Z T 0 i c 1 R h Y m x l I i A v P j x F b n R y e S B U e X B l P S J O Y W 1 l V X B k Y X R l Z E F m d G V y R m l s b C I g V m F s d W U 9 I m w w I i A v P j x F b n R y e S B U e X B l P S J G a W x s V G F y Z 2 V 0 I i B W Y W x 1 Z T 0 i c 3 R l b X A x M 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j o y N S 4 4 N j Q 2 N j M 3 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E x L 0 F 1 d G 9 S Z W 1 v d m V k Q 2 9 s d W 1 u c z E u e 0 N v b H V t b j E s M H 0 m c X V v d D s s J n F 1 b 3 Q 7 U 2 V j d G l v b j E v d G V t c D E x L 0 F 1 d G 9 S Z W 1 v d m V k Q 2 9 s d W 1 u c z E u e 0 N v b H V t b j I s M X 0 m c X V v d D s s J n F 1 b 3 Q 7 U 2 V j d G l v b j E v d G V t c D E x L 0 F 1 d G 9 S Z W 1 v d m V k Q 2 9 s d W 1 u c z E u e 0 N v b H V t b j M s M n 0 m c X V v d D s s J n F 1 b 3 Q 7 U 2 V j d G l v b j E v d G V t c D E x L 0 F 1 d G 9 S Z W 1 v d m V k Q 2 9 s d W 1 u c z E u e 0 N v b H V t b j Q s M 3 0 m c X V v d D s s J n F 1 b 3 Q 7 U 2 V j d G l v b j E v d G V t c D E x L 0 F 1 d G 9 S Z W 1 v d m V k Q 2 9 s d W 1 u c z E u e 0 N v b H V t b j U s N H 0 m c X V v d D s s J n F 1 b 3 Q 7 U 2 V j d G l v b j E v d G V t c D E x L 0 F 1 d G 9 S Z W 1 v d m V k Q 2 9 s d W 1 u c z E u e 0 N v b H V t b j Y s N X 0 m c X V v d D s s J n F 1 b 3 Q 7 U 2 V j d G l v b j E v d G V t c D E x L 0 F 1 d G 9 S Z W 1 v d m V k Q 2 9 s d W 1 u c z E u e 0 N v b H V t b j c s N n 0 m c X V v d D s s J n F 1 b 3 Q 7 U 2 V j d G l v b j E v d G V t c D E x L 0 F 1 d G 9 S Z W 1 v d m V k Q 2 9 s d W 1 u c z E u e 0 N v b H V t b j g s N 3 0 m c X V v d D s s J n F 1 b 3 Q 7 U 2 V j d G l v b j E v d G V t c D E x L 0 F 1 d G 9 S Z W 1 v d m V k Q 2 9 s d W 1 u c z E u e 0 N v b H V t b j k s O H 0 m c X V v d D s s J n F 1 b 3 Q 7 U 2 V j d G l v b j E v d G V t c D E x L 0 F 1 d G 9 S Z W 1 v d m V k Q 2 9 s d W 1 u c z E u e 0 N v b H V t b j E w L D l 9 J n F 1 b 3 Q 7 L C Z x d W 9 0 O 1 N l Y 3 R p b 2 4 x L 3 R l b X A x M S 9 B d X R v U m V t b 3 Z l Z E N v b H V t b n M x L n t D b 2 x 1 b W 4 x M S w x M H 0 m c X V v d D s s J n F 1 b 3 Q 7 U 2 V j d G l v b j E v d G V t c D E x L 0 F 1 d G 9 S Z W 1 v d m V k Q 2 9 s d W 1 u c z E u e 0 N v b H V t b j E y L D E x f S Z x d W 9 0 O 1 0 s J n F 1 b 3 Q 7 Q 2 9 s d W 1 u Q 2 9 1 b n Q m c X V v d D s 6 M T I s J n F 1 b 3 Q 7 S 2 V 5 Q 2 9 s d W 1 u T m F t Z X M m c X V v d D s 6 W 1 0 s J n F 1 b 3 Q 7 Q 2 9 s d W 1 u S W R l b n R p d G l l c y Z x d W 9 0 O z p b J n F 1 b 3 Q 7 U 2 V j d G l v b j E v d G V t c D E x L 0 F 1 d G 9 S Z W 1 v d m V k Q 2 9 s d W 1 u c z E u e 0 N v b H V t b j E s M H 0 m c X V v d D s s J n F 1 b 3 Q 7 U 2 V j d G l v b j E v d G V t c D E x L 0 F 1 d G 9 S Z W 1 v d m V k Q 2 9 s d W 1 u c z E u e 0 N v b H V t b j I s M X 0 m c X V v d D s s J n F 1 b 3 Q 7 U 2 V j d G l v b j E v d G V t c D E x L 0 F 1 d G 9 S Z W 1 v d m V k Q 2 9 s d W 1 u c z E u e 0 N v b H V t b j M s M n 0 m c X V v d D s s J n F 1 b 3 Q 7 U 2 V j d G l v b j E v d G V t c D E x L 0 F 1 d G 9 S Z W 1 v d m V k Q 2 9 s d W 1 u c z E u e 0 N v b H V t b j Q s M 3 0 m c X V v d D s s J n F 1 b 3 Q 7 U 2 V j d G l v b j E v d G V t c D E x L 0 F 1 d G 9 S Z W 1 v d m V k Q 2 9 s d W 1 u c z E u e 0 N v b H V t b j U s N H 0 m c X V v d D s s J n F 1 b 3 Q 7 U 2 V j d G l v b j E v d G V t c D E x L 0 F 1 d G 9 S Z W 1 v d m V k Q 2 9 s d W 1 u c z E u e 0 N v b H V t b j Y s N X 0 m c X V v d D s s J n F 1 b 3 Q 7 U 2 V j d G l v b j E v d G V t c D E x L 0 F 1 d G 9 S Z W 1 v d m V k Q 2 9 s d W 1 u c z E u e 0 N v b H V t b j c s N n 0 m c X V v d D s s J n F 1 b 3 Q 7 U 2 V j d G l v b j E v d G V t c D E x L 0 F 1 d G 9 S Z W 1 v d m V k Q 2 9 s d W 1 u c z E u e 0 N v b H V t b j g s N 3 0 m c X V v d D s s J n F 1 b 3 Q 7 U 2 V j d G l v b j E v d G V t c D E x L 0 F 1 d G 9 S Z W 1 v d m V k Q 2 9 s d W 1 u c z E u e 0 N v b H V t b j k s O H 0 m c X V v d D s s J n F 1 b 3 Q 7 U 2 V j d G l v b j E v d G V t c D E x L 0 F 1 d G 9 S Z W 1 v d m V k Q 2 9 s d W 1 u c z E u e 0 N v b H V t b j E w L D l 9 J n F 1 b 3 Q 7 L C Z x d W 9 0 O 1 N l Y 3 R p b 2 4 x L 3 R l b X A x M S 9 B d X R v U m V t b 3 Z l Z E N v b H V t b n M x L n t D b 2 x 1 b W 4 x M S w x M H 0 m c X V v d D s s J n F 1 b 3 Q 7 U 2 V j d G l v b j E v d G V t c D E x L 0 F 1 d G 9 S Z W 1 v d m V k Q 2 9 s d W 1 u c z E u e 0 N v b H V t b j E y L D E x f S Z x d W 9 0 O 1 0 s J n F 1 b 3 Q 7 U m V s Y X R p b 2 5 z a G l w S W 5 m b y Z x d W 9 0 O z p b X X 0 i I C 8 + P C 9 T d G F i b G V F b n R y a W V z P j w v S X R l b T 4 8 S X R l b T 4 8 S X R l b U x v Y 2 F 0 a W 9 u P j x J d G V t V H l w Z T 5 G b 3 J t d W x h P C 9 J d G V t V H l w Z T 4 8 S X R l b V B h d G g + U 2 V j d G l v b j E v d G V t c D E x L 1 N v d X J j Z T w v S X R l b V B h d G g + P C 9 J d G V t T G 9 j Y X R p b 2 4 + P F N 0 Y W J s Z U V u d H J p Z X M g L z 4 8 L 0 l 0 Z W 0 + P E l 0 Z W 0 + P E l 0 Z W 1 M b 2 N h d G l v b j 4 8 S X R l b V R 5 c G U + R m 9 y b X V s Y T w v S X R l b V R 5 c G U + P E l 0 Z W 1 Q Y X R o P l N l Y 3 R p b 2 4 x L 3 R l b X A x M S 9 D a G F u Z 2 V k J T I w V H l w Z T w v S X R l b V B h d G g + P C 9 J d G V t T G 9 j Y X R p b 2 4 + P F N 0 Y W J s Z U V u d H J p Z X M g L z 4 8 L 0 l 0 Z W 0 + P E l 0 Z W 0 + P E l 0 Z W 1 M b 2 N h d G l v b j 4 8 S X R l b V R 5 c G U + R m 9 y b X V s Y T w v S X R l b V R 5 c G U + P E l 0 Z W 1 Q Y X R o P l N l Y 3 R p b 2 4 x L 3 R l b X A x 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k Z G V l Z D g 5 L T A 3 Y z c t N D E x M C 1 h M D Y 4 L T M 0 N W E 1 M G V m Z G V l N S I g L z 4 8 R W 5 0 c n k g V H l w Z T 0 i Q n V m Z m V y T m V 4 d F J l Z n J l c 2 g i I F Z h b H V l P S J s M S I g L z 4 8 R W 5 0 c n k g V H l w Z T 0 i U m V z d W x 0 V H l w Z S I g V m F s d W U 9 I n N U Y W J s Z S I g L z 4 8 R W 5 0 c n k g V H l w Z T 0 i T m F t Z V V w Z G F 0 Z W R B Z n R l c k Z p b G w i I F Z h b H V l P S J s M C I g L z 4 8 R W 5 0 c n k g V H l w Z T 0 i R m l s b F R h c m d l d C I g V m F s d W U 9 I n N 0 Z W 1 w M T I 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Q t M D Q t M T V U M T Y 6 M D Y 6 M z M u O D E 3 M T Y 0 N V o i I C 8 + P E V u d H J 5 I F R 5 c G U 9 I k Z p b G x D b 2 x 1 b W 5 U e X B l c y I g V m F s d W U 9 I n N B d 0 1 E Q X d N R k F 3 T U R B d 0 1 E 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R l b X A x M i 9 B d X R v U m V t b 3 Z l Z E N v b H V t b n M x L n t D b 2 x 1 b W 4 x L D B 9 J n F 1 b 3 Q 7 L C Z x d W 9 0 O 1 N l Y 3 R p b 2 4 x L 3 R l b X A x M i 9 B d X R v U m V t b 3 Z l Z E N v b H V t b n M x L n t D b 2 x 1 b W 4 y L D F 9 J n F 1 b 3 Q 7 L C Z x d W 9 0 O 1 N l Y 3 R p b 2 4 x L 3 R l b X A x M i 9 B d X R v U m V t b 3 Z l Z E N v b H V t b n M x L n t D b 2 x 1 b W 4 z L D J 9 J n F 1 b 3 Q 7 L C Z x d W 9 0 O 1 N l Y 3 R p b 2 4 x L 3 R l b X A x M i 9 B d X R v U m V t b 3 Z l Z E N v b H V t b n M x L n t D b 2 x 1 b W 4 0 L D N 9 J n F 1 b 3 Q 7 L C Z x d W 9 0 O 1 N l Y 3 R p b 2 4 x L 3 R l b X A x M i 9 B d X R v U m V t b 3 Z l Z E N v b H V t b n M x L n t D b 2 x 1 b W 4 1 L D R 9 J n F 1 b 3 Q 7 L C Z x d W 9 0 O 1 N l Y 3 R p b 2 4 x L 3 R l b X A x M i 9 B d X R v U m V t b 3 Z l Z E N v b H V t b n M x L n t D b 2 x 1 b W 4 2 L D V 9 J n F 1 b 3 Q 7 L C Z x d W 9 0 O 1 N l Y 3 R p b 2 4 x L 3 R l b X A x M i 9 B d X R v U m V t b 3 Z l Z E N v b H V t b n M x L n t D b 2 x 1 b W 4 3 L D Z 9 J n F 1 b 3 Q 7 L C Z x d W 9 0 O 1 N l Y 3 R p b 2 4 x L 3 R l b X A x M i 9 B d X R v U m V t b 3 Z l Z E N v b H V t b n M x L n t D b 2 x 1 b W 4 4 L D d 9 J n F 1 b 3 Q 7 L C Z x d W 9 0 O 1 N l Y 3 R p b 2 4 x L 3 R l b X A x M i 9 B d X R v U m V t b 3 Z l Z E N v b H V t b n M x L n t D b 2 x 1 b W 4 5 L D h 9 J n F 1 b 3 Q 7 L C Z x d W 9 0 O 1 N l Y 3 R p b 2 4 x L 3 R l b X A x M i 9 B d X R v U m V t b 3 Z l Z E N v b H V t b n M x L n t D b 2 x 1 b W 4 x M C w 5 f S Z x d W 9 0 O y w m c X V v d D t T Z W N 0 a W 9 u M S 9 0 Z W 1 w M T I v Q X V 0 b 1 J l b W 9 2 Z W R D b 2 x 1 b W 5 z M S 5 7 Q 2 9 s d W 1 u M T E s M T B 9 J n F 1 b 3 Q 7 L C Z x d W 9 0 O 1 N l Y 3 R p b 2 4 x L 3 R l b X A x M i 9 B d X R v U m V t b 3 Z l Z E N v b H V t b n M x L n t D b 2 x 1 b W 4 x M i w x M X 0 m c X V v d D t d L C Z x d W 9 0 O 0 N v b H V t b k N v d W 5 0 J n F 1 b 3 Q 7 O j E y L C Z x d W 9 0 O 0 t l e U N v b H V t b k 5 h b W V z J n F 1 b 3 Q 7 O l t d L C Z x d W 9 0 O 0 N v b H V t b k l k Z W 5 0 a X R p Z X M m c X V v d D s 6 W y Z x d W 9 0 O 1 N l Y 3 R p b 2 4 x L 3 R l b X A x M i 9 B d X R v U m V t b 3 Z l Z E N v b H V t b n M x L n t D b 2 x 1 b W 4 x L D B 9 J n F 1 b 3 Q 7 L C Z x d W 9 0 O 1 N l Y 3 R p b 2 4 x L 3 R l b X A x M i 9 B d X R v U m V t b 3 Z l Z E N v b H V t b n M x L n t D b 2 x 1 b W 4 y L D F 9 J n F 1 b 3 Q 7 L C Z x d W 9 0 O 1 N l Y 3 R p b 2 4 x L 3 R l b X A x M i 9 B d X R v U m V t b 3 Z l Z E N v b H V t b n M x L n t D b 2 x 1 b W 4 z L D J 9 J n F 1 b 3 Q 7 L C Z x d W 9 0 O 1 N l Y 3 R p b 2 4 x L 3 R l b X A x M i 9 B d X R v U m V t b 3 Z l Z E N v b H V t b n M x L n t D b 2 x 1 b W 4 0 L D N 9 J n F 1 b 3 Q 7 L C Z x d W 9 0 O 1 N l Y 3 R p b 2 4 x L 3 R l b X A x M i 9 B d X R v U m V t b 3 Z l Z E N v b H V t b n M x L n t D b 2 x 1 b W 4 1 L D R 9 J n F 1 b 3 Q 7 L C Z x d W 9 0 O 1 N l Y 3 R p b 2 4 x L 3 R l b X A x M i 9 B d X R v U m V t b 3 Z l Z E N v b H V t b n M x L n t D b 2 x 1 b W 4 2 L D V 9 J n F 1 b 3 Q 7 L C Z x d W 9 0 O 1 N l Y 3 R p b 2 4 x L 3 R l b X A x M i 9 B d X R v U m V t b 3 Z l Z E N v b H V t b n M x L n t D b 2 x 1 b W 4 3 L D Z 9 J n F 1 b 3 Q 7 L C Z x d W 9 0 O 1 N l Y 3 R p b 2 4 x L 3 R l b X A x M i 9 B d X R v U m V t b 3 Z l Z E N v b H V t b n M x L n t D b 2 x 1 b W 4 4 L D d 9 J n F 1 b 3 Q 7 L C Z x d W 9 0 O 1 N l Y 3 R p b 2 4 x L 3 R l b X A x M i 9 B d X R v U m V t b 3 Z l Z E N v b H V t b n M x L n t D b 2 x 1 b W 4 5 L D h 9 J n F 1 b 3 Q 7 L C Z x d W 9 0 O 1 N l Y 3 R p b 2 4 x L 3 R l b X A x M i 9 B d X R v U m V t b 3 Z l Z E N v b H V t b n M x L n t D b 2 x 1 b W 4 x M C w 5 f S Z x d W 9 0 O y w m c X V v d D t T Z W N 0 a W 9 u M S 9 0 Z W 1 w M T I v Q X V 0 b 1 J l b W 9 2 Z W R D b 2 x 1 b W 5 z M S 5 7 Q 2 9 s d W 1 u M T E s M T B 9 J n F 1 b 3 Q 7 L C Z x d W 9 0 O 1 N l Y 3 R p b 2 4 x L 3 R l b X A x M i 9 B d X R v U m V t b 3 Z l Z E N v b H V t b n M x L n t D b 2 x 1 b W 4 x M i w x M X 0 m c X V v d D t d L C Z x d W 9 0 O 1 J l b G F 0 a W 9 u c 2 h p c E l u Z m 8 m c X V v d D s 6 W 1 1 9 I i A v P j w v U 3 R h Y m x l R W 5 0 c m l l c z 4 8 L 0 l 0 Z W 0 + P E l 0 Z W 0 + P E l 0 Z W 1 M b 2 N h d G l v b j 4 8 S X R l b V R 5 c G U + R m 9 y b X V s Y T w v S X R l b V R 5 c G U + P E l 0 Z W 1 Q Y X R o P l N l Y 3 R p b 2 4 x L 3 R l b X A x M i 9 T b 3 V y Y 2 U 8 L 0 l 0 Z W 1 Q Y X R o P j w v S X R l b U x v Y 2 F 0 a W 9 u P j x T d G F i b G V F b n R y a W V z I C 8 + P C 9 J d G V t P j x J d G V t P j x J d G V t T G 9 j Y X R p b 2 4 + P E l 0 Z W 1 U e X B l P k Z v c m 1 1 b G E 8 L 0 l 0 Z W 1 U e X B l P j x J d G V t U G F 0 a D 5 T Z W N 0 a W 9 u M S 9 0 Z W 1 w M T I v Q 2 h h b m d l Z C U y M F R 5 c G U 8 L 0 l 0 Z W 1 Q Y X R o P j w v S X R l b U x v Y 2 F 0 a W 9 u P j x T d G F i b G V F b n R y a W V z I C 8 + P C 9 J d G V t P j x J d G V t P j x J d G V t T G 9 j Y X R p b 2 4 + P E l 0 Z W 1 U e X B l P k Z v c m 1 1 b G E 8 L 0 l 0 Z W 1 U e X B l P j x J d G V t U G F 0 a D 5 T Z W N 0 a W 9 u M S 9 0 Z W 1 w M 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Z j Q y Z G U 0 Z S 0 0 Y W U w L T Q y M z c t O T g y N y 0 x N 2 Q 0 M z h h N j h i M z M i I C 8 + P E V u d H J 5 I F R 5 c G U 9 I k J 1 Z m Z l c k 5 l e H R S Z W Z y Z X N o I i B W Y W x 1 Z T 0 i b D E i I C 8 + P E V u d H J 5 I F R 5 c G U 9 I l J l c 3 V s d F R 5 c G U i I F Z h b H V l P S J z V G F i b G U i I C 8 + P E V u d H J 5 I F R 5 c G U 9 I k 5 h b W V V c G R h d G V k Q W Z 0 Z X J G a W x s I i B W Y W x 1 Z T 0 i b D A i I C 8 + P E V u d H J 5 I F R 5 c G U 9 I k Z p b G x U Y X J n Z X Q i I F Z h b H V l P S J z d G V t c D E z 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0 L T E 1 V D E 2 O j A 2 O j Q x L j M 1 M T I z M D Z a I i A v P j x F b n R y e S B U e X B l P S J G a W x s Q 2 9 s d W 1 u V H l w Z X M i I F Z h b H V l P S J z Q X d N R E F 3 T U Z B d 0 1 E Q X d N R 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Z W 1 w M T M v Q X V 0 b 1 J l b W 9 2 Z W R D b 2 x 1 b W 5 z M S 5 7 Q 2 9 s d W 1 u M S w w f S Z x d W 9 0 O y w m c X V v d D t T Z W N 0 a W 9 u M S 9 0 Z W 1 w M T M v Q X V 0 b 1 J l b W 9 2 Z W R D b 2 x 1 b W 5 z M S 5 7 Q 2 9 s d W 1 u M i w x f S Z x d W 9 0 O y w m c X V v d D t T Z W N 0 a W 9 u M S 9 0 Z W 1 w M T M v Q X V 0 b 1 J l b W 9 2 Z W R D b 2 x 1 b W 5 z M S 5 7 Q 2 9 s d W 1 u M y w y f S Z x d W 9 0 O y w m c X V v d D t T Z W N 0 a W 9 u M S 9 0 Z W 1 w M T M v Q X V 0 b 1 J l b W 9 2 Z W R D b 2 x 1 b W 5 z M S 5 7 Q 2 9 s d W 1 u N C w z f S Z x d W 9 0 O y w m c X V v d D t T Z W N 0 a W 9 u M S 9 0 Z W 1 w M T M v Q X V 0 b 1 J l b W 9 2 Z W R D b 2 x 1 b W 5 z M S 5 7 Q 2 9 s d W 1 u N S w 0 f S Z x d W 9 0 O y w m c X V v d D t T Z W N 0 a W 9 u M S 9 0 Z W 1 w M T M v Q X V 0 b 1 J l b W 9 2 Z W R D b 2 x 1 b W 5 z M S 5 7 Q 2 9 s d W 1 u N i w 1 f S Z x d W 9 0 O y w m c X V v d D t T Z W N 0 a W 9 u M S 9 0 Z W 1 w M T M v Q X V 0 b 1 J l b W 9 2 Z W R D b 2 x 1 b W 5 z M S 5 7 Q 2 9 s d W 1 u N y w 2 f S Z x d W 9 0 O y w m c X V v d D t T Z W N 0 a W 9 u M S 9 0 Z W 1 w M T M v Q X V 0 b 1 J l b W 9 2 Z W R D b 2 x 1 b W 5 z M S 5 7 Q 2 9 s d W 1 u O C w 3 f S Z x d W 9 0 O y w m c X V v d D t T Z W N 0 a W 9 u M S 9 0 Z W 1 w M T M v Q X V 0 b 1 J l b W 9 2 Z W R D b 2 x 1 b W 5 z M S 5 7 Q 2 9 s d W 1 u O S w 4 f S Z x d W 9 0 O y w m c X V v d D t T Z W N 0 a W 9 u M S 9 0 Z W 1 w M T M v Q X V 0 b 1 J l b W 9 2 Z W R D b 2 x 1 b W 5 z M S 5 7 Q 2 9 s d W 1 u M T A s O X 0 m c X V v d D s s J n F 1 b 3 Q 7 U 2 V j d G l v b j E v d G V t c D E z L 0 F 1 d G 9 S Z W 1 v d m V k Q 2 9 s d W 1 u c z E u e 0 N v b H V t b j E x L D E w f S Z x d W 9 0 O y w m c X V v d D t T Z W N 0 a W 9 u M S 9 0 Z W 1 w M T M v Q X V 0 b 1 J l b W 9 2 Z W R D b 2 x 1 b W 5 z M S 5 7 Q 2 9 s d W 1 u M T I s M T F 9 J n F 1 b 3 Q 7 X S w m c X V v d D t D b 2 x 1 b W 5 D b 3 V u d C Z x d W 9 0 O z o x M i w m c X V v d D t L Z X l D b 2 x 1 b W 5 O Y W 1 l c y Z x d W 9 0 O z p b X S w m c X V v d D t D b 2 x 1 b W 5 J Z G V u d G l 0 a W V z J n F 1 b 3 Q 7 O l s m c X V v d D t T Z W N 0 a W 9 u M S 9 0 Z W 1 w M T M v Q X V 0 b 1 J l b W 9 2 Z W R D b 2 x 1 b W 5 z M S 5 7 Q 2 9 s d W 1 u M S w w f S Z x d W 9 0 O y w m c X V v d D t T Z W N 0 a W 9 u M S 9 0 Z W 1 w M T M v Q X V 0 b 1 J l b W 9 2 Z W R D b 2 x 1 b W 5 z M S 5 7 Q 2 9 s d W 1 u M i w x f S Z x d W 9 0 O y w m c X V v d D t T Z W N 0 a W 9 u M S 9 0 Z W 1 w M T M v Q X V 0 b 1 J l b W 9 2 Z W R D b 2 x 1 b W 5 z M S 5 7 Q 2 9 s d W 1 u M y w y f S Z x d W 9 0 O y w m c X V v d D t T Z W N 0 a W 9 u M S 9 0 Z W 1 w M T M v Q X V 0 b 1 J l b W 9 2 Z W R D b 2 x 1 b W 5 z M S 5 7 Q 2 9 s d W 1 u N C w z f S Z x d W 9 0 O y w m c X V v d D t T Z W N 0 a W 9 u M S 9 0 Z W 1 w M T M v Q X V 0 b 1 J l b W 9 2 Z W R D b 2 x 1 b W 5 z M S 5 7 Q 2 9 s d W 1 u N S w 0 f S Z x d W 9 0 O y w m c X V v d D t T Z W N 0 a W 9 u M S 9 0 Z W 1 w M T M v Q X V 0 b 1 J l b W 9 2 Z W R D b 2 x 1 b W 5 z M S 5 7 Q 2 9 s d W 1 u N i w 1 f S Z x d W 9 0 O y w m c X V v d D t T Z W N 0 a W 9 u M S 9 0 Z W 1 w M T M v Q X V 0 b 1 J l b W 9 2 Z W R D b 2 x 1 b W 5 z M S 5 7 Q 2 9 s d W 1 u N y w 2 f S Z x d W 9 0 O y w m c X V v d D t T Z W N 0 a W 9 u M S 9 0 Z W 1 w M T M v Q X V 0 b 1 J l b W 9 2 Z W R D b 2 x 1 b W 5 z M S 5 7 Q 2 9 s d W 1 u O C w 3 f S Z x d W 9 0 O y w m c X V v d D t T Z W N 0 a W 9 u M S 9 0 Z W 1 w M T M v Q X V 0 b 1 J l b W 9 2 Z W R D b 2 x 1 b W 5 z M S 5 7 Q 2 9 s d W 1 u O S w 4 f S Z x d W 9 0 O y w m c X V v d D t T Z W N 0 a W 9 u M S 9 0 Z W 1 w M T M v Q X V 0 b 1 J l b W 9 2 Z W R D b 2 x 1 b W 5 z M S 5 7 Q 2 9 s d W 1 u M T A s O X 0 m c X V v d D s s J n F 1 b 3 Q 7 U 2 V j d G l v b j E v d G V t c D E z L 0 F 1 d G 9 S Z W 1 v d m V k Q 2 9 s d W 1 u c z E u e 0 N v b H V t b j E x L D E w f S Z x d W 9 0 O y w m c X V v d D t T Z W N 0 a W 9 u M S 9 0 Z W 1 w M T M v Q X V 0 b 1 J l b W 9 2 Z W R D b 2 x 1 b W 5 z M S 5 7 Q 2 9 s d W 1 u M T I s M T F 9 J n F 1 b 3 Q 7 X S w m c X V v d D t S Z W x h d G l v b n N o a X B J b m Z v J n F 1 b 3 Q 7 O l t d f S I g L z 4 8 L 1 N 0 Y W J s Z U V u d H J p Z X M + P C 9 J d G V t P j x J d G V t P j x J d G V t T G 9 j Y X R p b 2 4 + P E l 0 Z W 1 U e X B l P k Z v c m 1 1 b G E 8 L 0 l 0 Z W 1 U e X B l P j x J d G V t U G F 0 a D 5 T Z W N 0 a W 9 u M S 9 0 Z W 1 w M T M v U 2 9 1 c m N l P C 9 J d G V t U G F 0 a D 4 8 L 0 l 0 Z W 1 M b 2 N h d G l v b j 4 8 U 3 R h Y m x l R W 5 0 c m l l c y A v P j w v S X R l b T 4 8 S X R l b T 4 8 S X R l b U x v Y 2 F 0 a W 9 u P j x J d G V t V H l w Z T 5 G b 3 J t d W x h P C 9 J d G V t V H l w Z T 4 8 S X R l b V B h d G g + U 2 V j d G l v b j E v d G V t c D E z L 0 N o Y W 5 n Z W Q l M j B U e X B l P C 9 J d G V t U G F 0 a D 4 8 L 0 l 0 Z W 1 M b 2 N h d G l v b j 4 8 U 3 R h Y m x l R W 5 0 c m l l c y A v P j w v S X R l b T 4 8 S X R l b T 4 8 S X R l b U x v Y 2 F 0 a W 9 u P j x J d G V t V H l w Z T 5 G b 3 J t d W x h P C 9 J d G V t V H l w Z T 4 8 S X R l b V B h d G g + U 2 V j d G l v b j E v d G V t c D E 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G E 0 N z A 4 Y T I t Z D V k M C 0 0 N z U 1 L W J m M m Y t M T A 5 N T I 1 Z T l j N z d k I i A v P j x F b n R y e S B U e X B l P S J C d W Z m Z X J O Z X h 0 U m V m c m V z a C I g V m F s d W U 9 I m w x I i A v P j x F b n R y e S B U e X B l P S J S Z X N 1 b H R U e X B l I i B W Y W x 1 Z T 0 i c 1 R h Y m x l I i A v P j x F b n R y e S B U e X B l P S J O Y W 1 l V X B k Y X R l Z E F m d G V y R m l s b C I g V m F s d W U 9 I m w w I i A v P j x F b n R y e S B U e X B l P S J G a W x s V G F y Z 2 V 0 I i B W Y W x 1 Z T 0 i c 3 R l b X A x N 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j o 0 O S 4 2 O D g 5 O T E 3 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E 0 L 0 F 1 d G 9 S Z W 1 v d m V k Q 2 9 s d W 1 u c z E u e 0 N v b H V t b j E s M H 0 m c X V v d D s s J n F 1 b 3 Q 7 U 2 V j d G l v b j E v d G V t c D E 0 L 0 F 1 d G 9 S Z W 1 v d m V k Q 2 9 s d W 1 u c z E u e 0 N v b H V t b j I s M X 0 m c X V v d D s s J n F 1 b 3 Q 7 U 2 V j d G l v b j E v d G V t c D E 0 L 0 F 1 d G 9 S Z W 1 v d m V k Q 2 9 s d W 1 u c z E u e 0 N v b H V t b j M s M n 0 m c X V v d D s s J n F 1 b 3 Q 7 U 2 V j d G l v b j E v d G V t c D E 0 L 0 F 1 d G 9 S Z W 1 v d m V k Q 2 9 s d W 1 u c z E u e 0 N v b H V t b j Q s M 3 0 m c X V v d D s s J n F 1 b 3 Q 7 U 2 V j d G l v b j E v d G V t c D E 0 L 0 F 1 d G 9 S Z W 1 v d m V k Q 2 9 s d W 1 u c z E u e 0 N v b H V t b j U s N H 0 m c X V v d D s s J n F 1 b 3 Q 7 U 2 V j d G l v b j E v d G V t c D E 0 L 0 F 1 d G 9 S Z W 1 v d m V k Q 2 9 s d W 1 u c z E u e 0 N v b H V t b j Y s N X 0 m c X V v d D s s J n F 1 b 3 Q 7 U 2 V j d G l v b j E v d G V t c D E 0 L 0 F 1 d G 9 S Z W 1 v d m V k Q 2 9 s d W 1 u c z E u e 0 N v b H V t b j c s N n 0 m c X V v d D s s J n F 1 b 3 Q 7 U 2 V j d G l v b j E v d G V t c D E 0 L 0 F 1 d G 9 S Z W 1 v d m V k Q 2 9 s d W 1 u c z E u e 0 N v b H V t b j g s N 3 0 m c X V v d D s s J n F 1 b 3 Q 7 U 2 V j d G l v b j E v d G V t c D E 0 L 0 F 1 d G 9 S Z W 1 v d m V k Q 2 9 s d W 1 u c z E u e 0 N v b H V t b j k s O H 0 m c X V v d D s s J n F 1 b 3 Q 7 U 2 V j d G l v b j E v d G V t c D E 0 L 0 F 1 d G 9 S Z W 1 v d m V k Q 2 9 s d W 1 u c z E u e 0 N v b H V t b j E w L D l 9 J n F 1 b 3 Q 7 L C Z x d W 9 0 O 1 N l Y 3 R p b 2 4 x L 3 R l b X A x N C 9 B d X R v U m V t b 3 Z l Z E N v b H V t b n M x L n t D b 2 x 1 b W 4 x M S w x M H 0 m c X V v d D s s J n F 1 b 3 Q 7 U 2 V j d G l v b j E v d G V t c D E 0 L 0 F 1 d G 9 S Z W 1 v d m V k Q 2 9 s d W 1 u c z E u e 0 N v b H V t b j E y L D E x f S Z x d W 9 0 O 1 0 s J n F 1 b 3 Q 7 Q 2 9 s d W 1 u Q 2 9 1 b n Q m c X V v d D s 6 M T I s J n F 1 b 3 Q 7 S 2 V 5 Q 2 9 s d W 1 u T m F t Z X M m c X V v d D s 6 W 1 0 s J n F 1 b 3 Q 7 Q 2 9 s d W 1 u S W R l b n R p d G l l c y Z x d W 9 0 O z p b J n F 1 b 3 Q 7 U 2 V j d G l v b j E v d G V t c D E 0 L 0 F 1 d G 9 S Z W 1 v d m V k Q 2 9 s d W 1 u c z E u e 0 N v b H V t b j E s M H 0 m c X V v d D s s J n F 1 b 3 Q 7 U 2 V j d G l v b j E v d G V t c D E 0 L 0 F 1 d G 9 S Z W 1 v d m V k Q 2 9 s d W 1 u c z E u e 0 N v b H V t b j I s M X 0 m c X V v d D s s J n F 1 b 3 Q 7 U 2 V j d G l v b j E v d G V t c D E 0 L 0 F 1 d G 9 S Z W 1 v d m V k Q 2 9 s d W 1 u c z E u e 0 N v b H V t b j M s M n 0 m c X V v d D s s J n F 1 b 3 Q 7 U 2 V j d G l v b j E v d G V t c D E 0 L 0 F 1 d G 9 S Z W 1 v d m V k Q 2 9 s d W 1 u c z E u e 0 N v b H V t b j Q s M 3 0 m c X V v d D s s J n F 1 b 3 Q 7 U 2 V j d G l v b j E v d G V t c D E 0 L 0 F 1 d G 9 S Z W 1 v d m V k Q 2 9 s d W 1 u c z E u e 0 N v b H V t b j U s N H 0 m c X V v d D s s J n F 1 b 3 Q 7 U 2 V j d G l v b j E v d G V t c D E 0 L 0 F 1 d G 9 S Z W 1 v d m V k Q 2 9 s d W 1 u c z E u e 0 N v b H V t b j Y s N X 0 m c X V v d D s s J n F 1 b 3 Q 7 U 2 V j d G l v b j E v d G V t c D E 0 L 0 F 1 d G 9 S Z W 1 v d m V k Q 2 9 s d W 1 u c z E u e 0 N v b H V t b j c s N n 0 m c X V v d D s s J n F 1 b 3 Q 7 U 2 V j d G l v b j E v d G V t c D E 0 L 0 F 1 d G 9 S Z W 1 v d m V k Q 2 9 s d W 1 u c z E u e 0 N v b H V t b j g s N 3 0 m c X V v d D s s J n F 1 b 3 Q 7 U 2 V j d G l v b j E v d G V t c D E 0 L 0 F 1 d G 9 S Z W 1 v d m V k Q 2 9 s d W 1 u c z E u e 0 N v b H V t b j k s O H 0 m c X V v d D s s J n F 1 b 3 Q 7 U 2 V j d G l v b j E v d G V t c D E 0 L 0 F 1 d G 9 S Z W 1 v d m V k Q 2 9 s d W 1 u c z E u e 0 N v b H V t b j E w L D l 9 J n F 1 b 3 Q 7 L C Z x d W 9 0 O 1 N l Y 3 R p b 2 4 x L 3 R l b X A x N C 9 B d X R v U m V t b 3 Z l Z E N v b H V t b n M x L n t D b 2 x 1 b W 4 x M S w x M H 0 m c X V v d D s s J n F 1 b 3 Q 7 U 2 V j d G l v b j E v d G V t c D E 0 L 0 F 1 d G 9 S Z W 1 v d m V k Q 2 9 s d W 1 u c z E u e 0 N v b H V t b j E y L D E x f S Z x d W 9 0 O 1 0 s J n F 1 b 3 Q 7 U m V s Y X R p b 2 5 z a G l w S W 5 m b y Z x d W 9 0 O z p b X X 0 i I C 8 + P C 9 T d G F i b G V F b n R y a W V z P j w v S X R l b T 4 8 S X R l b T 4 8 S X R l b U x v Y 2 F 0 a W 9 u P j x J d G V t V H l w Z T 5 G b 3 J t d W x h P C 9 J d G V t V H l w Z T 4 8 S X R l b V B h d G g + U 2 V j d G l v b j E v d G V t c D E 0 L 1 N v d X J j Z T w v S X R l b V B h d G g + P C 9 J d G V t T G 9 j Y X R p b 2 4 + P F N 0 Y W J s Z U V u d H J p Z X M g L z 4 8 L 0 l 0 Z W 0 + P E l 0 Z W 0 + P E l 0 Z W 1 M b 2 N h d G l v b j 4 8 S X R l b V R 5 c G U + R m 9 y b X V s Y T w v S X R l b V R 5 c G U + P E l 0 Z W 1 Q Y X R o P l N l Y 3 R p b 2 4 x L 3 R l b X A x N C 9 D a G F u Z 2 V k J T I w V H l w Z T w v S X R l b V B h d G g + P C 9 J d G V t T G 9 j Y X R p b 2 4 + P F N 0 Y W J s Z U V u d H J p Z X M g L z 4 8 L 0 l 0 Z W 0 + P E l 0 Z W 0 + P E l 0 Z W 1 M b 2 N h d G l v b j 4 8 S X R l b V R 5 c G U + R m 9 y b X V s Y T w v S X R l b V R 5 c G U + P E l 0 Z W 1 Q Y X R o P l N l Y 3 R p b 2 4 x L 3 R l b X A x 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m Y m Y w Y z Y y L T U 4 O W M t N G M 4 M S 1 i N G M w L T N h Y z M w O D g 4 M z h j Z i I g L z 4 8 R W 5 0 c n k g V H l w Z T 0 i Q n V m Z m V y T m V 4 d F J l Z n J l c 2 g i I F Z h b H V l P S J s M S I g L z 4 8 R W 5 0 c n k g V H l w Z T 0 i U m V z d W x 0 V H l w Z S I g V m F s d W U 9 I n N U Y W J s Z S I g L z 4 8 R W 5 0 c n k g V H l w Z T 0 i T m F t Z V V w Z G F 0 Z W R B Z n R l c k Z p b G w i I F Z h b H V l P S J s M C I g L z 4 8 R W 5 0 c n k g V H l w Z T 0 i R m l s b F R h c m d l d C I g V m F s d W U 9 I n N 0 Z W 1 w M T U 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Q t M D Q t M T V U M T Y 6 M D Y 6 N T c u M D M 2 M D I 3 N l o i I C 8 + P E V u d H J 5 I F R 5 c G U 9 I k Z p b G x D b 2 x 1 b W 5 U e X B l c y I g V m F s d W U 9 I n N B d 0 1 E Q X d N R k F 3 T U R B d 0 1 E 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R l b X A x N S 9 B d X R v U m V t b 3 Z l Z E N v b H V t b n M x L n t D b 2 x 1 b W 4 x L D B 9 J n F 1 b 3 Q 7 L C Z x d W 9 0 O 1 N l Y 3 R p b 2 4 x L 3 R l b X A x N S 9 B d X R v U m V t b 3 Z l Z E N v b H V t b n M x L n t D b 2 x 1 b W 4 y L D F 9 J n F 1 b 3 Q 7 L C Z x d W 9 0 O 1 N l Y 3 R p b 2 4 x L 3 R l b X A x N S 9 B d X R v U m V t b 3 Z l Z E N v b H V t b n M x L n t D b 2 x 1 b W 4 z L D J 9 J n F 1 b 3 Q 7 L C Z x d W 9 0 O 1 N l Y 3 R p b 2 4 x L 3 R l b X A x N S 9 B d X R v U m V t b 3 Z l Z E N v b H V t b n M x L n t D b 2 x 1 b W 4 0 L D N 9 J n F 1 b 3 Q 7 L C Z x d W 9 0 O 1 N l Y 3 R p b 2 4 x L 3 R l b X A x N S 9 B d X R v U m V t b 3 Z l Z E N v b H V t b n M x L n t D b 2 x 1 b W 4 1 L D R 9 J n F 1 b 3 Q 7 L C Z x d W 9 0 O 1 N l Y 3 R p b 2 4 x L 3 R l b X A x N S 9 B d X R v U m V t b 3 Z l Z E N v b H V t b n M x L n t D b 2 x 1 b W 4 2 L D V 9 J n F 1 b 3 Q 7 L C Z x d W 9 0 O 1 N l Y 3 R p b 2 4 x L 3 R l b X A x N S 9 B d X R v U m V t b 3 Z l Z E N v b H V t b n M x L n t D b 2 x 1 b W 4 3 L D Z 9 J n F 1 b 3 Q 7 L C Z x d W 9 0 O 1 N l Y 3 R p b 2 4 x L 3 R l b X A x N S 9 B d X R v U m V t b 3 Z l Z E N v b H V t b n M x L n t D b 2 x 1 b W 4 4 L D d 9 J n F 1 b 3 Q 7 L C Z x d W 9 0 O 1 N l Y 3 R p b 2 4 x L 3 R l b X A x N S 9 B d X R v U m V t b 3 Z l Z E N v b H V t b n M x L n t D b 2 x 1 b W 4 5 L D h 9 J n F 1 b 3 Q 7 L C Z x d W 9 0 O 1 N l Y 3 R p b 2 4 x L 3 R l b X A x N S 9 B d X R v U m V t b 3 Z l Z E N v b H V t b n M x L n t D b 2 x 1 b W 4 x M C w 5 f S Z x d W 9 0 O y w m c X V v d D t T Z W N 0 a W 9 u M S 9 0 Z W 1 w M T U v Q X V 0 b 1 J l b W 9 2 Z W R D b 2 x 1 b W 5 z M S 5 7 Q 2 9 s d W 1 u M T E s M T B 9 J n F 1 b 3 Q 7 L C Z x d W 9 0 O 1 N l Y 3 R p b 2 4 x L 3 R l b X A x N S 9 B d X R v U m V t b 3 Z l Z E N v b H V t b n M x L n t D b 2 x 1 b W 4 x M i w x M X 0 m c X V v d D t d L C Z x d W 9 0 O 0 N v b H V t b k N v d W 5 0 J n F 1 b 3 Q 7 O j E y L C Z x d W 9 0 O 0 t l e U N v b H V t b k 5 h b W V z J n F 1 b 3 Q 7 O l t d L C Z x d W 9 0 O 0 N v b H V t b k l k Z W 5 0 a X R p Z X M m c X V v d D s 6 W y Z x d W 9 0 O 1 N l Y 3 R p b 2 4 x L 3 R l b X A x N S 9 B d X R v U m V t b 3 Z l Z E N v b H V t b n M x L n t D b 2 x 1 b W 4 x L D B 9 J n F 1 b 3 Q 7 L C Z x d W 9 0 O 1 N l Y 3 R p b 2 4 x L 3 R l b X A x N S 9 B d X R v U m V t b 3 Z l Z E N v b H V t b n M x L n t D b 2 x 1 b W 4 y L D F 9 J n F 1 b 3 Q 7 L C Z x d W 9 0 O 1 N l Y 3 R p b 2 4 x L 3 R l b X A x N S 9 B d X R v U m V t b 3 Z l Z E N v b H V t b n M x L n t D b 2 x 1 b W 4 z L D J 9 J n F 1 b 3 Q 7 L C Z x d W 9 0 O 1 N l Y 3 R p b 2 4 x L 3 R l b X A x N S 9 B d X R v U m V t b 3 Z l Z E N v b H V t b n M x L n t D b 2 x 1 b W 4 0 L D N 9 J n F 1 b 3 Q 7 L C Z x d W 9 0 O 1 N l Y 3 R p b 2 4 x L 3 R l b X A x N S 9 B d X R v U m V t b 3 Z l Z E N v b H V t b n M x L n t D b 2 x 1 b W 4 1 L D R 9 J n F 1 b 3 Q 7 L C Z x d W 9 0 O 1 N l Y 3 R p b 2 4 x L 3 R l b X A x N S 9 B d X R v U m V t b 3 Z l Z E N v b H V t b n M x L n t D b 2 x 1 b W 4 2 L D V 9 J n F 1 b 3 Q 7 L C Z x d W 9 0 O 1 N l Y 3 R p b 2 4 x L 3 R l b X A x N S 9 B d X R v U m V t b 3 Z l Z E N v b H V t b n M x L n t D b 2 x 1 b W 4 3 L D Z 9 J n F 1 b 3 Q 7 L C Z x d W 9 0 O 1 N l Y 3 R p b 2 4 x L 3 R l b X A x N S 9 B d X R v U m V t b 3 Z l Z E N v b H V t b n M x L n t D b 2 x 1 b W 4 4 L D d 9 J n F 1 b 3 Q 7 L C Z x d W 9 0 O 1 N l Y 3 R p b 2 4 x L 3 R l b X A x N S 9 B d X R v U m V t b 3 Z l Z E N v b H V t b n M x L n t D b 2 x 1 b W 4 5 L D h 9 J n F 1 b 3 Q 7 L C Z x d W 9 0 O 1 N l Y 3 R p b 2 4 x L 3 R l b X A x N S 9 B d X R v U m V t b 3 Z l Z E N v b H V t b n M x L n t D b 2 x 1 b W 4 x M C w 5 f S Z x d W 9 0 O y w m c X V v d D t T Z W N 0 a W 9 u M S 9 0 Z W 1 w M T U v Q X V 0 b 1 J l b W 9 2 Z W R D b 2 x 1 b W 5 z M S 5 7 Q 2 9 s d W 1 u M T E s M T B 9 J n F 1 b 3 Q 7 L C Z x d W 9 0 O 1 N l Y 3 R p b 2 4 x L 3 R l b X A x N S 9 B d X R v U m V t b 3 Z l Z E N v b H V t b n M x L n t D b 2 x 1 b W 4 x M i w x M X 0 m c X V v d D t d L C Z x d W 9 0 O 1 J l b G F 0 a W 9 u c 2 h p c E l u Z m 8 m c X V v d D s 6 W 1 1 9 I i A v P j w v U 3 R h Y m x l R W 5 0 c m l l c z 4 8 L 0 l 0 Z W 0 + P E l 0 Z W 0 + P E l 0 Z W 1 M b 2 N h d G l v b j 4 8 S X R l b V R 5 c G U + R m 9 y b X V s Y T w v S X R l b V R 5 c G U + P E l 0 Z W 1 Q Y X R o P l N l Y 3 R p b 2 4 x L 3 R l b X A x N S 9 T b 3 V y Y 2 U 8 L 0 l 0 Z W 1 Q Y X R o P j w v S X R l b U x v Y 2 F 0 a W 9 u P j x T d G F i b G V F b n R y a W V z I C 8 + P C 9 J d G V t P j x J d G V t P j x J d G V t T G 9 j Y X R p b 2 4 + P E l 0 Z W 1 U e X B l P k Z v c m 1 1 b G E 8 L 0 l 0 Z W 1 U e X B l P j x J d G V t U G F 0 a D 5 T Z W N 0 a W 9 u M S 9 0 Z W 1 w M T U v Q 2 h h b m d l Z C U y M F R 5 c G U 8 L 0 l 0 Z W 1 Q Y X R o P j w v S X R l b U x v Y 2 F 0 a W 9 u P j x T d G F i b G V F b n R y a W V z I C 8 + P C 9 J d G V t P j x J d G V t P j x J d G V t T G 9 j Y X R p b 2 4 + P E l 0 Z W 1 U e X B l P k Z v c m 1 1 b G E 8 L 0 l 0 Z W 1 U e X B l P j x J d G V t U G F 0 a D 5 T Z W N 0 a W 9 u M S 9 0 Z W 1 w 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N T A 0 N 2 I 4 M S 1 m O D U z L T R i N G Q t O W F j O C 1 k M m M w Z T h k N m U 5 Y z A i I C 8 + P E V u d H J 5 I F R 5 c G U 9 I k J 1 Z m Z l c k 5 l e H R S Z W Z y Z X N o I i B W Y W x 1 Z T 0 i b D E i I C 8 + P E V u d H J 5 I F R 5 c G U 9 I l J l c 3 V s d F R 5 c G U i I F Z h b H V l P S J z V G F i b G U i I C 8 + P E V u d H J 5 I F R 5 c G U 9 I k 5 h b W V V c G R h d G V k Q W Z 0 Z X J G a W x s I i B W Y W x 1 Z T 0 i b D A i I C 8 + P E V u d H J 5 I F R 5 c G U 9 I k Z p b G x U Y X J n Z X Q i I F Z h b H V l P S J z d G V t c D E 2 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0 L T E 1 V D E 2 O j A 3 O j A 1 L j Q 2 M T M 1 O T l a I i A v P j x F b n R y e S B U e X B l P S J G a W x s Q 2 9 s d W 1 u V H l w Z X M i I F Z h b H V l P S J z Q X d N R E F 3 T U Z B d 0 1 E Q X d N R 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Z W 1 w M T Y v Q X V 0 b 1 J l b W 9 2 Z W R D b 2 x 1 b W 5 z M S 5 7 Q 2 9 s d W 1 u M S w w f S Z x d W 9 0 O y w m c X V v d D t T Z W N 0 a W 9 u M S 9 0 Z W 1 w M T Y v Q X V 0 b 1 J l b W 9 2 Z W R D b 2 x 1 b W 5 z M S 5 7 Q 2 9 s d W 1 u M i w x f S Z x d W 9 0 O y w m c X V v d D t T Z W N 0 a W 9 u M S 9 0 Z W 1 w M T Y v Q X V 0 b 1 J l b W 9 2 Z W R D b 2 x 1 b W 5 z M S 5 7 Q 2 9 s d W 1 u M y w y f S Z x d W 9 0 O y w m c X V v d D t T Z W N 0 a W 9 u M S 9 0 Z W 1 w M T Y v Q X V 0 b 1 J l b W 9 2 Z W R D b 2 x 1 b W 5 z M S 5 7 Q 2 9 s d W 1 u N C w z f S Z x d W 9 0 O y w m c X V v d D t T Z W N 0 a W 9 u M S 9 0 Z W 1 w M T Y v Q X V 0 b 1 J l b W 9 2 Z W R D b 2 x 1 b W 5 z M S 5 7 Q 2 9 s d W 1 u N S w 0 f S Z x d W 9 0 O y w m c X V v d D t T Z W N 0 a W 9 u M S 9 0 Z W 1 w M T Y v Q X V 0 b 1 J l b W 9 2 Z W R D b 2 x 1 b W 5 z M S 5 7 Q 2 9 s d W 1 u N i w 1 f S Z x d W 9 0 O y w m c X V v d D t T Z W N 0 a W 9 u M S 9 0 Z W 1 w M T Y v Q X V 0 b 1 J l b W 9 2 Z W R D b 2 x 1 b W 5 z M S 5 7 Q 2 9 s d W 1 u N y w 2 f S Z x d W 9 0 O y w m c X V v d D t T Z W N 0 a W 9 u M S 9 0 Z W 1 w M T Y v Q X V 0 b 1 J l b W 9 2 Z W R D b 2 x 1 b W 5 z M S 5 7 Q 2 9 s d W 1 u O C w 3 f S Z x d W 9 0 O y w m c X V v d D t T Z W N 0 a W 9 u M S 9 0 Z W 1 w M T Y v Q X V 0 b 1 J l b W 9 2 Z W R D b 2 x 1 b W 5 z M S 5 7 Q 2 9 s d W 1 u O S w 4 f S Z x d W 9 0 O y w m c X V v d D t T Z W N 0 a W 9 u M S 9 0 Z W 1 w M T Y v Q X V 0 b 1 J l b W 9 2 Z W R D b 2 x 1 b W 5 z M S 5 7 Q 2 9 s d W 1 u M T A s O X 0 m c X V v d D s s J n F 1 b 3 Q 7 U 2 V j d G l v b j E v d G V t c D E 2 L 0 F 1 d G 9 S Z W 1 v d m V k Q 2 9 s d W 1 u c z E u e 0 N v b H V t b j E x L D E w f S Z x d W 9 0 O y w m c X V v d D t T Z W N 0 a W 9 u M S 9 0 Z W 1 w M T Y v Q X V 0 b 1 J l b W 9 2 Z W R D b 2 x 1 b W 5 z M S 5 7 Q 2 9 s d W 1 u M T I s M T F 9 J n F 1 b 3 Q 7 X S w m c X V v d D t D b 2 x 1 b W 5 D b 3 V u d C Z x d W 9 0 O z o x M i w m c X V v d D t L Z X l D b 2 x 1 b W 5 O Y W 1 l c y Z x d W 9 0 O z p b X S w m c X V v d D t D b 2 x 1 b W 5 J Z G V u d G l 0 a W V z J n F 1 b 3 Q 7 O l s m c X V v d D t T Z W N 0 a W 9 u M S 9 0 Z W 1 w M T Y v Q X V 0 b 1 J l b W 9 2 Z W R D b 2 x 1 b W 5 z M S 5 7 Q 2 9 s d W 1 u M S w w f S Z x d W 9 0 O y w m c X V v d D t T Z W N 0 a W 9 u M S 9 0 Z W 1 w M T Y v Q X V 0 b 1 J l b W 9 2 Z W R D b 2 x 1 b W 5 z M S 5 7 Q 2 9 s d W 1 u M i w x f S Z x d W 9 0 O y w m c X V v d D t T Z W N 0 a W 9 u M S 9 0 Z W 1 w M T Y v Q X V 0 b 1 J l b W 9 2 Z W R D b 2 x 1 b W 5 z M S 5 7 Q 2 9 s d W 1 u M y w y f S Z x d W 9 0 O y w m c X V v d D t T Z W N 0 a W 9 u M S 9 0 Z W 1 w M T Y v Q X V 0 b 1 J l b W 9 2 Z W R D b 2 x 1 b W 5 z M S 5 7 Q 2 9 s d W 1 u N C w z f S Z x d W 9 0 O y w m c X V v d D t T Z W N 0 a W 9 u M S 9 0 Z W 1 w M T Y v Q X V 0 b 1 J l b W 9 2 Z W R D b 2 x 1 b W 5 z M S 5 7 Q 2 9 s d W 1 u N S w 0 f S Z x d W 9 0 O y w m c X V v d D t T Z W N 0 a W 9 u M S 9 0 Z W 1 w M T Y v Q X V 0 b 1 J l b W 9 2 Z W R D b 2 x 1 b W 5 z M S 5 7 Q 2 9 s d W 1 u N i w 1 f S Z x d W 9 0 O y w m c X V v d D t T Z W N 0 a W 9 u M S 9 0 Z W 1 w M T Y v Q X V 0 b 1 J l b W 9 2 Z W R D b 2 x 1 b W 5 z M S 5 7 Q 2 9 s d W 1 u N y w 2 f S Z x d W 9 0 O y w m c X V v d D t T Z W N 0 a W 9 u M S 9 0 Z W 1 w M T Y v Q X V 0 b 1 J l b W 9 2 Z W R D b 2 x 1 b W 5 z M S 5 7 Q 2 9 s d W 1 u O C w 3 f S Z x d W 9 0 O y w m c X V v d D t T Z W N 0 a W 9 u M S 9 0 Z W 1 w M T Y v Q X V 0 b 1 J l b W 9 2 Z W R D b 2 x 1 b W 5 z M S 5 7 Q 2 9 s d W 1 u O S w 4 f S Z x d W 9 0 O y w m c X V v d D t T Z W N 0 a W 9 u M S 9 0 Z W 1 w M T Y v Q X V 0 b 1 J l b W 9 2 Z W R D b 2 x 1 b W 5 z M S 5 7 Q 2 9 s d W 1 u M T A s O X 0 m c X V v d D s s J n F 1 b 3 Q 7 U 2 V j d G l v b j E v d G V t c D E 2 L 0 F 1 d G 9 S Z W 1 v d m V k Q 2 9 s d W 1 u c z E u e 0 N v b H V t b j E x L D E w f S Z x d W 9 0 O y w m c X V v d D t T Z W N 0 a W 9 u M S 9 0 Z W 1 w M T Y v Q X V 0 b 1 J l b W 9 2 Z W R D b 2 x 1 b W 5 z M S 5 7 Q 2 9 s d W 1 u M T I s M T F 9 J n F 1 b 3 Q 7 X S w m c X V v d D t S Z W x h d G l v b n N o a X B J b m Z v J n F 1 b 3 Q 7 O l t d f S I g L z 4 8 L 1 N 0 Y W J s Z U V u d H J p Z X M + P C 9 J d G V t P j x J d G V t P j x J d G V t T G 9 j Y X R p b 2 4 + P E l 0 Z W 1 U e X B l P k Z v c m 1 1 b G E 8 L 0 l 0 Z W 1 U e X B l P j x J d G V t U G F 0 a D 5 T Z W N 0 a W 9 u M S 9 0 Z W 1 w M T Y v U 2 9 1 c m N l P C 9 J d G V t U G F 0 a D 4 8 L 0 l 0 Z W 1 M b 2 N h d G l v b j 4 8 U 3 R h Y m x l R W 5 0 c m l l c y A v P j w v S X R l b T 4 8 S X R l b T 4 8 S X R l b U x v Y 2 F 0 a W 9 u P j x J d G V t V H l w Z T 5 G b 3 J t d W x h P C 9 J d G V t V H l w Z T 4 8 S X R l b V B h d G g + U 2 V j d G l v b j E v d G V t c D E 2 L 0 N o Y W 5 n Z W Q l M j B U e X B l P C 9 J d G V t U G F 0 a D 4 8 L 0 l 0 Z W 1 M b 2 N h d G l v b j 4 8 U 3 R h Y m x l R W 5 0 c m l l c y A v P j w v S X R l b T 4 8 S X R l b T 4 8 S X R l b U x v Y 2 F 0 a W 9 u P j x J d G V t V H l w Z T 5 G b 3 J t d W x h P C 9 J d G V t V H l w Z T 4 8 S X R l b V B h d G g + U 2 V j d G l v b j E v d G V t c D E 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U w Z m Z j M W E t N m F h M i 0 0 M T c x L W E 0 Z T I t O T h i O T I x M z M z Y T F j I i A v P j x F b n R y e S B U e X B l P S J C d W Z m Z X J O Z X h 0 U m V m c m V z a C I g V m F s d W U 9 I m w x I i A v P j x F b n R y e S B U e X B l P S J S Z X N 1 b H R U e X B l I i B W Y W x 1 Z T 0 i c 1 R h Y m x l I i A v P j x F b n R y e S B U e X B l P S J O Y W 1 l V X B k Y X R l Z E F m d G V y R m l s b C I g V m F s d W U 9 I m w w I i A v P j x F b n R y e S B U e X B l P S J G a W x s V G F y Z 2 V 0 I i B W Y W x 1 Z T 0 i c 3 R l b X A x N y 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z o x M y 4 y M D k x N z Q 5 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E 3 L 0 F 1 d G 9 S Z W 1 v d m V k Q 2 9 s d W 1 u c z E u e 0 N v b H V t b j E s M H 0 m c X V v d D s s J n F 1 b 3 Q 7 U 2 V j d G l v b j E v d G V t c D E 3 L 0 F 1 d G 9 S Z W 1 v d m V k Q 2 9 s d W 1 u c z E u e 0 N v b H V t b j I s M X 0 m c X V v d D s s J n F 1 b 3 Q 7 U 2 V j d G l v b j E v d G V t c D E 3 L 0 F 1 d G 9 S Z W 1 v d m V k Q 2 9 s d W 1 u c z E u e 0 N v b H V t b j M s M n 0 m c X V v d D s s J n F 1 b 3 Q 7 U 2 V j d G l v b j E v d G V t c D E 3 L 0 F 1 d G 9 S Z W 1 v d m V k Q 2 9 s d W 1 u c z E u e 0 N v b H V t b j Q s M 3 0 m c X V v d D s s J n F 1 b 3 Q 7 U 2 V j d G l v b j E v d G V t c D E 3 L 0 F 1 d G 9 S Z W 1 v d m V k Q 2 9 s d W 1 u c z E u e 0 N v b H V t b j U s N H 0 m c X V v d D s s J n F 1 b 3 Q 7 U 2 V j d G l v b j E v d G V t c D E 3 L 0 F 1 d G 9 S Z W 1 v d m V k Q 2 9 s d W 1 u c z E u e 0 N v b H V t b j Y s N X 0 m c X V v d D s s J n F 1 b 3 Q 7 U 2 V j d G l v b j E v d G V t c D E 3 L 0 F 1 d G 9 S Z W 1 v d m V k Q 2 9 s d W 1 u c z E u e 0 N v b H V t b j c s N n 0 m c X V v d D s s J n F 1 b 3 Q 7 U 2 V j d G l v b j E v d G V t c D E 3 L 0 F 1 d G 9 S Z W 1 v d m V k Q 2 9 s d W 1 u c z E u e 0 N v b H V t b j g s N 3 0 m c X V v d D s s J n F 1 b 3 Q 7 U 2 V j d G l v b j E v d G V t c D E 3 L 0 F 1 d G 9 S Z W 1 v d m V k Q 2 9 s d W 1 u c z E u e 0 N v b H V t b j k s O H 0 m c X V v d D s s J n F 1 b 3 Q 7 U 2 V j d G l v b j E v d G V t c D E 3 L 0 F 1 d G 9 S Z W 1 v d m V k Q 2 9 s d W 1 u c z E u e 0 N v b H V t b j E w L D l 9 J n F 1 b 3 Q 7 L C Z x d W 9 0 O 1 N l Y 3 R p b 2 4 x L 3 R l b X A x N y 9 B d X R v U m V t b 3 Z l Z E N v b H V t b n M x L n t D b 2 x 1 b W 4 x M S w x M H 0 m c X V v d D s s J n F 1 b 3 Q 7 U 2 V j d G l v b j E v d G V t c D E 3 L 0 F 1 d G 9 S Z W 1 v d m V k Q 2 9 s d W 1 u c z E u e 0 N v b H V t b j E y L D E x f S Z x d W 9 0 O 1 0 s J n F 1 b 3 Q 7 Q 2 9 s d W 1 u Q 2 9 1 b n Q m c X V v d D s 6 M T I s J n F 1 b 3 Q 7 S 2 V 5 Q 2 9 s d W 1 u T m F t Z X M m c X V v d D s 6 W 1 0 s J n F 1 b 3 Q 7 Q 2 9 s d W 1 u S W R l b n R p d G l l c y Z x d W 9 0 O z p b J n F 1 b 3 Q 7 U 2 V j d G l v b j E v d G V t c D E 3 L 0 F 1 d G 9 S Z W 1 v d m V k Q 2 9 s d W 1 u c z E u e 0 N v b H V t b j E s M H 0 m c X V v d D s s J n F 1 b 3 Q 7 U 2 V j d G l v b j E v d G V t c D E 3 L 0 F 1 d G 9 S Z W 1 v d m V k Q 2 9 s d W 1 u c z E u e 0 N v b H V t b j I s M X 0 m c X V v d D s s J n F 1 b 3 Q 7 U 2 V j d G l v b j E v d G V t c D E 3 L 0 F 1 d G 9 S Z W 1 v d m V k Q 2 9 s d W 1 u c z E u e 0 N v b H V t b j M s M n 0 m c X V v d D s s J n F 1 b 3 Q 7 U 2 V j d G l v b j E v d G V t c D E 3 L 0 F 1 d G 9 S Z W 1 v d m V k Q 2 9 s d W 1 u c z E u e 0 N v b H V t b j Q s M 3 0 m c X V v d D s s J n F 1 b 3 Q 7 U 2 V j d G l v b j E v d G V t c D E 3 L 0 F 1 d G 9 S Z W 1 v d m V k Q 2 9 s d W 1 u c z E u e 0 N v b H V t b j U s N H 0 m c X V v d D s s J n F 1 b 3 Q 7 U 2 V j d G l v b j E v d G V t c D E 3 L 0 F 1 d G 9 S Z W 1 v d m V k Q 2 9 s d W 1 u c z E u e 0 N v b H V t b j Y s N X 0 m c X V v d D s s J n F 1 b 3 Q 7 U 2 V j d G l v b j E v d G V t c D E 3 L 0 F 1 d G 9 S Z W 1 v d m V k Q 2 9 s d W 1 u c z E u e 0 N v b H V t b j c s N n 0 m c X V v d D s s J n F 1 b 3 Q 7 U 2 V j d G l v b j E v d G V t c D E 3 L 0 F 1 d G 9 S Z W 1 v d m V k Q 2 9 s d W 1 u c z E u e 0 N v b H V t b j g s N 3 0 m c X V v d D s s J n F 1 b 3 Q 7 U 2 V j d G l v b j E v d G V t c D E 3 L 0 F 1 d G 9 S Z W 1 v d m V k Q 2 9 s d W 1 u c z E u e 0 N v b H V t b j k s O H 0 m c X V v d D s s J n F 1 b 3 Q 7 U 2 V j d G l v b j E v d G V t c D E 3 L 0 F 1 d G 9 S Z W 1 v d m V k Q 2 9 s d W 1 u c z E u e 0 N v b H V t b j E w L D l 9 J n F 1 b 3 Q 7 L C Z x d W 9 0 O 1 N l Y 3 R p b 2 4 x L 3 R l b X A x N y 9 B d X R v U m V t b 3 Z l Z E N v b H V t b n M x L n t D b 2 x 1 b W 4 x M S w x M H 0 m c X V v d D s s J n F 1 b 3 Q 7 U 2 V j d G l v b j E v d G V t c D E 3 L 0 F 1 d G 9 S Z W 1 v d m V k Q 2 9 s d W 1 u c z E u e 0 N v b H V t b j E y L D E x f S Z x d W 9 0 O 1 0 s J n F 1 b 3 Q 7 U m V s Y X R p b 2 5 z a G l w S W 5 m b y Z x d W 9 0 O z p b X X 0 i I C 8 + P C 9 T d G F i b G V F b n R y a W V z P j w v S X R l b T 4 8 S X R l b T 4 8 S X R l b U x v Y 2 F 0 a W 9 u P j x J d G V t V H l w Z T 5 G b 3 J t d W x h P C 9 J d G V t V H l w Z T 4 8 S X R l b V B h d G g + U 2 V j d G l v b j E v d G V t c D E 3 L 1 N v d X J j Z T w v S X R l b V B h d G g + P C 9 J d G V t T G 9 j Y X R p b 2 4 + P F N 0 Y W J s Z U V u d H J p Z X M g L z 4 8 L 0 l 0 Z W 0 + P E l 0 Z W 0 + P E l 0 Z W 1 M b 2 N h d G l v b j 4 8 S X R l b V R 5 c G U + R m 9 y b X V s Y T w v S X R l b V R 5 c G U + P E l 0 Z W 1 Q Y X R o P l N l Y 3 R p b 2 4 x L 3 R l b X A x N y 9 D a G F u Z 2 V k J T I w V H l w Z T w v S X R l b V B h d G g + P C 9 J d G V t T G 9 j Y X R p b 2 4 + P F N 0 Y W J s Z U V u d H J p Z X M g L z 4 8 L 0 l 0 Z W 0 + P E l 0 Z W 0 + P E l 0 Z W 1 M b 2 N h d G l v b j 4 8 S X R l b V R 5 c G U + R m 9 y b X V s Y T w v S X R l b V R 5 c G U + P E l 0 Z W 1 Q Y X R o P l N l Y 3 R p b 2 4 x L 3 R l b X A x 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1 M W Y 2 N 2 M 4 L W Q 2 O G M t N G I y Y i 0 4 Z D c y L T Z j Y j E 4 N z d m M z k 5 Z i I g L z 4 8 R W 5 0 c n k g V H l w Z T 0 i Q n V m Z m V y T m V 4 d F J l Z n J l c 2 g i I F Z h b H V l P S J s M S I g L z 4 8 R W 5 0 c n k g V H l w Z T 0 i U m V z d W x 0 V H l w Z S I g V m F s d W U 9 I n N U Y W J s Z S I g L z 4 8 R W 5 0 c n k g V H l w Z T 0 i T m F t Z V V w Z G F 0 Z W R B Z n R l c k Z p b G w i I F Z h b H V l P S J s M C I g L z 4 8 R W 5 0 c n k g V H l w Z T 0 i R m l s b F R h c m d l d C I g V m F s d W U 9 I n N 0 Z W 1 w M T g 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Q t M D Q t M T V U M T Y 6 M D c 6 M j I u N T I w N D A 5 M 1 o i I C 8 + P E V u d H J 5 I F R 5 c G U 9 I k Z p b G x D b 2 x 1 b W 5 U e X B l c y I g V m F s d W U 9 I n N B d 0 1 E Q X d N R k F 3 T U R B d 0 1 E 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R l b X A x O C 9 B d X R v U m V t b 3 Z l Z E N v b H V t b n M x L n t D b 2 x 1 b W 4 x L D B 9 J n F 1 b 3 Q 7 L C Z x d W 9 0 O 1 N l Y 3 R p b 2 4 x L 3 R l b X A x O C 9 B d X R v U m V t b 3 Z l Z E N v b H V t b n M x L n t D b 2 x 1 b W 4 y L D F 9 J n F 1 b 3 Q 7 L C Z x d W 9 0 O 1 N l Y 3 R p b 2 4 x L 3 R l b X A x O C 9 B d X R v U m V t b 3 Z l Z E N v b H V t b n M x L n t D b 2 x 1 b W 4 z L D J 9 J n F 1 b 3 Q 7 L C Z x d W 9 0 O 1 N l Y 3 R p b 2 4 x L 3 R l b X A x O C 9 B d X R v U m V t b 3 Z l Z E N v b H V t b n M x L n t D b 2 x 1 b W 4 0 L D N 9 J n F 1 b 3 Q 7 L C Z x d W 9 0 O 1 N l Y 3 R p b 2 4 x L 3 R l b X A x O C 9 B d X R v U m V t b 3 Z l Z E N v b H V t b n M x L n t D b 2 x 1 b W 4 1 L D R 9 J n F 1 b 3 Q 7 L C Z x d W 9 0 O 1 N l Y 3 R p b 2 4 x L 3 R l b X A x O C 9 B d X R v U m V t b 3 Z l Z E N v b H V t b n M x L n t D b 2 x 1 b W 4 2 L D V 9 J n F 1 b 3 Q 7 L C Z x d W 9 0 O 1 N l Y 3 R p b 2 4 x L 3 R l b X A x O C 9 B d X R v U m V t b 3 Z l Z E N v b H V t b n M x L n t D b 2 x 1 b W 4 3 L D Z 9 J n F 1 b 3 Q 7 L C Z x d W 9 0 O 1 N l Y 3 R p b 2 4 x L 3 R l b X A x O C 9 B d X R v U m V t b 3 Z l Z E N v b H V t b n M x L n t D b 2 x 1 b W 4 4 L D d 9 J n F 1 b 3 Q 7 L C Z x d W 9 0 O 1 N l Y 3 R p b 2 4 x L 3 R l b X A x O C 9 B d X R v U m V t b 3 Z l Z E N v b H V t b n M x L n t D b 2 x 1 b W 4 5 L D h 9 J n F 1 b 3 Q 7 L C Z x d W 9 0 O 1 N l Y 3 R p b 2 4 x L 3 R l b X A x O C 9 B d X R v U m V t b 3 Z l Z E N v b H V t b n M x L n t D b 2 x 1 b W 4 x M C w 5 f S Z x d W 9 0 O y w m c X V v d D t T Z W N 0 a W 9 u M S 9 0 Z W 1 w M T g v Q X V 0 b 1 J l b W 9 2 Z W R D b 2 x 1 b W 5 z M S 5 7 Q 2 9 s d W 1 u M T E s M T B 9 J n F 1 b 3 Q 7 L C Z x d W 9 0 O 1 N l Y 3 R p b 2 4 x L 3 R l b X A x O C 9 B d X R v U m V t b 3 Z l Z E N v b H V t b n M x L n t D b 2 x 1 b W 4 x M i w x M X 0 m c X V v d D t d L C Z x d W 9 0 O 0 N v b H V t b k N v d W 5 0 J n F 1 b 3 Q 7 O j E y L C Z x d W 9 0 O 0 t l e U N v b H V t b k 5 h b W V z J n F 1 b 3 Q 7 O l t d L C Z x d W 9 0 O 0 N v b H V t b k l k Z W 5 0 a X R p Z X M m c X V v d D s 6 W y Z x d W 9 0 O 1 N l Y 3 R p b 2 4 x L 3 R l b X A x O C 9 B d X R v U m V t b 3 Z l Z E N v b H V t b n M x L n t D b 2 x 1 b W 4 x L D B 9 J n F 1 b 3 Q 7 L C Z x d W 9 0 O 1 N l Y 3 R p b 2 4 x L 3 R l b X A x O C 9 B d X R v U m V t b 3 Z l Z E N v b H V t b n M x L n t D b 2 x 1 b W 4 y L D F 9 J n F 1 b 3 Q 7 L C Z x d W 9 0 O 1 N l Y 3 R p b 2 4 x L 3 R l b X A x O C 9 B d X R v U m V t b 3 Z l Z E N v b H V t b n M x L n t D b 2 x 1 b W 4 z L D J 9 J n F 1 b 3 Q 7 L C Z x d W 9 0 O 1 N l Y 3 R p b 2 4 x L 3 R l b X A x O C 9 B d X R v U m V t b 3 Z l Z E N v b H V t b n M x L n t D b 2 x 1 b W 4 0 L D N 9 J n F 1 b 3 Q 7 L C Z x d W 9 0 O 1 N l Y 3 R p b 2 4 x L 3 R l b X A x O C 9 B d X R v U m V t b 3 Z l Z E N v b H V t b n M x L n t D b 2 x 1 b W 4 1 L D R 9 J n F 1 b 3 Q 7 L C Z x d W 9 0 O 1 N l Y 3 R p b 2 4 x L 3 R l b X A x O C 9 B d X R v U m V t b 3 Z l Z E N v b H V t b n M x L n t D b 2 x 1 b W 4 2 L D V 9 J n F 1 b 3 Q 7 L C Z x d W 9 0 O 1 N l Y 3 R p b 2 4 x L 3 R l b X A x O C 9 B d X R v U m V t b 3 Z l Z E N v b H V t b n M x L n t D b 2 x 1 b W 4 3 L D Z 9 J n F 1 b 3 Q 7 L C Z x d W 9 0 O 1 N l Y 3 R p b 2 4 x L 3 R l b X A x O C 9 B d X R v U m V t b 3 Z l Z E N v b H V t b n M x L n t D b 2 x 1 b W 4 4 L D d 9 J n F 1 b 3 Q 7 L C Z x d W 9 0 O 1 N l Y 3 R p b 2 4 x L 3 R l b X A x O C 9 B d X R v U m V t b 3 Z l Z E N v b H V t b n M x L n t D b 2 x 1 b W 4 5 L D h 9 J n F 1 b 3 Q 7 L C Z x d W 9 0 O 1 N l Y 3 R p b 2 4 x L 3 R l b X A x O C 9 B d X R v U m V t b 3 Z l Z E N v b H V t b n M x L n t D b 2 x 1 b W 4 x M C w 5 f S Z x d W 9 0 O y w m c X V v d D t T Z W N 0 a W 9 u M S 9 0 Z W 1 w M T g v Q X V 0 b 1 J l b W 9 2 Z W R D b 2 x 1 b W 5 z M S 5 7 Q 2 9 s d W 1 u M T E s M T B 9 J n F 1 b 3 Q 7 L C Z x d W 9 0 O 1 N l Y 3 R p b 2 4 x L 3 R l b X A x O C 9 B d X R v U m V t b 3 Z l Z E N v b H V t b n M x L n t D b 2 x 1 b W 4 x M i w x M X 0 m c X V v d D t d L C Z x d W 9 0 O 1 J l b G F 0 a W 9 u c 2 h p c E l u Z m 8 m c X V v d D s 6 W 1 1 9 I i A v P j w v U 3 R h Y m x l R W 5 0 c m l l c z 4 8 L 0 l 0 Z W 0 + P E l 0 Z W 0 + P E l 0 Z W 1 M b 2 N h d G l v b j 4 8 S X R l b V R 5 c G U + R m 9 y b X V s Y T w v S X R l b V R 5 c G U + P E l 0 Z W 1 Q Y X R o P l N l Y 3 R p b 2 4 x L 3 R l b X A x O C 9 T b 3 V y Y 2 U 8 L 0 l 0 Z W 1 Q Y X R o P j w v S X R l b U x v Y 2 F 0 a W 9 u P j x T d G F i b G V F b n R y a W V z I C 8 + P C 9 J d G V t P j x J d G V t P j x J d G V t T G 9 j Y X R p b 2 4 + P E l 0 Z W 1 U e X B l P k Z v c m 1 1 b G E 8 L 0 l 0 Z W 1 U e X B l P j x J d G V t U G F 0 a D 5 T Z W N 0 a W 9 u M S 9 0 Z W 1 w M T g v Q 2 h h b m d l Z C U y M F R 5 c G U 8 L 0 l 0 Z W 1 Q Y X R o P j w v S X R l b U x v Y 2 F 0 a W 9 u P j x T d G F i b G V F b n R y a W V z I C 8 + P C 9 J d G V t P j x J d G V t P j x J d G V t T G 9 j Y X R p b 2 4 + P E l 0 Z W 1 U e X B l P k Z v c m 1 1 b G E 8 L 0 l 0 Z W 1 U e X B l P j x J d G V t U G F 0 a D 5 T Z W N 0 a W 9 u M S 9 0 Z W 1 w M 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O G Y 2 N 2 V k N y 0 4 M W U y L T Q z O D c t O T Y 3 M i 0 w N z E 1 M D B i Y T Q 3 Y z E i I C 8 + P E V u d H J 5 I F R 5 c G U 9 I k J 1 Z m Z l c k 5 l e H R S Z W Z y Z X N o I i B W Y W x 1 Z T 0 i b D E i I C 8 + P E V u d H J 5 I F R 5 c G U 9 I l J l c 3 V s d F R 5 c G U i I F Z h b H V l P S J z V G F i b G U i I C 8 + P E V u d H J 5 I F R 5 c G U 9 I k 5 h b W V V c G R h d G V k Q W Z 0 Z X J G a W x s I i B W Y W x 1 Z T 0 i b D A i I C 8 + P E V u d H J 5 I F R 5 c G U 9 I k Z p b G x U Y X J n Z X Q i I F Z h b H V l P S J z d G V t c D E 5 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0 L T E 1 V D E 2 O j A 3 O j M w L j A z O D M 0 O D d a I i A v P j x F b n R y e S B U e X B l P S J G a W x s Q 2 9 s d W 1 u V H l w Z X M i I F Z h b H V l P S J z Q X d N R E F 3 T U Z B d 0 1 E Q X d N R 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Z W 1 w M T k v Q X V 0 b 1 J l b W 9 2 Z W R D b 2 x 1 b W 5 z M S 5 7 Q 2 9 s d W 1 u M S w w f S Z x d W 9 0 O y w m c X V v d D t T Z W N 0 a W 9 u M S 9 0 Z W 1 w M T k v Q X V 0 b 1 J l b W 9 2 Z W R D b 2 x 1 b W 5 z M S 5 7 Q 2 9 s d W 1 u M i w x f S Z x d W 9 0 O y w m c X V v d D t T Z W N 0 a W 9 u M S 9 0 Z W 1 w M T k v Q X V 0 b 1 J l b W 9 2 Z W R D b 2 x 1 b W 5 z M S 5 7 Q 2 9 s d W 1 u M y w y f S Z x d W 9 0 O y w m c X V v d D t T Z W N 0 a W 9 u M S 9 0 Z W 1 w M T k v Q X V 0 b 1 J l b W 9 2 Z W R D b 2 x 1 b W 5 z M S 5 7 Q 2 9 s d W 1 u N C w z f S Z x d W 9 0 O y w m c X V v d D t T Z W N 0 a W 9 u M S 9 0 Z W 1 w M T k v Q X V 0 b 1 J l b W 9 2 Z W R D b 2 x 1 b W 5 z M S 5 7 Q 2 9 s d W 1 u N S w 0 f S Z x d W 9 0 O y w m c X V v d D t T Z W N 0 a W 9 u M S 9 0 Z W 1 w M T k v Q X V 0 b 1 J l b W 9 2 Z W R D b 2 x 1 b W 5 z M S 5 7 Q 2 9 s d W 1 u N i w 1 f S Z x d W 9 0 O y w m c X V v d D t T Z W N 0 a W 9 u M S 9 0 Z W 1 w M T k v Q X V 0 b 1 J l b W 9 2 Z W R D b 2 x 1 b W 5 z M S 5 7 Q 2 9 s d W 1 u N y w 2 f S Z x d W 9 0 O y w m c X V v d D t T Z W N 0 a W 9 u M S 9 0 Z W 1 w M T k v Q X V 0 b 1 J l b W 9 2 Z W R D b 2 x 1 b W 5 z M S 5 7 Q 2 9 s d W 1 u O C w 3 f S Z x d W 9 0 O y w m c X V v d D t T Z W N 0 a W 9 u M S 9 0 Z W 1 w M T k v Q X V 0 b 1 J l b W 9 2 Z W R D b 2 x 1 b W 5 z M S 5 7 Q 2 9 s d W 1 u O S w 4 f S Z x d W 9 0 O y w m c X V v d D t T Z W N 0 a W 9 u M S 9 0 Z W 1 w M T k v Q X V 0 b 1 J l b W 9 2 Z W R D b 2 x 1 b W 5 z M S 5 7 Q 2 9 s d W 1 u M T A s O X 0 m c X V v d D s s J n F 1 b 3 Q 7 U 2 V j d G l v b j E v d G V t c D E 5 L 0 F 1 d G 9 S Z W 1 v d m V k Q 2 9 s d W 1 u c z E u e 0 N v b H V t b j E x L D E w f S Z x d W 9 0 O y w m c X V v d D t T Z W N 0 a W 9 u M S 9 0 Z W 1 w M T k v Q X V 0 b 1 J l b W 9 2 Z W R D b 2 x 1 b W 5 z M S 5 7 Q 2 9 s d W 1 u M T I s M T F 9 J n F 1 b 3 Q 7 X S w m c X V v d D t D b 2 x 1 b W 5 D b 3 V u d C Z x d W 9 0 O z o x M i w m c X V v d D t L Z X l D b 2 x 1 b W 5 O Y W 1 l c y Z x d W 9 0 O z p b X S w m c X V v d D t D b 2 x 1 b W 5 J Z G V u d G l 0 a W V z J n F 1 b 3 Q 7 O l s m c X V v d D t T Z W N 0 a W 9 u M S 9 0 Z W 1 w M T k v Q X V 0 b 1 J l b W 9 2 Z W R D b 2 x 1 b W 5 z M S 5 7 Q 2 9 s d W 1 u M S w w f S Z x d W 9 0 O y w m c X V v d D t T Z W N 0 a W 9 u M S 9 0 Z W 1 w M T k v Q X V 0 b 1 J l b W 9 2 Z W R D b 2 x 1 b W 5 z M S 5 7 Q 2 9 s d W 1 u M i w x f S Z x d W 9 0 O y w m c X V v d D t T Z W N 0 a W 9 u M S 9 0 Z W 1 w M T k v Q X V 0 b 1 J l b W 9 2 Z W R D b 2 x 1 b W 5 z M S 5 7 Q 2 9 s d W 1 u M y w y f S Z x d W 9 0 O y w m c X V v d D t T Z W N 0 a W 9 u M S 9 0 Z W 1 w M T k v Q X V 0 b 1 J l b W 9 2 Z W R D b 2 x 1 b W 5 z M S 5 7 Q 2 9 s d W 1 u N C w z f S Z x d W 9 0 O y w m c X V v d D t T Z W N 0 a W 9 u M S 9 0 Z W 1 w M T k v Q X V 0 b 1 J l b W 9 2 Z W R D b 2 x 1 b W 5 z M S 5 7 Q 2 9 s d W 1 u N S w 0 f S Z x d W 9 0 O y w m c X V v d D t T Z W N 0 a W 9 u M S 9 0 Z W 1 w M T k v Q X V 0 b 1 J l b W 9 2 Z W R D b 2 x 1 b W 5 z M S 5 7 Q 2 9 s d W 1 u N i w 1 f S Z x d W 9 0 O y w m c X V v d D t T Z W N 0 a W 9 u M S 9 0 Z W 1 w M T k v Q X V 0 b 1 J l b W 9 2 Z W R D b 2 x 1 b W 5 z M S 5 7 Q 2 9 s d W 1 u N y w 2 f S Z x d W 9 0 O y w m c X V v d D t T Z W N 0 a W 9 u M S 9 0 Z W 1 w M T k v Q X V 0 b 1 J l b W 9 2 Z W R D b 2 x 1 b W 5 z M S 5 7 Q 2 9 s d W 1 u O C w 3 f S Z x d W 9 0 O y w m c X V v d D t T Z W N 0 a W 9 u M S 9 0 Z W 1 w M T k v Q X V 0 b 1 J l b W 9 2 Z W R D b 2 x 1 b W 5 z M S 5 7 Q 2 9 s d W 1 u O S w 4 f S Z x d W 9 0 O y w m c X V v d D t T Z W N 0 a W 9 u M S 9 0 Z W 1 w M T k v Q X V 0 b 1 J l b W 9 2 Z W R D b 2 x 1 b W 5 z M S 5 7 Q 2 9 s d W 1 u M T A s O X 0 m c X V v d D s s J n F 1 b 3 Q 7 U 2 V j d G l v b j E v d G V t c D E 5 L 0 F 1 d G 9 S Z W 1 v d m V k Q 2 9 s d W 1 u c z E u e 0 N v b H V t b j E x L D E w f S Z x d W 9 0 O y w m c X V v d D t T Z W N 0 a W 9 u M S 9 0 Z W 1 w M T k v Q X V 0 b 1 J l b W 9 2 Z W R D b 2 x 1 b W 5 z M S 5 7 Q 2 9 s d W 1 u M T I s M T F 9 J n F 1 b 3 Q 7 X S w m c X V v d D t S Z W x h d G l v b n N o a X B J b m Z v J n F 1 b 3 Q 7 O l t d f S I g L z 4 8 L 1 N 0 Y W J s Z U V u d H J p Z X M + P C 9 J d G V t P j x J d G V t P j x J d G V t T G 9 j Y X R p b 2 4 + P E l 0 Z W 1 U e X B l P k Z v c m 1 1 b G E 8 L 0 l 0 Z W 1 U e X B l P j x J d G V t U G F 0 a D 5 T Z W N 0 a W 9 u M S 9 0 Z W 1 w M T k v U 2 9 1 c m N l P C 9 J d G V t U G F 0 a D 4 8 L 0 l 0 Z W 1 M b 2 N h d G l v b j 4 8 U 3 R h Y m x l R W 5 0 c m l l c y A v P j w v S X R l b T 4 8 S X R l b T 4 8 S X R l b U x v Y 2 F 0 a W 9 u P j x J d G V t V H l w Z T 5 G b 3 J t d W x h P C 9 J d G V t V H l w Z T 4 8 S X R l b V B h d G g + U 2 V j d G l v b j E v d G V t c D E 5 L 0 N o Y W 5 n Z W Q l M j B U e X B l P C 9 J d G V t U G F 0 a D 4 8 L 0 l 0 Z W 1 M b 2 N h d G l v b j 4 8 U 3 R h Y m x l R W 5 0 c m l l c y A v P j w v S X R l b T 4 8 S X R l b T 4 8 S X R l b U x v Y 2 F 0 a W 9 u P j x J d G V t V H l w Z T 5 G b 3 J t d W x h P C 9 J d G V t V H l w Z T 4 8 S X R l b V B h d G g + U 2 V j d G l v b j E v d G V t c D I 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g z M j c 2 Y j E t Z T B i N i 0 0 M j h i L W I y O D E t M m Z m M D Q 1 Z D M y Z W V j I i A v P j x F b n R y e S B U e X B l P S J C d W Z m Z X J O Z X h 0 U m V m c m V z a C I g V m F s d W U 9 I m w x I i A v P j x F b n R y e S B U e X B l P S J S Z X N 1 b H R U e X B l I i B W Y W x 1 Z T 0 i c 1 R h Y m x l I i A v P j x F b n R y e S B U e X B l P S J O Y W 1 l V X B k Y X R l Z E F m d G V y R m l s b C I g V m F s d W U 9 I m w w I i A v P j x F b n R y e S B U e X B l P S J G a W x s V G F y Z 2 V 0 I i B W Y W x 1 Z T 0 i c 3 R l b X A y M 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N z o z N y 4 0 M j c x O T g 4 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I w L 0 F 1 d G 9 S Z W 1 v d m V k Q 2 9 s d W 1 u c z E u e 0 N v b H V t b j E s M H 0 m c X V v d D s s J n F 1 b 3 Q 7 U 2 V j d G l v b j E v d G V t c D I w L 0 F 1 d G 9 S Z W 1 v d m V k Q 2 9 s d W 1 u c z E u e 0 N v b H V t b j I s M X 0 m c X V v d D s s J n F 1 b 3 Q 7 U 2 V j d G l v b j E v d G V t c D I w L 0 F 1 d G 9 S Z W 1 v d m V k Q 2 9 s d W 1 u c z E u e 0 N v b H V t b j M s M n 0 m c X V v d D s s J n F 1 b 3 Q 7 U 2 V j d G l v b j E v d G V t c D I w L 0 F 1 d G 9 S Z W 1 v d m V k Q 2 9 s d W 1 u c z E u e 0 N v b H V t b j Q s M 3 0 m c X V v d D s s J n F 1 b 3 Q 7 U 2 V j d G l v b j E v d G V t c D I w L 0 F 1 d G 9 S Z W 1 v d m V k Q 2 9 s d W 1 u c z E u e 0 N v b H V t b j U s N H 0 m c X V v d D s s J n F 1 b 3 Q 7 U 2 V j d G l v b j E v d G V t c D I w L 0 F 1 d G 9 S Z W 1 v d m V k Q 2 9 s d W 1 u c z E u e 0 N v b H V t b j Y s N X 0 m c X V v d D s s J n F 1 b 3 Q 7 U 2 V j d G l v b j E v d G V t c D I w L 0 F 1 d G 9 S Z W 1 v d m V k Q 2 9 s d W 1 u c z E u e 0 N v b H V t b j c s N n 0 m c X V v d D s s J n F 1 b 3 Q 7 U 2 V j d G l v b j E v d G V t c D I w L 0 F 1 d G 9 S Z W 1 v d m V k Q 2 9 s d W 1 u c z E u e 0 N v b H V t b j g s N 3 0 m c X V v d D s s J n F 1 b 3 Q 7 U 2 V j d G l v b j E v d G V t c D I w L 0 F 1 d G 9 S Z W 1 v d m V k Q 2 9 s d W 1 u c z E u e 0 N v b H V t b j k s O H 0 m c X V v d D s s J n F 1 b 3 Q 7 U 2 V j d G l v b j E v d G V t c D I w L 0 F 1 d G 9 S Z W 1 v d m V k Q 2 9 s d W 1 u c z E u e 0 N v b H V t b j E w L D l 9 J n F 1 b 3 Q 7 L C Z x d W 9 0 O 1 N l Y 3 R p b 2 4 x L 3 R l b X A y M C 9 B d X R v U m V t b 3 Z l Z E N v b H V t b n M x L n t D b 2 x 1 b W 4 x M S w x M H 0 m c X V v d D s s J n F 1 b 3 Q 7 U 2 V j d G l v b j E v d G V t c D I w L 0 F 1 d G 9 S Z W 1 v d m V k Q 2 9 s d W 1 u c z E u e 0 N v b H V t b j E y L D E x f S Z x d W 9 0 O 1 0 s J n F 1 b 3 Q 7 Q 2 9 s d W 1 u Q 2 9 1 b n Q m c X V v d D s 6 M T I s J n F 1 b 3 Q 7 S 2 V 5 Q 2 9 s d W 1 u T m F t Z X M m c X V v d D s 6 W 1 0 s J n F 1 b 3 Q 7 Q 2 9 s d W 1 u S W R l b n R p d G l l c y Z x d W 9 0 O z p b J n F 1 b 3 Q 7 U 2 V j d G l v b j E v d G V t c D I w L 0 F 1 d G 9 S Z W 1 v d m V k Q 2 9 s d W 1 u c z E u e 0 N v b H V t b j E s M H 0 m c X V v d D s s J n F 1 b 3 Q 7 U 2 V j d G l v b j E v d G V t c D I w L 0 F 1 d G 9 S Z W 1 v d m V k Q 2 9 s d W 1 u c z E u e 0 N v b H V t b j I s M X 0 m c X V v d D s s J n F 1 b 3 Q 7 U 2 V j d G l v b j E v d G V t c D I w L 0 F 1 d G 9 S Z W 1 v d m V k Q 2 9 s d W 1 u c z E u e 0 N v b H V t b j M s M n 0 m c X V v d D s s J n F 1 b 3 Q 7 U 2 V j d G l v b j E v d G V t c D I w L 0 F 1 d G 9 S Z W 1 v d m V k Q 2 9 s d W 1 u c z E u e 0 N v b H V t b j Q s M 3 0 m c X V v d D s s J n F 1 b 3 Q 7 U 2 V j d G l v b j E v d G V t c D I w L 0 F 1 d G 9 S Z W 1 v d m V k Q 2 9 s d W 1 u c z E u e 0 N v b H V t b j U s N H 0 m c X V v d D s s J n F 1 b 3 Q 7 U 2 V j d G l v b j E v d G V t c D I w L 0 F 1 d G 9 S Z W 1 v d m V k Q 2 9 s d W 1 u c z E u e 0 N v b H V t b j Y s N X 0 m c X V v d D s s J n F 1 b 3 Q 7 U 2 V j d G l v b j E v d G V t c D I w L 0 F 1 d G 9 S Z W 1 v d m V k Q 2 9 s d W 1 u c z E u e 0 N v b H V t b j c s N n 0 m c X V v d D s s J n F 1 b 3 Q 7 U 2 V j d G l v b j E v d G V t c D I w L 0 F 1 d G 9 S Z W 1 v d m V k Q 2 9 s d W 1 u c z E u e 0 N v b H V t b j g s N 3 0 m c X V v d D s s J n F 1 b 3 Q 7 U 2 V j d G l v b j E v d G V t c D I w L 0 F 1 d G 9 S Z W 1 v d m V k Q 2 9 s d W 1 u c z E u e 0 N v b H V t b j k s O H 0 m c X V v d D s s J n F 1 b 3 Q 7 U 2 V j d G l v b j E v d G V t c D I w L 0 F 1 d G 9 S Z W 1 v d m V k Q 2 9 s d W 1 u c z E u e 0 N v b H V t b j E w L D l 9 J n F 1 b 3 Q 7 L C Z x d W 9 0 O 1 N l Y 3 R p b 2 4 x L 3 R l b X A y M C 9 B d X R v U m V t b 3 Z l Z E N v b H V t b n M x L n t D b 2 x 1 b W 4 x M S w x M H 0 m c X V v d D s s J n F 1 b 3 Q 7 U 2 V j d G l v b j E v d G V t c D I w L 0 F 1 d G 9 S Z W 1 v d m V k Q 2 9 s d W 1 u c z E u e 0 N v b H V t b j E y L D E x f S Z x d W 9 0 O 1 0 s J n F 1 b 3 Q 7 U m V s Y X R p b 2 5 z a G l w S W 5 m b y Z x d W 9 0 O z p b X X 0 i I C 8 + P C 9 T d G F i b G V F b n R y a W V z P j w v S X R l b T 4 8 S X R l b T 4 8 S X R l b U x v Y 2 F 0 a W 9 u P j x J d G V t V H l w Z T 5 G b 3 J t d W x h P C 9 J d G V t V H l w Z T 4 8 S X R l b V B h d G g + U 2 V j d G l v b j E v d G V t c D I w L 1 N v d X J j Z T w v S X R l b V B h d G g + P C 9 J d G V t T G 9 j Y X R p b 2 4 + P F N 0 Y W J s Z U V u d H J p Z X M g L z 4 8 L 0 l 0 Z W 0 + P E l 0 Z W 0 + P E l 0 Z W 1 M b 2 N h d G l v b j 4 8 S X R l b V R 5 c G U + R m 9 y b X V s Y T w v S X R l b V R 5 c G U + P E l 0 Z W 1 Q Y X R o P l N l Y 3 R p b 2 4 x L 3 R l b X A y M C 9 D a G F u Z 2 V k J T I w V H l w Z T w v S X R l b V B h d G g + P C 9 J d G V t T G 9 j Y X R p b 2 4 + P F N 0 Y W J s Z U V u d H J p Z X M g L z 4 8 L 0 l 0 Z W 0 + P E l 0 Z W 0 + P E l 0 Z W 1 M b 2 N h d G l v b j 4 8 S X R l b V R 5 c G U + R m 9 y b X V s Y T w v S X R l b V R 5 c G U + P E l 0 Z W 1 Q Y X R o P l N l Y 3 R p b 2 4 x L 3 R l b X A 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5 M m I 5 N z A 3 L W R k N D Q t N D U y M C 1 h N D F h L T Y 0 Z m Y w N z E 3 M D d j N S I g L z 4 8 R W 5 0 c n k g V H l w Z T 0 i Q n V m Z m V y T m V 4 d F J l Z n J l c 2 g i I F Z h b H V l P S J s M S I g L z 4 8 R W 5 0 c n k g V H l w Z T 0 i U m V z d W x 0 V H l w Z S I g V m F s d W U 9 I n N U Y W J s Z S I g L z 4 8 R W 5 0 c n k g V H l w Z T 0 i T m F t Z V V w Z G F 0 Z W R B Z n R l c k Z p b G w i I F Z h b H V l P S J s M C I g L z 4 8 R W 5 0 c n k g V H l w Z T 0 i R m l s b F R h c m d l d C I g V m F s d W U 9 I n N 0 Z W 1 w M j E 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Q t M D Q t M T V U M T Y 6 M D c 6 N D g u M j I 0 N j Y 1 N V o i I C 8 + P E V u d H J 5 I F R 5 c G U 9 I k Z p b G x D b 2 x 1 b W 5 U e X B l c y I g V m F s d W U 9 I n N B d 0 1 E Q X d N R k F 3 T U R B d 0 1 E 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R l b X A y M S 9 B d X R v U m V t b 3 Z l Z E N v b H V t b n M x L n t D b 2 x 1 b W 4 x L D B 9 J n F 1 b 3 Q 7 L C Z x d W 9 0 O 1 N l Y 3 R p b 2 4 x L 3 R l b X A y M S 9 B d X R v U m V t b 3 Z l Z E N v b H V t b n M x L n t D b 2 x 1 b W 4 y L D F 9 J n F 1 b 3 Q 7 L C Z x d W 9 0 O 1 N l Y 3 R p b 2 4 x L 3 R l b X A y M S 9 B d X R v U m V t b 3 Z l Z E N v b H V t b n M x L n t D b 2 x 1 b W 4 z L D J 9 J n F 1 b 3 Q 7 L C Z x d W 9 0 O 1 N l Y 3 R p b 2 4 x L 3 R l b X A y M S 9 B d X R v U m V t b 3 Z l Z E N v b H V t b n M x L n t D b 2 x 1 b W 4 0 L D N 9 J n F 1 b 3 Q 7 L C Z x d W 9 0 O 1 N l Y 3 R p b 2 4 x L 3 R l b X A y M S 9 B d X R v U m V t b 3 Z l Z E N v b H V t b n M x L n t D b 2 x 1 b W 4 1 L D R 9 J n F 1 b 3 Q 7 L C Z x d W 9 0 O 1 N l Y 3 R p b 2 4 x L 3 R l b X A y M S 9 B d X R v U m V t b 3 Z l Z E N v b H V t b n M x L n t D b 2 x 1 b W 4 2 L D V 9 J n F 1 b 3 Q 7 L C Z x d W 9 0 O 1 N l Y 3 R p b 2 4 x L 3 R l b X A y M S 9 B d X R v U m V t b 3 Z l Z E N v b H V t b n M x L n t D b 2 x 1 b W 4 3 L D Z 9 J n F 1 b 3 Q 7 L C Z x d W 9 0 O 1 N l Y 3 R p b 2 4 x L 3 R l b X A y M S 9 B d X R v U m V t b 3 Z l Z E N v b H V t b n M x L n t D b 2 x 1 b W 4 4 L D d 9 J n F 1 b 3 Q 7 L C Z x d W 9 0 O 1 N l Y 3 R p b 2 4 x L 3 R l b X A y M S 9 B d X R v U m V t b 3 Z l Z E N v b H V t b n M x L n t D b 2 x 1 b W 4 5 L D h 9 J n F 1 b 3 Q 7 L C Z x d W 9 0 O 1 N l Y 3 R p b 2 4 x L 3 R l b X A y M S 9 B d X R v U m V t b 3 Z l Z E N v b H V t b n M x L n t D b 2 x 1 b W 4 x M C w 5 f S Z x d W 9 0 O y w m c X V v d D t T Z W N 0 a W 9 u M S 9 0 Z W 1 w M j E v Q X V 0 b 1 J l b W 9 2 Z W R D b 2 x 1 b W 5 z M S 5 7 Q 2 9 s d W 1 u M T E s M T B 9 J n F 1 b 3 Q 7 L C Z x d W 9 0 O 1 N l Y 3 R p b 2 4 x L 3 R l b X A y M S 9 B d X R v U m V t b 3 Z l Z E N v b H V t b n M x L n t D b 2 x 1 b W 4 x M i w x M X 0 m c X V v d D t d L C Z x d W 9 0 O 0 N v b H V t b k N v d W 5 0 J n F 1 b 3 Q 7 O j E y L C Z x d W 9 0 O 0 t l e U N v b H V t b k 5 h b W V z J n F 1 b 3 Q 7 O l t d L C Z x d W 9 0 O 0 N v b H V t b k l k Z W 5 0 a X R p Z X M m c X V v d D s 6 W y Z x d W 9 0 O 1 N l Y 3 R p b 2 4 x L 3 R l b X A y M S 9 B d X R v U m V t b 3 Z l Z E N v b H V t b n M x L n t D b 2 x 1 b W 4 x L D B 9 J n F 1 b 3 Q 7 L C Z x d W 9 0 O 1 N l Y 3 R p b 2 4 x L 3 R l b X A y M S 9 B d X R v U m V t b 3 Z l Z E N v b H V t b n M x L n t D b 2 x 1 b W 4 y L D F 9 J n F 1 b 3 Q 7 L C Z x d W 9 0 O 1 N l Y 3 R p b 2 4 x L 3 R l b X A y M S 9 B d X R v U m V t b 3 Z l Z E N v b H V t b n M x L n t D b 2 x 1 b W 4 z L D J 9 J n F 1 b 3 Q 7 L C Z x d W 9 0 O 1 N l Y 3 R p b 2 4 x L 3 R l b X A y M S 9 B d X R v U m V t b 3 Z l Z E N v b H V t b n M x L n t D b 2 x 1 b W 4 0 L D N 9 J n F 1 b 3 Q 7 L C Z x d W 9 0 O 1 N l Y 3 R p b 2 4 x L 3 R l b X A y M S 9 B d X R v U m V t b 3 Z l Z E N v b H V t b n M x L n t D b 2 x 1 b W 4 1 L D R 9 J n F 1 b 3 Q 7 L C Z x d W 9 0 O 1 N l Y 3 R p b 2 4 x L 3 R l b X A y M S 9 B d X R v U m V t b 3 Z l Z E N v b H V t b n M x L n t D b 2 x 1 b W 4 2 L D V 9 J n F 1 b 3 Q 7 L C Z x d W 9 0 O 1 N l Y 3 R p b 2 4 x L 3 R l b X A y M S 9 B d X R v U m V t b 3 Z l Z E N v b H V t b n M x L n t D b 2 x 1 b W 4 3 L D Z 9 J n F 1 b 3 Q 7 L C Z x d W 9 0 O 1 N l Y 3 R p b 2 4 x L 3 R l b X A y M S 9 B d X R v U m V t b 3 Z l Z E N v b H V t b n M x L n t D b 2 x 1 b W 4 4 L D d 9 J n F 1 b 3 Q 7 L C Z x d W 9 0 O 1 N l Y 3 R p b 2 4 x L 3 R l b X A y M S 9 B d X R v U m V t b 3 Z l Z E N v b H V t b n M x L n t D b 2 x 1 b W 4 5 L D h 9 J n F 1 b 3 Q 7 L C Z x d W 9 0 O 1 N l Y 3 R p b 2 4 x L 3 R l b X A y M S 9 B d X R v U m V t b 3 Z l Z E N v b H V t b n M x L n t D b 2 x 1 b W 4 x M C w 5 f S Z x d W 9 0 O y w m c X V v d D t T Z W N 0 a W 9 u M S 9 0 Z W 1 w M j E v Q X V 0 b 1 J l b W 9 2 Z W R D b 2 x 1 b W 5 z M S 5 7 Q 2 9 s d W 1 u M T E s M T B 9 J n F 1 b 3 Q 7 L C Z x d W 9 0 O 1 N l Y 3 R p b 2 4 x L 3 R l b X A y M S 9 B d X R v U m V t b 3 Z l Z E N v b H V t b n M x L n t D b 2 x 1 b W 4 x M i w x M X 0 m c X V v d D t d L C Z x d W 9 0 O 1 J l b G F 0 a W 9 u c 2 h p c E l u Z m 8 m c X V v d D s 6 W 1 1 9 I i A v P j w v U 3 R h Y m x l R W 5 0 c m l l c z 4 8 L 0 l 0 Z W 0 + P E l 0 Z W 0 + P E l 0 Z W 1 M b 2 N h d G l v b j 4 8 S X R l b V R 5 c G U + R m 9 y b X V s Y T w v S X R l b V R 5 c G U + P E l 0 Z W 1 Q Y X R o P l N l Y 3 R p b 2 4 x L 3 R l b X A y M S 9 T b 3 V y Y 2 U 8 L 0 l 0 Z W 1 Q Y X R o P j w v S X R l b U x v Y 2 F 0 a W 9 u P j x T d G F i b G V F b n R y a W V z I C 8 + P C 9 J d G V t P j x J d G V t P j x J d G V t T G 9 j Y X R p b 2 4 + P E l 0 Z W 1 U e X B l P k Z v c m 1 1 b G E 8 L 0 l 0 Z W 1 U e X B l P j x J d G V t U G F 0 a D 5 T Z W N 0 a W 9 u M S 9 0 Z W 1 w M j E v Q 2 h h b m d l Z C U y M F R 5 c G U 8 L 0 l 0 Z W 1 Q Y X R o P j w v S X R l b U x v Y 2 F 0 a W 9 u P j x T d G F i b G V F b n R y a W V z I C 8 + P C 9 J d G V t P j x J d G V t P j x J d G V t T G 9 j Y X R p b 2 4 + P E l 0 Z W 1 U e X B l P k Z v c m 1 1 b G E 8 L 0 l 0 Z W 1 U e X B l P j x J d G V t U G F 0 a D 5 T Z W N 0 a W 9 u M S 9 0 Z W 1 w M 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O W U x Z j A y Y i 0 y N D Y x L T R k N T U t Y W Q w M C 1 j O T V i Z T h k M T Y 2 M G Y i I C 8 + P E V u d H J 5 I F R 5 c G U 9 I k J 1 Z m Z l c k 5 l e H R S Z W Z y Z X N o I i B W Y W x 1 Z T 0 i b D E i I C 8 + P E V u d H J 5 I F R 5 c G U 9 I l J l c 3 V s d F R 5 c G U i I F Z h b H V l P S J z V G F i b G U i I C 8 + P E V u d H J 5 I F R 5 c G U 9 I k 5 h b W V V c G R h d G V k Q W Z 0 Z X J G a W x s I i B W Y W x 1 Z T 0 i b D A i I C 8 + P E V u d H J 5 I F R 5 c G U 9 I k Z p b G x U Y X J n Z X Q i I F Z h b H V l P S J z d G V t c D I 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0 L T E 1 V D E 2 O j A 3 O j U 0 L j c 3 M z g 3 N z Z a I i A v P j x F b n R y e S B U e X B l P S J G a W x s Q 2 9 s d W 1 u V H l w Z X M i I F Z h b H V l P S J z Q X d N R E F 3 T U Z B d 0 1 E Q X d N R 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Z W 1 w M j I v Q X V 0 b 1 J l b W 9 2 Z W R D b 2 x 1 b W 5 z M S 5 7 Q 2 9 s d W 1 u M S w w f S Z x d W 9 0 O y w m c X V v d D t T Z W N 0 a W 9 u M S 9 0 Z W 1 w M j I v Q X V 0 b 1 J l b W 9 2 Z W R D b 2 x 1 b W 5 z M S 5 7 Q 2 9 s d W 1 u M i w x f S Z x d W 9 0 O y w m c X V v d D t T Z W N 0 a W 9 u M S 9 0 Z W 1 w M j I v Q X V 0 b 1 J l b W 9 2 Z W R D b 2 x 1 b W 5 z M S 5 7 Q 2 9 s d W 1 u M y w y f S Z x d W 9 0 O y w m c X V v d D t T Z W N 0 a W 9 u M S 9 0 Z W 1 w M j I v Q X V 0 b 1 J l b W 9 2 Z W R D b 2 x 1 b W 5 z M S 5 7 Q 2 9 s d W 1 u N C w z f S Z x d W 9 0 O y w m c X V v d D t T Z W N 0 a W 9 u M S 9 0 Z W 1 w M j I v Q X V 0 b 1 J l b W 9 2 Z W R D b 2 x 1 b W 5 z M S 5 7 Q 2 9 s d W 1 u N S w 0 f S Z x d W 9 0 O y w m c X V v d D t T Z W N 0 a W 9 u M S 9 0 Z W 1 w M j I v Q X V 0 b 1 J l b W 9 2 Z W R D b 2 x 1 b W 5 z M S 5 7 Q 2 9 s d W 1 u N i w 1 f S Z x d W 9 0 O y w m c X V v d D t T Z W N 0 a W 9 u M S 9 0 Z W 1 w M j I v Q X V 0 b 1 J l b W 9 2 Z W R D b 2 x 1 b W 5 z M S 5 7 Q 2 9 s d W 1 u N y w 2 f S Z x d W 9 0 O y w m c X V v d D t T Z W N 0 a W 9 u M S 9 0 Z W 1 w M j I v Q X V 0 b 1 J l b W 9 2 Z W R D b 2 x 1 b W 5 z M S 5 7 Q 2 9 s d W 1 u O C w 3 f S Z x d W 9 0 O y w m c X V v d D t T Z W N 0 a W 9 u M S 9 0 Z W 1 w M j I v Q X V 0 b 1 J l b W 9 2 Z W R D b 2 x 1 b W 5 z M S 5 7 Q 2 9 s d W 1 u O S w 4 f S Z x d W 9 0 O y w m c X V v d D t T Z W N 0 a W 9 u M S 9 0 Z W 1 w M j I v Q X V 0 b 1 J l b W 9 2 Z W R D b 2 x 1 b W 5 z M S 5 7 Q 2 9 s d W 1 u M T A s O X 0 m c X V v d D s s J n F 1 b 3 Q 7 U 2 V j d G l v b j E v d G V t c D I y L 0 F 1 d G 9 S Z W 1 v d m V k Q 2 9 s d W 1 u c z E u e 0 N v b H V t b j E x L D E w f S Z x d W 9 0 O y w m c X V v d D t T Z W N 0 a W 9 u M S 9 0 Z W 1 w M j I v Q X V 0 b 1 J l b W 9 2 Z W R D b 2 x 1 b W 5 z M S 5 7 Q 2 9 s d W 1 u M T I s M T F 9 J n F 1 b 3 Q 7 X S w m c X V v d D t D b 2 x 1 b W 5 D b 3 V u d C Z x d W 9 0 O z o x M i w m c X V v d D t L Z X l D b 2 x 1 b W 5 O Y W 1 l c y Z x d W 9 0 O z p b X S w m c X V v d D t D b 2 x 1 b W 5 J Z G V u d G l 0 a W V z J n F 1 b 3 Q 7 O l s m c X V v d D t T Z W N 0 a W 9 u M S 9 0 Z W 1 w M j I v Q X V 0 b 1 J l b W 9 2 Z W R D b 2 x 1 b W 5 z M S 5 7 Q 2 9 s d W 1 u M S w w f S Z x d W 9 0 O y w m c X V v d D t T Z W N 0 a W 9 u M S 9 0 Z W 1 w M j I v Q X V 0 b 1 J l b W 9 2 Z W R D b 2 x 1 b W 5 z M S 5 7 Q 2 9 s d W 1 u M i w x f S Z x d W 9 0 O y w m c X V v d D t T Z W N 0 a W 9 u M S 9 0 Z W 1 w M j I v Q X V 0 b 1 J l b W 9 2 Z W R D b 2 x 1 b W 5 z M S 5 7 Q 2 9 s d W 1 u M y w y f S Z x d W 9 0 O y w m c X V v d D t T Z W N 0 a W 9 u M S 9 0 Z W 1 w M j I v Q X V 0 b 1 J l b W 9 2 Z W R D b 2 x 1 b W 5 z M S 5 7 Q 2 9 s d W 1 u N C w z f S Z x d W 9 0 O y w m c X V v d D t T Z W N 0 a W 9 u M S 9 0 Z W 1 w M j I v Q X V 0 b 1 J l b W 9 2 Z W R D b 2 x 1 b W 5 z M S 5 7 Q 2 9 s d W 1 u N S w 0 f S Z x d W 9 0 O y w m c X V v d D t T Z W N 0 a W 9 u M S 9 0 Z W 1 w M j I v Q X V 0 b 1 J l b W 9 2 Z W R D b 2 x 1 b W 5 z M S 5 7 Q 2 9 s d W 1 u N i w 1 f S Z x d W 9 0 O y w m c X V v d D t T Z W N 0 a W 9 u M S 9 0 Z W 1 w M j I v Q X V 0 b 1 J l b W 9 2 Z W R D b 2 x 1 b W 5 z M S 5 7 Q 2 9 s d W 1 u N y w 2 f S Z x d W 9 0 O y w m c X V v d D t T Z W N 0 a W 9 u M S 9 0 Z W 1 w M j I v Q X V 0 b 1 J l b W 9 2 Z W R D b 2 x 1 b W 5 z M S 5 7 Q 2 9 s d W 1 u O C w 3 f S Z x d W 9 0 O y w m c X V v d D t T Z W N 0 a W 9 u M S 9 0 Z W 1 w M j I v Q X V 0 b 1 J l b W 9 2 Z W R D b 2 x 1 b W 5 z M S 5 7 Q 2 9 s d W 1 u O S w 4 f S Z x d W 9 0 O y w m c X V v d D t T Z W N 0 a W 9 u M S 9 0 Z W 1 w M j I v Q X V 0 b 1 J l b W 9 2 Z W R D b 2 x 1 b W 5 z M S 5 7 Q 2 9 s d W 1 u M T A s O X 0 m c X V v d D s s J n F 1 b 3 Q 7 U 2 V j d G l v b j E v d G V t c D I y L 0 F 1 d G 9 S Z W 1 v d m V k Q 2 9 s d W 1 u c z E u e 0 N v b H V t b j E x L D E w f S Z x d W 9 0 O y w m c X V v d D t T Z W N 0 a W 9 u M S 9 0 Z W 1 w M j I v Q X V 0 b 1 J l b W 9 2 Z W R D b 2 x 1 b W 5 z M S 5 7 Q 2 9 s d W 1 u M T I s M T F 9 J n F 1 b 3 Q 7 X S w m c X V v d D t S Z W x h d G l v b n N o a X B J b m Z v J n F 1 b 3 Q 7 O l t d f S I g L z 4 8 L 1 N 0 Y W J s Z U V u d H J p Z X M + P C 9 J d G V t P j x J d G V t P j x J d G V t T G 9 j Y X R p b 2 4 + P E l 0 Z W 1 U e X B l P k Z v c m 1 1 b G E 8 L 0 l 0 Z W 1 U e X B l P j x J d G V t U G F 0 a D 5 T Z W N 0 a W 9 u M S 9 0 Z W 1 w M j I v U 2 9 1 c m N l P C 9 J d G V t U G F 0 a D 4 8 L 0 l 0 Z W 1 M b 2 N h d G l v b j 4 8 U 3 R h Y m x l R W 5 0 c m l l c y A v P j w v S X R l b T 4 8 S X R l b T 4 8 S X R l b U x v Y 2 F 0 a W 9 u P j x J d G V t V H l w Z T 5 G b 3 J t d W x h P C 9 J d G V t V H l w Z T 4 8 S X R l b V B h d G g + U 2 V j d G l v b j E v d G V t c D I y L 0 N o Y W 5 n Z W Q l M j B U e X B l P C 9 J d G V t U G F 0 a D 4 8 L 0 l 0 Z W 1 M b 2 N h d G l v b j 4 8 U 3 R h Y m x l R W 5 0 c m l l c y A v P j w v S X R l b T 4 8 S X R l b T 4 8 S X R l b U x v Y 2 F 0 a W 9 u P j x J d G V t V H l w Z T 5 G b 3 J t d W x h P C 9 J d G V t V H l w Z T 4 8 S X R l b V B h d G g + U 2 V j d G l v b j E v d G V t c D 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Z j N D g 1 Z G I t N 2 V i Y y 0 0 M j Q 5 L T g 0 M D k t Z T c 3 O T B k M z M 0 O T g 4 I i A v P j x F b n R y e S B U e X B l P S J C d W Z m Z X J O Z X h 0 U m V m c m V z a C I g V m F s d W U 9 I m w x I i A v P j x F b n R y e S B U e X B l P S J S Z X N 1 b H R U e X B l I i B W Y W x 1 Z T 0 i c 1 R h Y m x l I i A v P j x F b n R y e S B U e X B l P S J O Y W 1 l V X B k Y X R l Z E F m d G V y R m l s b C I g V m F s d W U 9 I m w w I i A v P j x F b n R y e S B U e X B l P S J G a W x s V G F y Z 2 V 0 I i B W Y W x 1 Z T 0 i c 3 R l b X A y M y 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V Q x N j o w O D o w M i 4 x M D I 4 O D Q w W i I g L z 4 8 R W 5 0 c n k g V H l w Z T 0 i R m l s b E N v b H V t b l R 5 c G V z I i B W Y W x 1 Z T 0 i c 0 F 3 T U R B d 0 1 G Q X d N 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V t c D I z L 0 F 1 d G 9 S Z W 1 v d m V k Q 2 9 s d W 1 u c z E u e 0 N v b H V t b j E s M H 0 m c X V v d D s s J n F 1 b 3 Q 7 U 2 V j d G l v b j E v d G V t c D I z L 0 F 1 d G 9 S Z W 1 v d m V k Q 2 9 s d W 1 u c z E u e 0 N v b H V t b j I s M X 0 m c X V v d D s s J n F 1 b 3 Q 7 U 2 V j d G l v b j E v d G V t c D I z L 0 F 1 d G 9 S Z W 1 v d m V k Q 2 9 s d W 1 u c z E u e 0 N v b H V t b j M s M n 0 m c X V v d D s s J n F 1 b 3 Q 7 U 2 V j d G l v b j E v d G V t c D I z L 0 F 1 d G 9 S Z W 1 v d m V k Q 2 9 s d W 1 u c z E u e 0 N v b H V t b j Q s M 3 0 m c X V v d D s s J n F 1 b 3 Q 7 U 2 V j d G l v b j E v d G V t c D I z L 0 F 1 d G 9 S Z W 1 v d m V k Q 2 9 s d W 1 u c z E u e 0 N v b H V t b j U s N H 0 m c X V v d D s s J n F 1 b 3 Q 7 U 2 V j d G l v b j E v d G V t c D I z L 0 F 1 d G 9 S Z W 1 v d m V k Q 2 9 s d W 1 u c z E u e 0 N v b H V t b j Y s N X 0 m c X V v d D s s J n F 1 b 3 Q 7 U 2 V j d G l v b j E v d G V t c D I z L 0 F 1 d G 9 S Z W 1 v d m V k Q 2 9 s d W 1 u c z E u e 0 N v b H V t b j c s N n 0 m c X V v d D s s J n F 1 b 3 Q 7 U 2 V j d G l v b j E v d G V t c D I z L 0 F 1 d G 9 S Z W 1 v d m V k Q 2 9 s d W 1 u c z E u e 0 N v b H V t b j g s N 3 0 m c X V v d D s s J n F 1 b 3 Q 7 U 2 V j d G l v b j E v d G V t c D I z L 0 F 1 d G 9 S Z W 1 v d m V k Q 2 9 s d W 1 u c z E u e 0 N v b H V t b j k s O H 0 m c X V v d D s s J n F 1 b 3 Q 7 U 2 V j d G l v b j E v d G V t c D I z L 0 F 1 d G 9 S Z W 1 v d m V k Q 2 9 s d W 1 u c z E u e 0 N v b H V t b j E w L D l 9 J n F 1 b 3 Q 7 L C Z x d W 9 0 O 1 N l Y 3 R p b 2 4 x L 3 R l b X A y M y 9 B d X R v U m V t b 3 Z l Z E N v b H V t b n M x L n t D b 2 x 1 b W 4 x M S w x M H 0 m c X V v d D s s J n F 1 b 3 Q 7 U 2 V j d G l v b j E v d G V t c D I z L 0 F 1 d G 9 S Z W 1 v d m V k Q 2 9 s d W 1 u c z E u e 0 N v b H V t b j E y L D E x f S Z x d W 9 0 O 1 0 s J n F 1 b 3 Q 7 Q 2 9 s d W 1 u Q 2 9 1 b n Q m c X V v d D s 6 M T I s J n F 1 b 3 Q 7 S 2 V 5 Q 2 9 s d W 1 u T m F t Z X M m c X V v d D s 6 W 1 0 s J n F 1 b 3 Q 7 Q 2 9 s d W 1 u S W R l b n R p d G l l c y Z x d W 9 0 O z p b J n F 1 b 3 Q 7 U 2 V j d G l v b j E v d G V t c D I z L 0 F 1 d G 9 S Z W 1 v d m V k Q 2 9 s d W 1 u c z E u e 0 N v b H V t b j E s M H 0 m c X V v d D s s J n F 1 b 3 Q 7 U 2 V j d G l v b j E v d G V t c D I z L 0 F 1 d G 9 S Z W 1 v d m V k Q 2 9 s d W 1 u c z E u e 0 N v b H V t b j I s M X 0 m c X V v d D s s J n F 1 b 3 Q 7 U 2 V j d G l v b j E v d G V t c D I z L 0 F 1 d G 9 S Z W 1 v d m V k Q 2 9 s d W 1 u c z E u e 0 N v b H V t b j M s M n 0 m c X V v d D s s J n F 1 b 3 Q 7 U 2 V j d G l v b j E v d G V t c D I z L 0 F 1 d G 9 S Z W 1 v d m V k Q 2 9 s d W 1 u c z E u e 0 N v b H V t b j Q s M 3 0 m c X V v d D s s J n F 1 b 3 Q 7 U 2 V j d G l v b j E v d G V t c D I z L 0 F 1 d G 9 S Z W 1 v d m V k Q 2 9 s d W 1 u c z E u e 0 N v b H V t b j U s N H 0 m c X V v d D s s J n F 1 b 3 Q 7 U 2 V j d G l v b j E v d G V t c D I z L 0 F 1 d G 9 S Z W 1 v d m V k Q 2 9 s d W 1 u c z E u e 0 N v b H V t b j Y s N X 0 m c X V v d D s s J n F 1 b 3 Q 7 U 2 V j d G l v b j E v d G V t c D I z L 0 F 1 d G 9 S Z W 1 v d m V k Q 2 9 s d W 1 u c z E u e 0 N v b H V t b j c s N n 0 m c X V v d D s s J n F 1 b 3 Q 7 U 2 V j d G l v b j E v d G V t c D I z L 0 F 1 d G 9 S Z W 1 v d m V k Q 2 9 s d W 1 u c z E u e 0 N v b H V t b j g s N 3 0 m c X V v d D s s J n F 1 b 3 Q 7 U 2 V j d G l v b j E v d G V t c D I z L 0 F 1 d G 9 S Z W 1 v d m V k Q 2 9 s d W 1 u c z E u e 0 N v b H V t b j k s O H 0 m c X V v d D s s J n F 1 b 3 Q 7 U 2 V j d G l v b j E v d G V t c D I z L 0 F 1 d G 9 S Z W 1 v d m V k Q 2 9 s d W 1 u c z E u e 0 N v b H V t b j E w L D l 9 J n F 1 b 3 Q 7 L C Z x d W 9 0 O 1 N l Y 3 R p b 2 4 x L 3 R l b X A y M y 9 B d X R v U m V t b 3 Z l Z E N v b H V t b n M x L n t D b 2 x 1 b W 4 x M S w x M H 0 m c X V v d D s s J n F 1 b 3 Q 7 U 2 V j d G l v b j E v d G V t c D I z L 0 F 1 d G 9 S Z W 1 v d m V k Q 2 9 s d W 1 u c z E u e 0 N v b H V t b j E y L D E x f S Z x d W 9 0 O 1 0 s J n F 1 b 3 Q 7 U m V s Y X R p b 2 5 z a G l w S W 5 m b y Z x d W 9 0 O z p b X X 0 i I C 8 + P C 9 T d G F i b G V F b n R y a W V z P j w v S X R l b T 4 8 S X R l b T 4 8 S X R l b U x v Y 2 F 0 a W 9 u P j x J d G V t V H l w Z T 5 G b 3 J t d W x h P C 9 J d G V t V H l w Z T 4 8 S X R l b V B h d G g + U 2 V j d G l v b j E v d G V t c D I z L 1 N v d X J j Z T w v S X R l b V B h d G g + P C 9 J d G V t T G 9 j Y X R p b 2 4 + P F N 0 Y W J s Z U V u d H J p Z X M g L z 4 8 L 0 l 0 Z W 0 + P E l 0 Z W 0 + P E l 0 Z W 1 M b 2 N h d G l v b j 4 8 S X R l b V R 5 c G U + R m 9 y b X V s Y T w v S X R l b V R 5 c G U + P E l 0 Z W 1 Q Y X R o P l N l Y 3 R p b 2 4 x L 3 R l b X A y M y 9 D a G F u Z 2 V k J T I w V H l w Z T w v S X R l b V B h d G g + P C 9 J d G V t T G 9 j Y X R p b 2 4 + P F N 0 Y W J s Z U V u d H J p Z X M g L z 4 8 L 0 l 0 Z W 0 + P E l 0 Z W 0 + P E l 0 Z W 1 M b 2 N h d G l v b j 4 8 S X R l b V R 5 c G U + R m 9 y b X V s Y T w v S X R l b V R 5 c G U + P E l 0 Z W 1 Q Y X R o P l N l Y 3 R p b 2 4 x L 3 R l b X A y 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R m N j M 5 Z m Q 5 L T E 0 M m Q t N G M w Z i 1 h N j k 3 L W J m O G Q 5 M j E z O D B m N y I g L z 4 8 R W 5 0 c n k g V H l w Z T 0 i Q n V m Z m V y T m V 4 d F J l Z n J l c 2 g i I F Z h b H V l P S J s M S I g L z 4 8 R W 5 0 c n k g V H l w Z T 0 i U m V z d W x 0 V H l w Z S I g V m F s d W U 9 I n N U Y W J s Z S I g L z 4 8 R W 5 0 c n k g V H l w Z T 0 i T m F t Z V V w Z G F 0 Z W R B Z n R l c k Z p b G w i I F Z h b H V l P S J s M C I g L z 4 8 R W 5 0 c n k g V H l w Z T 0 i R m l s b F R h c m d l d C I g V m F s d W U 9 I n N 0 Z W 1 w M j Q 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Q t M D Q t M T V U M T Y 6 M D g 6 M D g u M z Y 3 N z I y M V o i I C 8 + P E V u d H J 5 I F R 5 c G U 9 I k Z p b G x D b 2 x 1 b W 5 U e X B l c y I g V m F s d W U 9 I n N B d 0 1 E Q X d N R k F 3 T U R B d 0 1 E 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R l b X A y N C 9 B d X R v U m V t b 3 Z l Z E N v b H V t b n M x L n t D b 2 x 1 b W 4 x L D B 9 J n F 1 b 3 Q 7 L C Z x d W 9 0 O 1 N l Y 3 R p b 2 4 x L 3 R l b X A y N C 9 B d X R v U m V t b 3 Z l Z E N v b H V t b n M x L n t D b 2 x 1 b W 4 y L D F 9 J n F 1 b 3 Q 7 L C Z x d W 9 0 O 1 N l Y 3 R p b 2 4 x L 3 R l b X A y N C 9 B d X R v U m V t b 3 Z l Z E N v b H V t b n M x L n t D b 2 x 1 b W 4 z L D J 9 J n F 1 b 3 Q 7 L C Z x d W 9 0 O 1 N l Y 3 R p b 2 4 x L 3 R l b X A y N C 9 B d X R v U m V t b 3 Z l Z E N v b H V t b n M x L n t D b 2 x 1 b W 4 0 L D N 9 J n F 1 b 3 Q 7 L C Z x d W 9 0 O 1 N l Y 3 R p b 2 4 x L 3 R l b X A y N C 9 B d X R v U m V t b 3 Z l Z E N v b H V t b n M x L n t D b 2 x 1 b W 4 1 L D R 9 J n F 1 b 3 Q 7 L C Z x d W 9 0 O 1 N l Y 3 R p b 2 4 x L 3 R l b X A y N C 9 B d X R v U m V t b 3 Z l Z E N v b H V t b n M x L n t D b 2 x 1 b W 4 2 L D V 9 J n F 1 b 3 Q 7 L C Z x d W 9 0 O 1 N l Y 3 R p b 2 4 x L 3 R l b X A y N C 9 B d X R v U m V t b 3 Z l Z E N v b H V t b n M x L n t D b 2 x 1 b W 4 3 L D Z 9 J n F 1 b 3 Q 7 L C Z x d W 9 0 O 1 N l Y 3 R p b 2 4 x L 3 R l b X A y N C 9 B d X R v U m V t b 3 Z l Z E N v b H V t b n M x L n t D b 2 x 1 b W 4 4 L D d 9 J n F 1 b 3 Q 7 L C Z x d W 9 0 O 1 N l Y 3 R p b 2 4 x L 3 R l b X A y N C 9 B d X R v U m V t b 3 Z l Z E N v b H V t b n M x L n t D b 2 x 1 b W 4 5 L D h 9 J n F 1 b 3 Q 7 L C Z x d W 9 0 O 1 N l Y 3 R p b 2 4 x L 3 R l b X A y N C 9 B d X R v U m V t b 3 Z l Z E N v b H V t b n M x L n t D b 2 x 1 b W 4 x M C w 5 f S Z x d W 9 0 O y w m c X V v d D t T Z W N 0 a W 9 u M S 9 0 Z W 1 w M j Q v Q X V 0 b 1 J l b W 9 2 Z W R D b 2 x 1 b W 5 z M S 5 7 Q 2 9 s d W 1 u M T E s M T B 9 J n F 1 b 3 Q 7 L C Z x d W 9 0 O 1 N l Y 3 R p b 2 4 x L 3 R l b X A y N C 9 B d X R v U m V t b 3 Z l Z E N v b H V t b n M x L n t D b 2 x 1 b W 4 x M i w x M X 0 m c X V v d D t d L C Z x d W 9 0 O 0 N v b H V t b k N v d W 5 0 J n F 1 b 3 Q 7 O j E y L C Z x d W 9 0 O 0 t l e U N v b H V t b k 5 h b W V z J n F 1 b 3 Q 7 O l t d L C Z x d W 9 0 O 0 N v b H V t b k l k Z W 5 0 a X R p Z X M m c X V v d D s 6 W y Z x d W 9 0 O 1 N l Y 3 R p b 2 4 x L 3 R l b X A y N C 9 B d X R v U m V t b 3 Z l Z E N v b H V t b n M x L n t D b 2 x 1 b W 4 x L D B 9 J n F 1 b 3 Q 7 L C Z x d W 9 0 O 1 N l Y 3 R p b 2 4 x L 3 R l b X A y N C 9 B d X R v U m V t b 3 Z l Z E N v b H V t b n M x L n t D b 2 x 1 b W 4 y L D F 9 J n F 1 b 3 Q 7 L C Z x d W 9 0 O 1 N l Y 3 R p b 2 4 x L 3 R l b X A y N C 9 B d X R v U m V t b 3 Z l Z E N v b H V t b n M x L n t D b 2 x 1 b W 4 z L D J 9 J n F 1 b 3 Q 7 L C Z x d W 9 0 O 1 N l Y 3 R p b 2 4 x L 3 R l b X A y N C 9 B d X R v U m V t b 3 Z l Z E N v b H V t b n M x L n t D b 2 x 1 b W 4 0 L D N 9 J n F 1 b 3 Q 7 L C Z x d W 9 0 O 1 N l Y 3 R p b 2 4 x L 3 R l b X A y N C 9 B d X R v U m V t b 3 Z l Z E N v b H V t b n M x L n t D b 2 x 1 b W 4 1 L D R 9 J n F 1 b 3 Q 7 L C Z x d W 9 0 O 1 N l Y 3 R p b 2 4 x L 3 R l b X A y N C 9 B d X R v U m V t b 3 Z l Z E N v b H V t b n M x L n t D b 2 x 1 b W 4 2 L D V 9 J n F 1 b 3 Q 7 L C Z x d W 9 0 O 1 N l Y 3 R p b 2 4 x L 3 R l b X A y N C 9 B d X R v U m V t b 3 Z l Z E N v b H V t b n M x L n t D b 2 x 1 b W 4 3 L D Z 9 J n F 1 b 3 Q 7 L C Z x d W 9 0 O 1 N l Y 3 R p b 2 4 x L 3 R l b X A y N C 9 B d X R v U m V t b 3 Z l Z E N v b H V t b n M x L n t D b 2 x 1 b W 4 4 L D d 9 J n F 1 b 3 Q 7 L C Z x d W 9 0 O 1 N l Y 3 R p b 2 4 x L 3 R l b X A y N C 9 B d X R v U m V t b 3 Z l Z E N v b H V t b n M x L n t D b 2 x 1 b W 4 5 L D h 9 J n F 1 b 3 Q 7 L C Z x d W 9 0 O 1 N l Y 3 R p b 2 4 x L 3 R l b X A y N C 9 B d X R v U m V t b 3 Z l Z E N v b H V t b n M x L n t D b 2 x 1 b W 4 x M C w 5 f S Z x d W 9 0 O y w m c X V v d D t T Z W N 0 a W 9 u M S 9 0 Z W 1 w M j Q v Q X V 0 b 1 J l b W 9 2 Z W R D b 2 x 1 b W 5 z M S 5 7 Q 2 9 s d W 1 u M T E s M T B 9 J n F 1 b 3 Q 7 L C Z x d W 9 0 O 1 N l Y 3 R p b 2 4 x L 3 R l b X A y N C 9 B d X R v U m V t b 3 Z l Z E N v b H V t b n M x L n t D b 2 x 1 b W 4 x M i w x M X 0 m c X V v d D t d L C Z x d W 9 0 O 1 J l b G F 0 a W 9 u c 2 h p c E l u Z m 8 m c X V v d D s 6 W 1 1 9 I i A v P j w v U 3 R h Y m x l R W 5 0 c m l l c z 4 8 L 0 l 0 Z W 0 + P E l 0 Z W 0 + P E l 0 Z W 1 M b 2 N h d G l v b j 4 8 S X R l b V R 5 c G U + R m 9 y b X V s Y T w v S X R l b V R 5 c G U + P E l 0 Z W 1 Q Y X R o P l N l Y 3 R p b 2 4 x L 3 R l b X A y N C 9 T b 3 V y Y 2 U 8 L 0 l 0 Z W 1 Q Y X R o P j w v S X R l b U x v Y 2 F 0 a W 9 u P j x T d G F i b G V F b n R y a W V z I C 8 + P C 9 J d G V t P j x J d G V t P j x J d G V t T G 9 j Y X R p b 2 4 + P E l 0 Z W 1 U e X B l P k Z v c m 1 1 b G E 8 L 0 l 0 Z W 1 U e X B l P j x J d G V t U G F 0 a D 5 T Z W N 0 a W 9 u M S 9 0 Z W 1 w M j Q v Q 2 h h b m d l Z C U y M F R 5 c G U 8 L 0 l 0 Z W 1 Q Y X R o P j w v S X R l b U x v Y 2 F 0 a W 9 u P j x T d G F i b G V F b n R y a W V z I C 8 + P C 9 J d G V t P j x J d G V t P j x J d G V t T G 9 j Y X R p b 2 4 + P E l 0 Z W 1 U e X B l P k Z v c m 1 1 b G E 8 L 0 l 0 Z W 1 U e X B l P j x J d G V t U G F 0 a D 5 T Z W N 0 a W 9 u M S 9 k Y X R h P C 9 J d G V t U G F 0 a D 4 8 L 0 l 0 Z W 1 M b 2 N h d G l v b j 4 8 U 3 R h Y m x l R W 5 0 c m l l c z 4 8 R W 5 0 c n k g V H l w Z T 0 i S X N Q c m l 2 Y X R l I i B W Y W x 1 Z T 0 i b D A i I C 8 + P E V u d H J 5 I F R 5 c G U 9 I l F 1 Z X J 5 S U Q i I F Z h b H V l P S J z N z g 1 N D R i Y j U t M G Y 2 M y 0 0 N D U x L W I w N G U t N T Q 2 Y T Q w Z D E 2 N z B 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E i I C 8 + P E V u d H J 5 I F R 5 c G U 9 I k Z p b G x l Z E N v b X B s Z X R l U m V z d W x 0 V G 9 X b 3 J r c 2 h l Z X Q i I F Z h b H V l P S J s M S I g L z 4 8 R W 5 0 c n k g V H l w Z T 0 i Q W R k Z W R U b 0 R h d G F N b 2 R l b C I g V m F s d W U 9 I m w w I i A v P j x F b n R y e S B U e X B l P S J G a W x s Q 2 9 1 b n Q i I F Z h b H V l P S J s N D U 2 I i A v P j x F b n R y e S B U e X B l P S J G a W x s R X J y b 3 J D b 2 R l I i B W Y W x 1 Z T 0 i c 1 V u a 2 5 v d 2 4 i I C 8 + P E V u d H J 5 I F R 5 c G U 9 I k Z p b G x F c n J v c k N v d W 5 0 I i B W Y W x 1 Z T 0 i b D A i I C 8 + P E V u d H J 5 I F R 5 c G U 9 I k Z p b G x M Y X N 0 V X B k Y X R l Z C I g V m F s d W U 9 I m Q y M D I 0 L T A 0 L T E 1 V D E 2 O j E y O j Q x L j E 0 N D g 1 M j V a I i A v P j x F b n R y e S B U e X B l P S J G a W x s Q 2 9 s d W 1 u V H l w Z X M i I F Z h b H V l P S J z Q m d N R E F 3 T U R C U U 1 E Q X d N R E F 3 P T 0 i I C 8 + P E V u d H J 5 I F R 5 c G U 9 I k Z p b G x D b 2 x 1 b W 5 O Y W 1 l c y I g V m F s d W U 9 I n N b J n F 1 b 3 Q 7 U 2 9 1 c m N l L k 5 h b W U m c X V v d D s s 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Z G F 0 Y S 9 B d X R v U m V t b 3 Z l Z E N v b H V t b n M x L n t T b 3 V y Y 2 U u T m F t Z S w w f S Z x d W 9 0 O y w m c X V v d D t T Z W N 0 a W 9 u M S 9 k Y X R h L 0 F 1 d G 9 S Z W 1 v d m V k Q 2 9 s d W 1 u c z E u e 0 N v b H V t b j E s M X 0 m c X V v d D s s J n F 1 b 3 Q 7 U 2 V j d G l v b j E v Z G F 0 Y S 9 B d X R v U m V t b 3 Z l Z E N v b H V t b n M x L n t D b 2 x 1 b W 4 y L D J 9 J n F 1 b 3 Q 7 L C Z x d W 9 0 O 1 N l Y 3 R p b 2 4 x L 2 R h d G E v Q X V 0 b 1 J l b W 9 2 Z W R D b 2 x 1 b W 5 z M S 5 7 Q 2 9 s d W 1 u M y w z f S Z x d W 9 0 O y w m c X V v d D t T Z W N 0 a W 9 u M S 9 k Y X R h L 0 F 1 d G 9 S Z W 1 v d m V k Q 2 9 s d W 1 u c z E u e 0 N v b H V t b j Q s N H 0 m c X V v d D s s J n F 1 b 3 Q 7 U 2 V j d G l v b j E v Z G F 0 Y S 9 B d X R v U m V t b 3 Z l Z E N v b H V t b n M x L n t D b 2 x 1 b W 4 1 L D V 9 J n F 1 b 3 Q 7 L C Z x d W 9 0 O 1 N l Y 3 R p b 2 4 x L 2 R h d G E v Q X V 0 b 1 J l b W 9 2 Z W R D b 2 x 1 b W 5 z M S 5 7 Q 2 9 s d W 1 u N i w 2 f S Z x d W 9 0 O y w m c X V v d D t T Z W N 0 a W 9 u M S 9 k Y X R h L 0 F 1 d G 9 S Z W 1 v d m V k Q 2 9 s d W 1 u c z E u e 0 N v b H V t b j c s N 3 0 m c X V v d D s s J n F 1 b 3 Q 7 U 2 V j d G l v b j E v Z G F 0 Y S 9 B d X R v U m V t b 3 Z l Z E N v b H V t b n M x L n t D b 2 x 1 b W 4 4 L D h 9 J n F 1 b 3 Q 7 L C Z x d W 9 0 O 1 N l Y 3 R p b 2 4 x L 2 R h d G E v Q X V 0 b 1 J l b W 9 2 Z W R D b 2 x 1 b W 5 z M S 5 7 Q 2 9 s d W 1 u O S w 5 f S Z x d W 9 0 O y w m c X V v d D t T Z W N 0 a W 9 u M S 9 k Y X R h L 0 F 1 d G 9 S Z W 1 v d m V k Q 2 9 s d W 1 u c z E u e 0 N v b H V t b j E w L D E w f S Z x d W 9 0 O y w m c X V v d D t T Z W N 0 a W 9 u M S 9 k Y X R h L 0 F 1 d G 9 S Z W 1 v d m V k Q 2 9 s d W 1 u c z E u e 0 N v b H V t b j E x L D E x f S Z x d W 9 0 O y w m c X V v d D t T Z W N 0 a W 9 u M S 9 k Y X R h L 0 F 1 d G 9 S Z W 1 v d m V k Q 2 9 s d W 1 u c z E u e 0 N v b H V t b j E y L D E y f S Z x d W 9 0 O 1 0 s J n F 1 b 3 Q 7 Q 2 9 s d W 1 u Q 2 9 1 b n Q m c X V v d D s 6 M T M s J n F 1 b 3 Q 7 S 2 V 5 Q 2 9 s d W 1 u T m F t Z X M m c X V v d D s 6 W 1 0 s J n F 1 b 3 Q 7 Q 2 9 s d W 1 u S W R l b n R p d G l l c y Z x d W 9 0 O z p b J n F 1 b 3 Q 7 U 2 V j d G l v b j E v Z G F 0 Y S 9 B d X R v U m V t b 3 Z l Z E N v b H V t b n M x L n t T b 3 V y Y 2 U u T m F t Z S w w f S Z x d W 9 0 O y w m c X V v d D t T Z W N 0 a W 9 u M S 9 k Y X R h L 0 F 1 d G 9 S Z W 1 v d m V k Q 2 9 s d W 1 u c z E u e 0 N v b H V t b j E s M X 0 m c X V v d D s s J n F 1 b 3 Q 7 U 2 V j d G l v b j E v Z G F 0 Y S 9 B d X R v U m V t b 3 Z l Z E N v b H V t b n M x L n t D b 2 x 1 b W 4 y L D J 9 J n F 1 b 3 Q 7 L C Z x d W 9 0 O 1 N l Y 3 R p b 2 4 x L 2 R h d G E v Q X V 0 b 1 J l b W 9 2 Z W R D b 2 x 1 b W 5 z M S 5 7 Q 2 9 s d W 1 u M y w z f S Z x d W 9 0 O y w m c X V v d D t T Z W N 0 a W 9 u M S 9 k Y X R h L 0 F 1 d G 9 S Z W 1 v d m V k Q 2 9 s d W 1 u c z E u e 0 N v b H V t b j Q s N H 0 m c X V v d D s s J n F 1 b 3 Q 7 U 2 V j d G l v b j E v Z G F 0 Y S 9 B d X R v U m V t b 3 Z l Z E N v b H V t b n M x L n t D b 2 x 1 b W 4 1 L D V 9 J n F 1 b 3 Q 7 L C Z x d W 9 0 O 1 N l Y 3 R p b 2 4 x L 2 R h d G E v Q X V 0 b 1 J l b W 9 2 Z W R D b 2 x 1 b W 5 z M S 5 7 Q 2 9 s d W 1 u N i w 2 f S Z x d W 9 0 O y w m c X V v d D t T Z W N 0 a W 9 u M S 9 k Y X R h L 0 F 1 d G 9 S Z W 1 v d m V k Q 2 9 s d W 1 u c z E u e 0 N v b H V t b j c s N 3 0 m c X V v d D s s J n F 1 b 3 Q 7 U 2 V j d G l v b j E v Z G F 0 Y S 9 B d X R v U m V t b 3 Z l Z E N v b H V t b n M x L n t D b 2 x 1 b W 4 4 L D h 9 J n F 1 b 3 Q 7 L C Z x d W 9 0 O 1 N l Y 3 R p b 2 4 x L 2 R h d G E v Q X V 0 b 1 J l b W 9 2 Z W R D b 2 x 1 b W 5 z M S 5 7 Q 2 9 s d W 1 u O S w 5 f S Z x d W 9 0 O y w m c X V v d D t T Z W N 0 a W 9 u M S 9 k Y X R h L 0 F 1 d G 9 S Z W 1 v d m V k Q 2 9 s d W 1 u c z E u e 0 N v b H V t b j E w L D E w f S Z x d W 9 0 O y w m c X V v d D t T Z W N 0 a W 9 u M S 9 k Y X R h L 0 F 1 d G 9 S Z W 1 v d m V k Q 2 9 s d W 1 u c z E u e 0 N v b H V t b j E x L D E x f S Z x d W 9 0 O y w m c X V v d D t T Z W N 0 a W 9 u M S 9 k Y X R h L 0 F 1 d G 9 S Z W 1 v d m V k Q 2 9 s d W 1 u c z E u e 0 N v b H V t b j E y L D E y 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N T Y y Z T E x Y 2 I t Z G M z M S 0 0 N z I y L W E z Y j A t M D Y w N T M 0 N m I 2 Y z E 3 I i A v P j x F b n R y e S B U e X B l P S J M b 2 F k Z W R U b 0 F u Y W x 5 c 2 l z U 2 V y d m l j Z X M i I F Z h b H V l P S J s M C I g L z 4 8 R W 5 0 c n k g V H l w Z T 0 i R m l s b F N 0 Y X R 1 c y I g V m F s d W U 9 I n N D b 2 1 w b G V 0 Z S I g L z 4 8 R W 5 0 c n k g V H l w Z T 0 i R m l s b E x h c 3 R V c G R h d G V k I i B W Y W x 1 Z T 0 i Z D I w M j Q t M D Q t M T V U M T Y 6 M T I 6 M z k u M T U x M T Y 5 M 1 o i I C 8 + P E V u d H J 5 I F R 5 c G U 9 I k Z p b G x F c n J v c k N v Z G U i I F Z h b H V l P S J z V W 5 r b m 9 3 b i I g L z 4 8 R W 5 0 c n k g V H l w Z T 0 i Q W R k Z W R U b 0 R h d G F N b 2 R l b C I g V m F s d W U 9 I m w w I i A v P j x F b n R y e S B U e X B l P S J M b 2 F k V G 9 S Z X B v c n R E a X N h Y m x l Z C I g V m F s d W U 9 I m w x I i A v P j x F b n R y e S B U e X B l P S J R d W V y e U d y b 3 V w S U Q i I F Z h b H V l P S J z N T I 5 Z W M 5 M D U t Z j k x N y 0 0 N z N k L W I x M G Q t O D A 5 Y j k 4 O G M y O D I 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4 O T N l N G Q z O S 0 2 M z N l L T R i M m Q t O T c x N i 0 5 Z j N k Z j l i M m V j Z T Y i I C 8 + P E V u d H J 5 I F R 5 c G U 9 I k x v Y W R U b 1 J l c G 9 y d E R p c 2 F i b G V k I i B W Y W x 1 Z T 0 i b D E i I C 8 + P E V u d H J 5 I F R 5 c G U 9 I l F 1 Z X J 5 R 3 J v d X B J R C I g V m F s d W U 9 I n M 1 M j l l Y z k w N S 1 m O T E 3 L T Q 3 M 2 Q t Y j E w Z C 0 4 M D l i O T g 4 Y z I 4 M j c 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C 0 x N V Q x N j o x M j o z O S 4 x N D U x N j k 1 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Y 2 V i Z T c 5 Y 2 U t N z Z h O S 0 0 N 2 Q x L W J m N W I t M j M z N z k y Z m R m M j B i I i A v P j x F b n R y e S B U e X B l P S J M b 2 F k V G 9 S Z X B v c n R E a X N h Y m x l Z C I g V m F s d W U 9 I m w x I i A v P j x F b n R y e S B U e X B l P S J R d W V y e U d y b 3 V w S U Q i I F Z h b H V l P S J z N W U 3 M T Z i Z W Y t N m Y 2 M y 0 0 Y T c z L T g 5 Y z g t Z j c 4 M D F j M T c 5 N j M 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C 0 x N V Q x N j o x M j o z O S 4 x M z k x N j k 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B m M 2 R h N 2 I 1 L W Q w Y T Q t N D A 3 M C 1 h N z c 5 L T h l M j U 2 O G N m Z W J m Y y I g L z 4 8 R W 5 0 c n k g V H l w Z T 0 i U X V l c n l H c m 9 1 c E l E I i B W Y W x 1 Z T 0 i c z U y O W V j O T A 1 L W Y 5 M T c t N D c z Z C 1 i M T B k L T g w O W I 5 O D h j M j g y N y 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E 1 V D E 2 O j E y O j M 5 L j E 1 N j E 2 N j F 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S 9 G a W x 0 Z X J l Z C U y M E h p Z G R l b i U y M E Z p b G V z M T w v S X R l b V B h d G g + P C 9 J d G V t T G 9 j Y X R p b 2 4 + P F N 0 Y W J s Z U V u d H J p Z X M g L z 4 8 L 0 l 0 Z W 0 + P E l 0 Z W 0 + P E l 0 Z W 1 M b 2 N h d G l v b j 4 8 S X R l b V R 5 c G U + R m 9 y b X V s Y T w v S X R l b V R 5 c G U + P E l 0 Z W 1 Q Y X R o P l N l Y 3 R p b 2 4 x L 2 R h d G E v S W 5 2 b 2 t l J T I w Q 3 V z d G 9 t J T I w R n V u Y 3 R p b 2 4 x P C 9 J d G V t U G F 0 a D 4 8 L 0 l 0 Z W 1 M b 2 N h d G l v b j 4 8 U 3 R h Y m x l R W 5 0 c m l l c y A v P j w v S X R l b T 4 8 S X R l b T 4 8 S X R l b U x v Y 2 F 0 a W 9 u P j x J d G V t V H l w Z T 5 G b 3 J t d W x h P C 9 J d G V t V H l w Z T 4 8 S X R l b V B h d G g + U 2 V j d G l v b j E v Z G F 0 Y S 9 S Z W 5 h b W V k J T I w Q 2 9 s d W 1 u c z E 8 L 0 l 0 Z W 1 Q Y X R o P j w v S X R l b U x v Y 2 F 0 a W 9 u P j x T d G F i b G V F b n R y a W V z I C 8 + P C 9 J d G V t P j x J d G V t P j x J d G V t T G 9 j Y X R p b 2 4 + P E l 0 Z W 1 U e X B l P k Z v c m 1 1 b G E 8 L 0 l 0 Z W 1 U e X B l P j x J d G V t U G F 0 a D 5 T Z W N 0 a W 9 u M S 9 k Y X R h L 1 J l b W 9 2 Z W Q l M j B P d G h l c i U y M E N v b H V t b n M x P C 9 J d G V t U G F 0 a D 4 8 L 0 l 0 Z W 1 M b 2 N h d G l v b j 4 8 U 3 R h Y m x l R W 5 0 c m l l c y A v P j w v S X R l b T 4 8 S X R l b T 4 8 S X R l b U x v Y 2 F 0 a W 9 u P j x J d G V t V H l w Z T 5 G b 3 J t d W x h P C 9 J d G V t V H l w Z T 4 8 S X R l b V B h d G g + U 2 V j d G l v b j E v Z G F 0 Y S 9 F e H B h b m R l Z C U y M F R h Y m x l J T I w Q 2 9 s d W 1 u M T 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c m l 2 Z S 1 k b 3 d u b G 9 h Z C 0 y M D I 0 M D Q x N V Q x N D Q 1 M j l a L T A w M T w v S X R l b V B h d G g + P C 9 J d G V t T G 9 j Y X R p b 2 4 + P F N 0 Y W J s Z U V u d H J p Z X M + P E V u d H J 5 I F R 5 c G U 9 I k l z U H J p d m F 0 Z S I g V m F s d W U 9 I m w w I i A v P j x F b n R y e S B U e X B l P S J R d W V y e U l E I i B W Y W x 1 Z T 0 i c 2 Z i M G I 4 N D U 1 L W I w N j k t N G Q x Y i 1 h M D Q 0 L T A w M W E z N W J m Y j M 5 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H J p d m V f Z G 9 3 b m x v Y W R f M j A y N D A 0 M T V U M T Q 0 N T I 5 W l 8 w M D E i I C 8 + P E V u d H J 5 I F R 5 c G U 9 I k Z p b G x l Z E N v b X B s Z X R l U m V z d W x 0 V G 9 X b 3 J r c 2 h l Z X Q i I F Z h b H V l P S J s M S I g L z 4 8 R W 5 0 c n k g V H l w Z T 0 i Q W R k Z W R U b 0 R h d G F N b 2 R l b C I g V m F s d W U 9 I m w w I i A v P j x F b n R y e S B U e X B l P S J G a W x s Q 2 9 1 b n Q i I F Z h b H V l P S J s N D c 1 I i A v P j x F b n R y e S B U e X B l P S J G a W x s R X J y b 3 J D b 2 R l I i B W Y W x 1 Z T 0 i c 1 V u a 2 5 v d 2 4 i I C 8 + P E V u d H J 5 I F R 5 c G U 9 I k Z p b G x F c n J v c k N v d W 5 0 I i B W Y W x 1 Z T 0 i b D A i I C 8 + P E V u d H J 5 I F R 5 c G U 9 I k Z p b G x M Y X N 0 V X B k Y X R l Z C I g V m F s d W U 9 I m Q y M D I 0 L T A 0 L T E 3 V D E 2 O j I w O j E 2 L j Y 4 N T A y M T J a I i A v P j x F b n R y e S B U e X B l P S J G a W x s Q 2 9 s d W 1 u V H l w Z X M i I F Z h b H V l P S J z Q m d N R E F 3 T U R C U U 1 E Q X d N R E F 3 P T 0 i I C 8 + P E V u d H J 5 I F R 5 c G U 9 I k Z p b G x D b 2 x 1 b W 5 O Y W 1 l c y I g V m F s d W U 9 I n N b J n F 1 b 3 Q 7 U 2 9 1 c m N l L k 5 h b W U m c X V v d D s s 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Z H J p d m U t Z G 9 3 b m x v Y W Q t M j A y N D A 0 M T V U M T Q 0 N T I 5 W i 0 w M D E v Q X V 0 b 1 J l b W 9 2 Z W R D b 2 x 1 b W 5 z M S 5 7 U 2 9 1 c m N l L k 5 h b W U s M H 0 m c X V v d D s s J n F 1 b 3 Q 7 U 2 V j d G l v b j E v Z H J p d m U t Z G 9 3 b m x v Y W Q t M j A y N D A 0 M T V U M T Q 0 N T I 5 W i 0 w M D E v Q X V 0 b 1 J l b W 9 2 Z W R D b 2 x 1 b W 5 z M S 5 7 Q 2 9 s d W 1 u M S w x f S Z x d W 9 0 O y w m c X V v d D t T Z W N 0 a W 9 u M S 9 k c m l 2 Z S 1 k b 3 d u b G 9 h Z C 0 y M D I 0 M D Q x N V Q x N D Q 1 M j l a L T A w M S 9 B d X R v U m V t b 3 Z l Z E N v b H V t b n M x L n t D b 2 x 1 b W 4 y L D J 9 J n F 1 b 3 Q 7 L C Z x d W 9 0 O 1 N l Y 3 R p b 2 4 x L 2 R y a X Z l L W R v d 2 5 s b 2 F k L T I w M j Q w N D E 1 V D E 0 N D U y O V o t M D A x L 0 F 1 d G 9 S Z W 1 v d m V k Q 2 9 s d W 1 u c z E u e 0 N v b H V t b j M s M 3 0 m c X V v d D s s J n F 1 b 3 Q 7 U 2 V j d G l v b j E v Z H J p d m U t Z G 9 3 b m x v Y W Q t M j A y N D A 0 M T V U M T Q 0 N T I 5 W i 0 w M D E v Q X V 0 b 1 J l b W 9 2 Z W R D b 2 x 1 b W 5 z M S 5 7 Q 2 9 s d W 1 u N C w 0 f S Z x d W 9 0 O y w m c X V v d D t T Z W N 0 a W 9 u M S 9 k c m l 2 Z S 1 k b 3 d u b G 9 h Z C 0 y M D I 0 M D Q x N V Q x N D Q 1 M j l a L T A w M S 9 B d X R v U m V t b 3 Z l Z E N v b H V t b n M x L n t D b 2 x 1 b W 4 1 L D V 9 J n F 1 b 3 Q 7 L C Z x d W 9 0 O 1 N l Y 3 R p b 2 4 x L 2 R y a X Z l L W R v d 2 5 s b 2 F k L T I w M j Q w N D E 1 V D E 0 N D U y O V o t M D A x L 0 F 1 d G 9 S Z W 1 v d m V k Q 2 9 s d W 1 u c z E u e 0 N v b H V t b j Y s N n 0 m c X V v d D s s J n F 1 b 3 Q 7 U 2 V j d G l v b j E v Z H J p d m U t Z G 9 3 b m x v Y W Q t M j A y N D A 0 M T V U M T Q 0 N T I 5 W i 0 w M D E v Q X V 0 b 1 J l b W 9 2 Z W R D b 2 x 1 b W 5 z M S 5 7 Q 2 9 s d W 1 u N y w 3 f S Z x d W 9 0 O y w m c X V v d D t T Z W N 0 a W 9 u M S 9 k c m l 2 Z S 1 k b 3 d u b G 9 h Z C 0 y M D I 0 M D Q x N V Q x N D Q 1 M j l a L T A w M S 9 B d X R v U m V t b 3 Z l Z E N v b H V t b n M x L n t D b 2 x 1 b W 4 4 L D h 9 J n F 1 b 3 Q 7 L C Z x d W 9 0 O 1 N l Y 3 R p b 2 4 x L 2 R y a X Z l L W R v d 2 5 s b 2 F k L T I w M j Q w N D E 1 V D E 0 N D U y O V o t M D A x L 0 F 1 d G 9 S Z W 1 v d m V k Q 2 9 s d W 1 u c z E u e 0 N v b H V t b j k s O X 0 m c X V v d D s s J n F 1 b 3 Q 7 U 2 V j d G l v b j E v Z H J p d m U t Z G 9 3 b m x v Y W Q t M j A y N D A 0 M T V U M T Q 0 N T I 5 W i 0 w M D E v Q X V 0 b 1 J l b W 9 2 Z W R D b 2 x 1 b W 5 z M S 5 7 Q 2 9 s d W 1 u M T A s M T B 9 J n F 1 b 3 Q 7 L C Z x d W 9 0 O 1 N l Y 3 R p b 2 4 x L 2 R y a X Z l L W R v d 2 5 s b 2 F k L T I w M j Q w N D E 1 V D E 0 N D U y O V o t M D A x L 0 F 1 d G 9 S Z W 1 v d m V k Q 2 9 s d W 1 u c z E u e 0 N v b H V t b j E x L D E x f S Z x d W 9 0 O y w m c X V v d D t T Z W N 0 a W 9 u M S 9 k c m l 2 Z S 1 k b 3 d u b G 9 h Z C 0 y M D I 0 M D Q x N V Q x N D Q 1 M j l a L T A w M S 9 B d X R v U m V t b 3 Z l Z E N v b H V t b n M x L n t D b 2 x 1 b W 4 x M i w x M n 0 m c X V v d D t d L C Z x d W 9 0 O 0 N v b H V t b k N v d W 5 0 J n F 1 b 3 Q 7 O j E z L C Z x d W 9 0 O 0 t l e U N v b H V t b k 5 h b W V z J n F 1 b 3 Q 7 O l t d L C Z x d W 9 0 O 0 N v b H V t b k l k Z W 5 0 a X R p Z X M m c X V v d D s 6 W y Z x d W 9 0 O 1 N l Y 3 R p b 2 4 x L 2 R y a X Z l L W R v d 2 5 s b 2 F k L T I w M j Q w N D E 1 V D E 0 N D U y O V o t M D A x L 0 F 1 d G 9 S Z W 1 v d m V k Q 2 9 s d W 1 u c z E u e 1 N v d X J j Z S 5 O Y W 1 l L D B 9 J n F 1 b 3 Q 7 L C Z x d W 9 0 O 1 N l Y 3 R p b 2 4 x L 2 R y a X Z l L W R v d 2 5 s b 2 F k L T I w M j Q w N D E 1 V D E 0 N D U y O V o t M D A x L 0 F 1 d G 9 S Z W 1 v d m V k Q 2 9 s d W 1 u c z E u e 0 N v b H V t b j E s M X 0 m c X V v d D s s J n F 1 b 3 Q 7 U 2 V j d G l v b j E v Z H J p d m U t Z G 9 3 b m x v Y W Q t M j A y N D A 0 M T V U M T Q 0 N T I 5 W i 0 w M D E v Q X V 0 b 1 J l b W 9 2 Z W R D b 2 x 1 b W 5 z M S 5 7 Q 2 9 s d W 1 u M i w y f S Z x d W 9 0 O y w m c X V v d D t T Z W N 0 a W 9 u M S 9 k c m l 2 Z S 1 k b 3 d u b G 9 h Z C 0 y M D I 0 M D Q x N V Q x N D Q 1 M j l a L T A w M S 9 B d X R v U m V t b 3 Z l Z E N v b H V t b n M x L n t D b 2 x 1 b W 4 z L D N 9 J n F 1 b 3 Q 7 L C Z x d W 9 0 O 1 N l Y 3 R p b 2 4 x L 2 R y a X Z l L W R v d 2 5 s b 2 F k L T I w M j Q w N D E 1 V D E 0 N D U y O V o t M D A x L 0 F 1 d G 9 S Z W 1 v d m V k Q 2 9 s d W 1 u c z E u e 0 N v b H V t b j Q s N H 0 m c X V v d D s s J n F 1 b 3 Q 7 U 2 V j d G l v b j E v Z H J p d m U t Z G 9 3 b m x v Y W Q t M j A y N D A 0 M T V U M T Q 0 N T I 5 W i 0 w M D E v Q X V 0 b 1 J l b W 9 2 Z W R D b 2 x 1 b W 5 z M S 5 7 Q 2 9 s d W 1 u N S w 1 f S Z x d W 9 0 O y w m c X V v d D t T Z W N 0 a W 9 u M S 9 k c m l 2 Z S 1 k b 3 d u b G 9 h Z C 0 y M D I 0 M D Q x N V Q x N D Q 1 M j l a L T A w M S 9 B d X R v U m V t b 3 Z l Z E N v b H V t b n M x L n t D b 2 x 1 b W 4 2 L D Z 9 J n F 1 b 3 Q 7 L C Z x d W 9 0 O 1 N l Y 3 R p b 2 4 x L 2 R y a X Z l L W R v d 2 5 s b 2 F k L T I w M j Q w N D E 1 V D E 0 N D U y O V o t M D A x L 0 F 1 d G 9 S Z W 1 v d m V k Q 2 9 s d W 1 u c z E u e 0 N v b H V t b j c s N 3 0 m c X V v d D s s J n F 1 b 3 Q 7 U 2 V j d G l v b j E v Z H J p d m U t Z G 9 3 b m x v Y W Q t M j A y N D A 0 M T V U M T Q 0 N T I 5 W i 0 w M D E v Q X V 0 b 1 J l b W 9 2 Z W R D b 2 x 1 b W 5 z M S 5 7 Q 2 9 s d W 1 u O C w 4 f S Z x d W 9 0 O y w m c X V v d D t T Z W N 0 a W 9 u M S 9 k c m l 2 Z S 1 k b 3 d u b G 9 h Z C 0 y M D I 0 M D Q x N V Q x N D Q 1 M j l a L T A w M S 9 B d X R v U m V t b 3 Z l Z E N v b H V t b n M x L n t D b 2 x 1 b W 4 5 L D l 9 J n F 1 b 3 Q 7 L C Z x d W 9 0 O 1 N l Y 3 R p b 2 4 x L 2 R y a X Z l L W R v d 2 5 s b 2 F k L T I w M j Q w N D E 1 V D E 0 N D U y O V o t M D A x L 0 F 1 d G 9 S Z W 1 v d m V k Q 2 9 s d W 1 u c z E u e 0 N v b H V t b j E w L D E w f S Z x d W 9 0 O y w m c X V v d D t T Z W N 0 a W 9 u M S 9 k c m l 2 Z S 1 k b 3 d u b G 9 h Z C 0 y M D I 0 M D Q x N V Q x N D Q 1 M j l a L T A w M S 9 B d X R v U m V t b 3 Z l Z E N v b H V t b n M x L n t D b 2 x 1 b W 4 x M S w x M X 0 m c X V v d D s s J n F 1 b 3 Q 7 U 2 V j d G l v b j E v Z H J p d m U t Z G 9 3 b m x v Y W Q t M j A y N D A 0 M T V U M T Q 0 N T I 5 W i 0 w M D E v Q X V 0 b 1 J l b W 9 2 Z W R D b 2 x 1 b W 5 z M S 5 7 Q 2 9 s d W 1 u M T I s M T J 9 J n F 1 b 3 Q 7 X S w m c X V v d D t S Z W x h d G l v b n N o a X B J b m Z v J n F 1 b 3 Q 7 O l t d f S I g L z 4 8 L 1 N 0 Y W J s Z U V u d H J p Z X M + P C 9 J d G V t P j x J d G V t P j x J d G V t T G 9 j Y X R p b 2 4 + P E l 0 Z W 1 U e X B l P k Z v c m 1 1 b G E 8 L 0 l 0 Z W 1 U e X B l P j x J d G V t U G F 0 a D 5 T Z W N 0 a W 9 u M S 9 k c m l 2 Z S 1 k b 3 d u b G 9 h Z C 0 y M D I 0 M D Q x N V Q x N D Q 1 M j l a L T A w M S 9 T b 3 V y Y 2 U 8 L 0 l 0 Z W 1 Q Y X R o P j w v S X R l b U x v Y 2 F 0 a W 9 u P j x T d G F i b G V F b n R y a W V z I C 8 + P C 9 J d G V t P j x J d G V t P j x J d G V t T G 9 j Y X R p b 2 4 + P E l 0 Z W 1 U e X B l P k Z v c m 1 1 b G E 8 L 0 l 0 Z W 1 U e X B l P j x J d G V t U G F 0 a D 5 T Z W N 0 a W 9 u M S 9 T Y W 1 w b G U l M j B G a W x l J T I w K D I p P C 9 J d G V t U G F 0 a D 4 8 L 0 l 0 Z W 1 M b 2 N h d G l v b j 4 8 U 3 R h Y m x l R W 5 0 c m l l c z 4 8 R W 5 0 c n k g V H l w Z T 0 i S X N Q c m l 2 Y X R l I i B W Y W x 1 Z T 0 i b D A i I C 8 + P E V u d H J 5 I F R 5 c G U 9 I l F 1 Z X J 5 S U Q i I F Z h b H V l P S J z N T h m N W Z i Z T g t Z W Q 0 N C 0 0 N D g 0 L T l l O D g t N z Z h Z m Q 5 Z D Q 2 N z k 5 I i A v P j x F b n R y e S B U e X B l P S J M b 2 F k Z W R U b 0 F u Y W x 5 c 2 l z U 2 V y d m l j Z X M i I F Z h b H V l P S J s M C I g L z 4 8 R W 5 0 c n k g V H l w Z T 0 i R m l s b F N 0 Y X R 1 c y I g V m F s d W U 9 I n N D b 2 1 w b G V 0 Z S I g L z 4 8 R W 5 0 c n k g V H l w Z T 0 i R m l s b E x h c 3 R V c G R h d G V k I i B W Y W x 1 Z T 0 i Z D I w M j Q t M D Q t M T d U M T Y 6 M j A 6 M T Q u O D g 4 N D I 3 O V o i I C 8 + P E V u d H J 5 I F R 5 c G U 9 I k Z p b G x F c n J v c k N v Z G U i I F Z h b H V l P S J z V W 5 r b m 9 3 b i I g L z 4 8 R W 5 0 c n k g V H l w Z T 0 i Q W R k Z W R U b 0 R h d G F N b 2 R l b C I g V m F s d W U 9 I m w w I i A v P j x F b n R y e S B U e X B l P S J M b 2 F k V G 9 S Z X B v c n R E a X N h Y m x l Z C I g V m F s d W U 9 I m w x I i A v P j x F b n R y e S B U e X B l P S J R d W V y e U d y b 3 V w S U Q i I F Z h b H V l P S J z M W N k Y T Y z Z m Y t Z T U 4 M C 0 0 M j l m L T g z N 2 M t Z j Y 0 Y j E 0 M 2 Q 0 Y m M 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O Y X Z p Z 2 F 0 a W 9 u M T w v S X R l b V B h d G g + P C 9 J d G V t T G 9 j Y X R p b 2 4 + P F N 0 Y W J s Z U V u d H J p Z X M g L z 4 8 L 0 l 0 Z W 0 + P E l 0 Z W 0 + P E l 0 Z W 1 M b 2 N h d G l v b j 4 8 S X R l b V R 5 c G U + R m 9 y b X V s Y T w v S X R l b V R 5 c G U + P E l 0 Z W 1 Q Y X R o P l N l Y 3 R p b 2 4 x L 1 B h c m F t Z X R l c j I 8 L 0 l 0 Z W 1 Q Y X R o P j w v S X R l b U x v Y 2 F 0 a W 9 u P j x T d G F i b G V F b n R y a W V z P j x F b n R y e S B U e X B l P S J J c 1 B y a X Z h d G U i I F Z h b H V l P S J s M C I g L z 4 8 R W 5 0 c n k g V H l w Z T 0 i U X V l c n l J R C I g V m F s d W U 9 I n M y O D U 0 Z W E 4 Z C 1 m Y 2 N h L T Q y Y T U t Y T g x N S 0 0 Z D k 4 O D U 0 O T V h Y m I i I C 8 + P E V u d H J 5 I F R 5 c G U 9 I k x v Y W R U b 1 J l c G 9 y d E R p c 2 F i b G V k I i B W Y W x 1 Z T 0 i b D E i I C 8 + P E V u d H J 5 I F R 5 c G U 9 I l F 1 Z X J 5 R 3 J v d X B J R C I g V m F s d W U 9 I n M x Y 2 R h N j N m Z i 1 l N T g w L T Q y O W Y t O D M 3 Y y 1 m N j R i M T Q z Z D R i Y z c 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C 0 x N 1 Q x N j o y M D o x N C 4 4 O T U 0 M T k 1 W i I g L z 4 8 R W 5 0 c n k g V H l w Z T 0 i R m l s b F N 0 Y X R 1 c y I g V m F s d W U 9 I n N D b 2 1 w b G V 0 Z S I g L z 4 8 L 1 N 0 Y W J s Z U V u d H J p Z X M + P C 9 J d G V t P j x J d G V t P j x J d G V t T G 9 j Y X R p b 2 4 + P E l 0 Z W 1 U e X B l P k Z v c m 1 1 b G E 8 L 0 l 0 Z W 1 U e X B l P j x J d G V t U G F 0 a D 5 T Z W N 0 a W 9 u M S 9 U c m F u c 2 Z v c m 0 l M j B T Y W 1 w b G U l M j B G a W x l J T I w K D I p P C 9 J d G V t U G F 0 a D 4 8 L 0 l 0 Z W 1 M b 2 N h d G l v b j 4 8 U 3 R h Y m x l R W 5 0 c m l l c z 4 8 R W 5 0 c n k g V H l w Z T 0 i S X N Q c m l 2 Y X R l I i B W Y W x 1 Z T 0 i b D A i I C 8 + P E V u d H J 5 I F R 5 c G U 9 I l F 1 Z X J 5 S U Q i I F Z h b H V l P S J z Z G E y M T R h O D M t M D J h O S 0 0 N 2 U 3 L W E 3 N D g t Y T l k M W M 0 Y j V l Y j J k I i A v P j x F b n R y e S B U e X B l P S J M b 2 F k V G 9 S Z X B v c n R E a X N h Y m x l Z C I g V m F s d W U 9 I m w x I i A v P j x F b n R y e S B U e X B l P S J R d W V y e U d y b 3 V w S U Q i I F Z h b H V l P S J z M z A 2 O G E 4 Y j Y t Z T E 5 Y S 0 0 M m Y 0 L W F i O G M t M z F l Z D E 1 N z d h N T A 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C 0 x N 1 Q x N j o y M D o x N C 4 5 M D A 0 M j A 2 W i I g L z 4 8 R W 5 0 c n k g V H l w Z T 0 i R m l s b F N 0 Y X R 1 c y I g V m F s d W U 9 I n N D b 2 1 w b G V 0 Z S I g L z 4 8 L 1 N 0 Y W J s Z U V u d H J p Z X M + P C 9 J d G V t P j x J d G V t P j x J d G V t T G 9 j Y X R p b 2 4 + P E l 0 Z W 1 U e X B l P k Z v c m 1 1 b G E 8 L 0 l 0 Z W 1 U e X B l P j x J d G V t U G F 0 a D 5 T Z W N 0 a W 9 u M S 9 U c m F u c 2 Z v c m 0 l M j B T Y W 1 w b G U l M j B G a W x l J T I w K D I p L 1 N v d X J j Z T w v S X R l b V B h d G g + P C 9 J d G V t T G 9 j Y X R p b 2 4 + P F N 0 Y W J s Z U V u d H J p Z X M g L z 4 8 L 0 l 0 Z W 0 + P E l 0 Z W 0 + P E l 0 Z W 1 M b 2 N h d G l v b j 4 8 S X R l b V R 5 c G U + R m 9 y b X V s Y T w v S X R l b V R 5 c G U + P E l 0 Z W 1 Q Y X R o P l N l Y 3 R p b 2 4 x L 1 R y Y W 5 z Z m 9 y b S U y M E Z p b G U l M j A o M i k 8 L 0 l 0 Z W 1 Q Y X R o P j w v S X R l b U x v Y 2 F 0 a W 9 u P j x T d G F i b G V F b n R y a W V z P j x F b n R y e S B U e X B l P S J M b 2 F k V G 9 S Z X B v c n R E a X N h Y m x l Z C I g V m F s d W U 9 I m w x I i A v P j x F b n R y e S B U e X B l P S J R d W V y e U l E I i B W Y W x 1 Z T 0 i c 2 E 0 O D J j N T Y 3 L T c 5 Z T k t N G V l N i 0 5 Y 2 I x L T E 0 O T h m M D I 3 M 2 N m N i I g L z 4 8 R W 5 0 c n k g V H l w Z T 0 i U X V l c n l H c m 9 1 c E l E I i B W Y W x 1 Z T 0 i c z F j Z G E 2 M 2 Z m L W U 1 O D A t N D I 5 Z i 0 4 M z d j L W Y 2 N G I x N D N k N G J j N 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E 3 V D E 2 O j I w O j E 0 L j k w N D Q 1 O D B a I i A v P j x F b n R y e S B U e X B l P S J G a W x s U 3 R h d H V z I i B W Y W x 1 Z T 0 i c 0 N v b X B s Z X R l I i A v P j w v U 3 R h Y m x l R W 5 0 c m l l c z 4 8 L 0 l 0 Z W 0 + P E l 0 Z W 0 + P E l 0 Z W 1 M b 2 N h d G l v b j 4 8 S X R l b V R 5 c G U + R m 9 y b X V s Y T w v S X R l b V R 5 c G U + P E l 0 Z W 1 Q Y X R o P l N l Y 3 R p b 2 4 x L 1 R y Y W 5 z Z m 9 y b S U y M E Z p b G U l M j A o M i k v U 2 9 1 c m N l P C 9 J d G V t U G F 0 a D 4 8 L 0 l 0 Z W 1 M b 2 N h d G l v b j 4 8 U 3 R h Y m x l R W 5 0 c m l l c y A v P j w v S X R l b T 4 8 S X R l b T 4 8 S X R l b U x v Y 2 F 0 a W 9 u P j x J d G V t V H l w Z T 5 G b 3 J t d W x h P C 9 J d G V t V H l w Z T 4 8 S X R l b V B h d G g + U 2 V j d G l v b j E v Z H J p d m U t Z G 9 3 b m x v Y W Q t M j A y N D A 0 M T V U M T Q 0 N T I 5 W i 0 w M D E v R m l s d G V y Z W Q l M j B I a W R k Z W 4 l M j B G a W x l c z E 8 L 0 l 0 Z W 1 Q Y X R o P j w v S X R l b U x v Y 2 F 0 a W 9 u P j x T d G F i b G V F b n R y a W V z I C 8 + P C 9 J d G V t P j x J d G V t P j x J d G V t T G 9 j Y X R p b 2 4 + P E l 0 Z W 1 U e X B l P k Z v c m 1 1 b G E 8 L 0 l 0 Z W 1 U e X B l P j x J d G V t U G F 0 a D 5 T Z W N 0 a W 9 u M S 9 k c m l 2 Z S 1 k b 3 d u b G 9 h Z C 0 y M D I 0 M D Q x N V Q x N D Q 1 M j l a L T A w M S 9 J b n Z v a 2 U l M j B D d X N 0 b 2 0 l M j B G d W 5 j d G l v b j E 8 L 0 l 0 Z W 1 Q Y X R o P j w v S X R l b U x v Y 2 F 0 a W 9 u P j x T d G F i b G V F b n R y a W V z I C 8 + P C 9 J d G V t P j x J d G V t P j x J d G V t T G 9 j Y X R p b 2 4 + P E l 0 Z W 1 U e X B l P k Z v c m 1 1 b G E 8 L 0 l 0 Z W 1 U e X B l P j x J d G V t U G F 0 a D 5 T Z W N 0 a W 9 u M S 9 k c m l 2 Z S 1 k b 3 d u b G 9 h Z C 0 y M D I 0 M D Q x N V Q x N D Q 1 M j l a L T A w M S 9 S Z W 5 h b W V k J T I w Q 2 9 s d W 1 u c z E 8 L 0 l 0 Z W 1 Q Y X R o P j w v S X R l b U x v Y 2 F 0 a W 9 u P j x T d G F i b G V F b n R y a W V z I C 8 + P C 9 J d G V t P j x J d G V t P j x J d G V t T G 9 j Y X R p b 2 4 + P E l 0 Z W 1 U e X B l P k Z v c m 1 1 b G E 8 L 0 l 0 Z W 1 U e X B l P j x J d G V t U G F 0 a D 5 T Z W N 0 a W 9 u M S 9 k c m l 2 Z S 1 k b 3 d u b G 9 h Z C 0 y M D I 0 M D Q x N V Q x N D Q 1 M j l a L T A w M S 9 S Z W 1 v d m V k J T I w T 3 R o Z X I l M j B D b 2 x 1 b W 5 z M T w v S X R l b V B h d G g + P C 9 J d G V t T G 9 j Y X R p b 2 4 + P F N 0 Y W J s Z U V u d H J p Z X M g L z 4 8 L 0 l 0 Z W 0 + P E l 0 Z W 0 + P E l 0 Z W 1 M b 2 N h d G l v b j 4 8 S X R l b V R 5 c G U + R m 9 y b X V s Y T w v S X R l b V R 5 c G U + P E l 0 Z W 1 Q Y X R o P l N l Y 3 R p b 2 4 x L 2 R y a X Z l L W R v d 2 5 s b 2 F k L T I w M j Q w N D E 1 V D E 0 N D U y O V o t M D A x L 0 V 4 c G F u Z G V k J T I w V G F i b G U l M j B D b 2 x 1 b W 4 x P C 9 J d G V t U G F 0 a D 4 8 L 0 l 0 Z W 1 M b 2 N h d G l v b j 4 8 U 3 R h Y m x l R W 5 0 c m l l c y A v P j w v S X R l b T 4 8 S X R l b T 4 8 S X R l b U x v Y 2 F 0 a W 9 u P j x J d G V t V H l w Z T 5 G b 3 J t d W x h P C 9 J d G V t V H l w Z T 4 8 S X R l b V B h d G g + U 2 V j d G l v b j E v Z H J p d m U t Z G 9 3 b m x v Y W Q t M j A y N D A 0 M T V U M T Q 0 N T I 5 W i 0 w M D E v Q 2 h h b m d l Z C U y M F R 5 c G U 8 L 0 l 0 Z W 1 Q Y X R o P j w v S X R l b U x v Y 2 F 0 a W 9 u P j x T d G F i b G V F b n R y a W V z I C 8 + P C 9 J d G V t P j w v S X R l b X M + P C 9 M b 2 N h b F B h Y 2 t h Z 2 V N Z X R h Z G F 0 Y U Z p b G U + F g A A A F B L B Q Y A A A A A A A A A A A A A A A A A A A A A A A A m A Q A A A Q A A A N C M n d 8 B F d E R j H o A w E / C l + s B A A A A V t 8 H D f H j A U 2 d w L y A z 2 7 E h w A A A A A C A A A A A A A Q Z g A A A A E A A C A A A A A C N G s g h 4 A X o d 1 p n q j e S B D + 1 F A d Z f I W k 1 i o T P K d Z 7 Q L 4 A A A A A A O g A A A A A I A A C A A A A C q 3 d J g V 2 d k / R n u 5 Z Q s y r z e H P q I k P J e i I D H R Q Z k z y 1 Y W 1 A A A A C v o 4 n v d D 3 d H 5 m U 9 G D T o x j 8 M b b G r 0 x M u g h w J s n n b 3 C m E / D 7 1 L h 5 S F Q t 4 0 e i i C I G u 4 q F w k t s s 6 f I M J P t m U Q e A J x + A L m j a c b O Q D 0 B 0 W a L 3 L / e M E A A A A D R y g / 7 q N G u 1 4 l p h h q F G u A Y w Y 6 1 j 3 y Y N t b N n U 0 e h 2 A A Z p V y R Y h A 2 K x g J 3 J j r j 7 P Z e T Z p n S I C e a B 7 j f 7 U P i + D 1 p Z < / D a t a M a s h u p > 
</file>

<file path=customXml/itemProps1.xml><?xml version="1.0" encoding="utf-8"?>
<ds:datastoreItem xmlns:ds="http://schemas.openxmlformats.org/officeDocument/2006/customXml" ds:itemID="{7814C795-82F3-4A55-ABFA-5CBA7BEFA3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temp24</vt:lpstr>
      <vt:lpstr>temp23</vt:lpstr>
      <vt:lpstr>temp22</vt:lpstr>
      <vt:lpstr>temp21</vt:lpstr>
      <vt:lpstr>temp20</vt:lpstr>
      <vt:lpstr>temp19</vt:lpstr>
      <vt:lpstr>temp18</vt:lpstr>
      <vt:lpstr>temp17</vt:lpstr>
      <vt:lpstr>temp16</vt:lpstr>
      <vt:lpstr>temp15</vt:lpstr>
      <vt:lpstr>temp14</vt:lpstr>
      <vt:lpstr>temp13</vt:lpstr>
      <vt:lpstr>temp12</vt:lpstr>
      <vt:lpstr>temp11</vt:lpstr>
      <vt:lpstr>temp10</vt:lpstr>
      <vt:lpstr>temp9</vt:lpstr>
      <vt:lpstr>temp8</vt:lpstr>
      <vt:lpstr>temp7</vt:lpstr>
      <vt:lpstr>temp6</vt:lpstr>
      <vt:lpstr>temp5</vt:lpstr>
      <vt:lpstr>temp4</vt:lpstr>
      <vt:lpstr>temp3</vt:lpstr>
      <vt:lpstr>temp2</vt:lpstr>
      <vt:lpstr>temp1</vt:lpstr>
      <vt:lpstr>data</vt:lpstr>
      <vt:lpstr>Main</vt:lpstr>
      <vt:lpstr>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dc:creator>
  <cp:lastModifiedBy>Stephan</cp:lastModifiedBy>
  <cp:lastPrinted>2024-05-01T17:54:48Z</cp:lastPrinted>
  <dcterms:created xsi:type="dcterms:W3CDTF">2024-04-15T16:02:25Z</dcterms:created>
  <dcterms:modified xsi:type="dcterms:W3CDTF">2024-06-01T15:21:00Z</dcterms:modified>
</cp:coreProperties>
</file>