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Coppo1896/applicazioni/CRM BHPC/"/>
    </mc:Choice>
  </mc:AlternateContent>
  <xr:revisionPtr revIDLastSave="390" documentId="11_E40EB17282E1DD6C4715671709901127855412AC" xr6:coauthVersionLast="47" xr6:coauthVersionMax="47" xr10:uidLastSave="{EA81C1AB-A2BD-4AA2-BC7B-80720DFB1566}"/>
  <bookViews>
    <workbookView xWindow="-110" yWindow="-110" windowWidth="38620" windowHeight="21100" tabRatio="719" firstSheet="4" activeTab="15" xr2:uid="{00000000-000D-0000-FFFF-FFFF00000000}"/>
  </bookViews>
  <sheets>
    <sheet name="bhpc_data" sheetId="31" state="hidden" r:id="rId1"/>
    <sheet name="giftSet" sheetId="64" state="hidden" r:id="rId2"/>
    <sheet name="clientData" sheetId="30" state="hidden" r:id="rId3"/>
    <sheet name="dgn_class" sheetId="63" state="hidden" r:id="rId4"/>
    <sheet name="salesHistory" sheetId="33" r:id="rId5"/>
    <sheet name="orderHistory" sheetId="35" r:id="rId6"/>
    <sheet name="inventoryBHPC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plModel12" sheetId="51" state="hidden" r:id="rId13"/>
    <sheet name="carrier_data" sheetId="59" state="hidden" r:id="rId14"/>
    <sheet name="dgnFinalModel" sheetId="62" state="hidden" r:id="rId15"/>
    <sheet name="BHPC MANAGER" sheetId="37" r:id="rId16"/>
    <sheet name="production" sheetId="60" state="hidden" r:id="rId17"/>
    <sheet name="utility" sheetId="61" state="hidden" r:id="rId18"/>
  </sheets>
  <functionGroups builtInGroupCount="19"/>
  <definedNames>
    <definedName name="_xlnm._FilterDatabase" localSheetId="15" hidden="1">'BHPC MANAGER'!$BZ$9:$CS$110</definedName>
    <definedName name="_xlnm._FilterDatabase" localSheetId="0" hidden="1">bhpc_data!$AF$1:$AF$82</definedName>
    <definedName name="_xlnm._FilterDatabase" localSheetId="2" hidden="1">'clientData'!$A$1:$S$50</definedName>
    <definedName name="_xlnm.Print_Area" localSheetId="14">dgnFinalModel!$A$1:$J$71</definedName>
    <definedName name="_xlnm.Print_Area" localSheetId="11">plModel1!$A$1:$L$64</definedName>
    <definedName name="_xlnm.Print_Area" localSheetId="12">plModel12!$A$1:$L$118</definedName>
    <definedName name="_xlnm.Print_Area" localSheetId="7">proformaModel1!$A$1:$L$65</definedName>
    <definedName name="_xlnm.Print_Area" localSheetId="8">proformaModel12!$A$1:$L$119</definedName>
    <definedName name="_xlnm.Print_Area" localSheetId="9">proformaModel2!$A$1:$L$74</definedName>
    <definedName name="_xlnm.Print_Area" localSheetId="10">proformaModel22!$A$1:$L$135</definedName>
    <definedName name="bhpcSKU" localSheetId="12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t_bm200">OFFSET(dgn_class!$R$2,0,0,COUNTA(dgn_class!$R$2:$R$200),1)</definedName>
    <definedName name="bt_deo150">OFFSET(dgn_class!$L$2,0,0,COUNTA(dgn_class!$L$2:$L$200),1)</definedName>
    <definedName name="bt_deo175">OFFSET(dgn_class!$N$2,0,0,COUNTA(dgn_class!$N$2:$N$200),1)</definedName>
    <definedName name="bt_deo300">OFFSET(dgn_class!$P$2,0,0,COUNTA(dgn_class!$P$2:$P$200),1)</definedName>
    <definedName name="bt_profumi100">OFFSET(dgn_class!$J$2,0,0,COUNTA(dgn_class!$J$2:$J$200),1)</definedName>
    <definedName name="bt_profumi50">OFFSET(dgn_class!$H$2,0,0,COUNTA(dgn_class!$H$2:$H$200),1)</definedName>
    <definedName name="cartoni_bm">OFFSET(dgn_class!$C$2,0,0,COUNTA(dgn_class!$C$2:$C$200),1)</definedName>
    <definedName name="cartoni_deo">OFFSET(dgn_class!$B$2,0,0,COUNTA(dgn_class!$B$2:$B$200),1)</definedName>
    <definedName name="cartoni_profumi">OFFSET(dgn_class!$A$2,0,0,COUNTA(dgn_class!$A$2:$A$200),1)</definedName>
    <definedName name="clientName">OFFSET('clientData'!$A$2,0,0,COUNTA('clientData'!$A$2:$A$50),1)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OFFSET(utility!$B$2,0,0,COUNTA(utility!$B$2:$B$50),1)</definedName>
    <definedName name="pesi_deo150">OFFSET(dgn_class!$M$2,0,0,COUNTA(dgn_class!$M$2:$M$200),1)</definedName>
    <definedName name="pesi_deo175">OFFSET(dgn_class!$O$2,0,0,COUNTA(dgn_class!$O$2:$O$200),1)</definedName>
    <definedName name="pesi_deo300">OFFSET(dgn_class!$Q$2,0,0,COUNTA(dgn_class!$Q$2:$Q$200),1)</definedName>
    <definedName name="pesi_profumi100">OFFSET(dgn_class!$K$2,0,0,COUNTA(dgn_class!$K$2:$K$200),1)</definedName>
    <definedName name="pesi_profumi50">OFFSET(dgn_class!$I$2,0,0,COUNTA(dgn_class!$I$2:$I$200),1)</definedName>
    <definedName name="preparingOrders">OFFSET('BHPC MANAGER'!$EO$10,0,0,COUNTA('BHPC MANAGER'!$EO$10:$EO$40)-COUNTBLANK('BHPC MANAGER'!$EO$10:$EO$40),1)</definedName>
    <definedName name="proformaModel3" localSheetId="12">bhpc_data[sku]</definedName>
    <definedName name="proformaModel3" localSheetId="8">bhpc_data[sku]</definedName>
    <definedName name="proformaModel3" localSheetId="10">bhpc_data[sku]</definedName>
    <definedName name="ss" localSheetId="12">bhpc_data[sku]</definedName>
    <definedName name="ss" localSheetId="7">bhpc_data[sku]</definedName>
    <definedName name="ss" localSheetId="8">bhpc_data[sku]</definedName>
    <definedName name="ss" localSheetId="10">bhpc_data[sku]</definedName>
    <definedName name="_xlnm.Print_Titles" localSheetId="12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10">proformaModel22!$1:$12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8" i="62" l="1"/>
  <c r="G68" i="62"/>
  <c r="B13" i="62"/>
  <c r="B12" i="62"/>
  <c r="B11" i="62"/>
  <c r="B10" i="62"/>
  <c r="B9" i="62"/>
  <c r="D30" i="44"/>
  <c r="D29" i="44"/>
  <c r="H14" i="44" a="1"/>
  <c r="H14" i="44" s="1"/>
  <c r="G14" i="44" a="1"/>
  <c r="G14" i="44" s="1"/>
  <c r="I14" i="44" s="1"/>
  <c r="A14" i="44" a="1"/>
  <c r="A14" i="44" s="1"/>
  <c r="J14" i="44" s="1"/>
  <c r="K12" i="32" a="1"/>
  <c r="K12" i="32" s="1"/>
  <c r="G12" i="32" a="1"/>
  <c r="G12" i="32" s="1"/>
  <c r="I12" i="32" s="1"/>
  <c r="A12" i="32" a="1"/>
  <c r="A12" i="32" s="1"/>
  <c r="H12" i="32" l="1"/>
  <c r="J12" i="32"/>
  <c r="B14" i="44"/>
  <c r="K14" i="44"/>
  <c r="B12" i="32"/>
  <c r="L12" i="32"/>
  <c r="H23" i="44"/>
  <c r="H21" i="44"/>
  <c r="H19" i="44"/>
  <c r="H17" i="44"/>
  <c r="H15" i="44"/>
  <c r="H22" i="44"/>
  <c r="H20" i="44"/>
  <c r="H18" i="44"/>
  <c r="H16" i="44"/>
  <c r="G23" i="44"/>
  <c r="G21" i="44"/>
  <c r="G19" i="44"/>
  <c r="G17" i="44"/>
  <c r="G15" i="44"/>
  <c r="G22" i="44"/>
  <c r="G20" i="44"/>
  <c r="G18" i="44"/>
  <c r="G16" i="44"/>
  <c r="A23" i="44"/>
  <c r="A21" i="44"/>
  <c r="A19" i="44"/>
  <c r="A17" i="44"/>
  <c r="A15" i="44"/>
  <c r="A22" i="44"/>
  <c r="A20" i="44"/>
  <c r="A18" i="44"/>
  <c r="A16" i="44"/>
  <c r="K21" i="32"/>
  <c r="K19" i="32"/>
  <c r="K17" i="32"/>
  <c r="K15" i="32"/>
  <c r="K13" i="32"/>
  <c r="K20" i="32"/>
  <c r="K18" i="32"/>
  <c r="K16" i="32"/>
  <c r="K14" i="32"/>
  <c r="G21" i="32"/>
  <c r="G19" i="32"/>
  <c r="G17" i="32"/>
  <c r="G15" i="32"/>
  <c r="G13" i="32"/>
  <c r="G20" i="32"/>
  <c r="G18" i="32"/>
  <c r="G16" i="32"/>
  <c r="G14" i="32"/>
  <c r="A21" i="32"/>
  <c r="A19" i="32"/>
  <c r="A17" i="32"/>
  <c r="A15" i="32"/>
  <c r="A13" i="32"/>
  <c r="A20" i="32"/>
  <c r="A18" i="32"/>
  <c r="A16" i="32"/>
  <c r="A14" i="32"/>
  <c r="L14" i="32" l="1"/>
  <c r="B14" i="32"/>
  <c r="L18" i="32"/>
  <c r="B18" i="32"/>
  <c r="B13" i="32"/>
  <c r="L13" i="32"/>
  <c r="B17" i="32"/>
  <c r="L17" i="32"/>
  <c r="B21" i="32"/>
  <c r="L21" i="32"/>
  <c r="I16" i="32"/>
  <c r="J16" i="32"/>
  <c r="H16" i="32"/>
  <c r="I20" i="32"/>
  <c r="J20" i="32"/>
  <c r="H20" i="32"/>
  <c r="J15" i="32"/>
  <c r="H15" i="32"/>
  <c r="I15" i="32"/>
  <c r="J19" i="32"/>
  <c r="H19" i="32"/>
  <c r="I19" i="32"/>
  <c r="J18" i="44"/>
  <c r="B18" i="44"/>
  <c r="J22" i="44"/>
  <c r="B22" i="44"/>
  <c r="J17" i="44"/>
  <c r="B17" i="44"/>
  <c r="J21" i="44"/>
  <c r="B21" i="44"/>
  <c r="I16" i="44"/>
  <c r="K16" i="44"/>
  <c r="I20" i="44"/>
  <c r="K20" i="44"/>
  <c r="K15" i="44"/>
  <c r="I15" i="44"/>
  <c r="K19" i="44"/>
  <c r="I19" i="44"/>
  <c r="K23" i="44"/>
  <c r="I23" i="44"/>
  <c r="L16" i="32"/>
  <c r="B16" i="32"/>
  <c r="L20" i="32"/>
  <c r="B20" i="32"/>
  <c r="B15" i="32"/>
  <c r="L15" i="32"/>
  <c r="B19" i="32"/>
  <c r="L19" i="32"/>
  <c r="I14" i="32"/>
  <c r="J14" i="32"/>
  <c r="H14" i="32"/>
  <c r="I18" i="32"/>
  <c r="J18" i="32"/>
  <c r="H18" i="32"/>
  <c r="J13" i="32"/>
  <c r="H13" i="32"/>
  <c r="I13" i="32"/>
  <c r="J17" i="32"/>
  <c r="H17" i="32"/>
  <c r="I17" i="32"/>
  <c r="J21" i="32"/>
  <c r="H21" i="32"/>
  <c r="I21" i="32"/>
  <c r="J16" i="44"/>
  <c r="B16" i="44"/>
  <c r="J20" i="44"/>
  <c r="B20" i="44"/>
  <c r="J15" i="44"/>
  <c r="B15" i="44"/>
  <c r="J19" i="44"/>
  <c r="B19" i="44"/>
  <c r="J23" i="44"/>
  <c r="B23" i="44"/>
  <c r="I18" i="44"/>
  <c r="K18" i="44"/>
  <c r="I22" i="44"/>
  <c r="K22" i="44"/>
  <c r="K17" i="44"/>
  <c r="I17" i="44"/>
  <c r="K21" i="44"/>
  <c r="I21" i="44"/>
  <c r="B32" i="62" a="1"/>
  <c r="B32" i="62" s="1"/>
  <c r="CT110" i="37"/>
  <c r="CT109" i="37"/>
  <c r="CT108" i="37"/>
  <c r="CT107" i="37"/>
  <c r="CT106" i="37"/>
  <c r="CT105" i="37"/>
  <c r="CT104" i="37"/>
  <c r="CT103" i="37"/>
  <c r="CT102" i="37"/>
  <c r="CT101" i="37"/>
  <c r="CT100" i="37"/>
  <c r="CT99" i="37"/>
  <c r="CT98" i="37"/>
  <c r="CT97" i="37"/>
  <c r="CT96" i="37"/>
  <c r="CT95" i="37"/>
  <c r="CT94" i="37"/>
  <c r="CT93" i="37"/>
  <c r="CT92" i="37"/>
  <c r="CT91" i="37"/>
  <c r="CT90" i="37"/>
  <c r="CT89" i="37"/>
  <c r="CT88" i="37"/>
  <c r="CT87" i="37"/>
  <c r="CT86" i="37"/>
  <c r="CT85" i="37"/>
  <c r="CT84" i="37"/>
  <c r="CT83" i="37"/>
  <c r="CT82" i="37"/>
  <c r="CT81" i="37"/>
  <c r="CT80" i="37"/>
  <c r="CT79" i="37"/>
  <c r="CT78" i="37"/>
  <c r="CT77" i="37"/>
  <c r="CT76" i="37"/>
  <c r="CT75" i="37"/>
  <c r="CT74" i="37"/>
  <c r="CT73" i="37"/>
  <c r="CT72" i="37"/>
  <c r="CT71" i="37"/>
  <c r="CT70" i="37"/>
  <c r="CT69" i="37"/>
  <c r="CT68" i="37"/>
  <c r="CT67" i="37"/>
  <c r="CT66" i="37"/>
  <c r="CT65" i="37"/>
  <c r="CT64" i="37"/>
  <c r="CT63" i="37"/>
  <c r="CT62" i="37"/>
  <c r="CT61" i="37"/>
  <c r="CT60" i="37"/>
  <c r="CT59" i="37"/>
  <c r="CT58" i="37"/>
  <c r="CT57" i="37"/>
  <c r="CT56" i="37"/>
  <c r="CT55" i="37"/>
  <c r="CT54" i="37"/>
  <c r="CT53" i="37"/>
  <c r="CT52" i="37"/>
  <c r="CT51" i="37"/>
  <c r="CT50" i="37"/>
  <c r="CT49" i="37"/>
  <c r="CT48" i="37"/>
  <c r="CT47" i="37"/>
  <c r="CT46" i="37"/>
  <c r="CT45" i="37"/>
  <c r="CT44" i="37"/>
  <c r="CT43" i="37"/>
  <c r="CT42" i="37"/>
  <c r="CT41" i="37"/>
  <c r="CT40" i="37"/>
  <c r="CT39" i="37"/>
  <c r="CT38" i="37"/>
  <c r="CT37" i="37"/>
  <c r="CT36" i="37"/>
  <c r="CT35" i="37"/>
  <c r="CT34" i="37"/>
  <c r="CT33" i="37"/>
  <c r="CT32" i="37"/>
  <c r="CT31" i="37"/>
  <c r="CT30" i="37"/>
  <c r="CT29" i="37"/>
  <c r="CT28" i="37"/>
  <c r="CT27" i="37"/>
  <c r="CT26" i="37"/>
  <c r="L10" i="37" a="1"/>
  <c r="L10" i="37" s="1"/>
  <c r="S60" i="37" a="1"/>
  <c r="S60" i="37" s="1"/>
  <c r="S59" i="37" a="1"/>
  <c r="S59" i="37" s="1"/>
  <c r="S58" i="37" a="1"/>
  <c r="S58" i="37" s="1"/>
  <c r="S57" i="37" a="1"/>
  <c r="S57" i="37" s="1"/>
  <c r="S56" i="37" a="1"/>
  <c r="S56" i="37" s="1"/>
  <c r="S55" i="37" a="1"/>
  <c r="S55" i="37" s="1"/>
  <c r="S54" i="37" a="1"/>
  <c r="S54" i="37" s="1"/>
  <c r="S53" i="37" a="1"/>
  <c r="S53" i="37" s="1"/>
  <c r="S52" i="37" a="1"/>
  <c r="S52" i="37" s="1"/>
  <c r="S51" i="37" a="1"/>
  <c r="S51" i="37" s="1"/>
  <c r="S50" i="37" a="1"/>
  <c r="S50" i="37" s="1"/>
  <c r="S49" i="37" a="1"/>
  <c r="S49" i="37" s="1"/>
  <c r="S48" i="37" a="1"/>
  <c r="S48" i="37" s="1"/>
  <c r="S47" i="37" a="1"/>
  <c r="S47" i="37" s="1"/>
  <c r="S46" i="37" a="1"/>
  <c r="S46" i="37" s="1"/>
  <c r="S45" i="37" a="1"/>
  <c r="S45" i="37" s="1"/>
  <c r="S44" i="37" a="1"/>
  <c r="S44" i="37" s="1"/>
  <c r="S43" i="37" a="1"/>
  <c r="S43" i="37" s="1"/>
  <c r="S42" i="37" a="1"/>
  <c r="S42" i="37" s="1"/>
  <c r="S41" i="37" a="1"/>
  <c r="S41" i="37" s="1"/>
  <c r="S40" i="37" a="1"/>
  <c r="S40" i="37" s="1"/>
  <c r="S39" i="37" a="1"/>
  <c r="S39" i="37" s="1"/>
  <c r="S38" i="37" a="1"/>
  <c r="S38" i="37" s="1"/>
  <c r="S37" i="37" a="1"/>
  <c r="S37" i="37" s="1"/>
  <c r="S36" i="37" a="1"/>
  <c r="S36" i="37" s="1"/>
  <c r="S35" i="37" a="1"/>
  <c r="S35" i="37" s="1"/>
  <c r="S34" i="37" a="1"/>
  <c r="S34" i="37" s="1"/>
  <c r="S33" i="37" a="1"/>
  <c r="S33" i="37" s="1"/>
  <c r="S32" i="37" a="1"/>
  <c r="S32" i="37" s="1"/>
  <c r="S31" i="37" a="1"/>
  <c r="S31" i="37" s="1"/>
  <c r="S30" i="37" a="1"/>
  <c r="S30" i="37" s="1"/>
  <c r="S29" i="37" a="1"/>
  <c r="S29" i="37" s="1"/>
  <c r="S28" i="37" a="1"/>
  <c r="S28" i="37" s="1"/>
  <c r="S27" i="37" a="1"/>
  <c r="S27" i="37" s="1"/>
  <c r="S26" i="37" a="1"/>
  <c r="S26" i="37" s="1"/>
  <c r="S25" i="37" a="1"/>
  <c r="S25" i="37" s="1"/>
  <c r="S24" i="37" a="1"/>
  <c r="S24" i="37" s="1"/>
  <c r="S23" i="37" a="1"/>
  <c r="S23" i="37" s="1"/>
  <c r="S22" i="37" a="1"/>
  <c r="S22" i="37" s="1"/>
  <c r="S21" i="37" a="1"/>
  <c r="S21" i="37" s="1"/>
  <c r="S20" i="37" a="1"/>
  <c r="S20" i="37" s="1"/>
  <c r="S19" i="37" a="1"/>
  <c r="S19" i="37" s="1"/>
  <c r="S18" i="37" a="1"/>
  <c r="S18" i="37" s="1"/>
  <c r="S17" i="37" a="1"/>
  <c r="S17" i="37" s="1"/>
  <c r="S16" i="37" a="1"/>
  <c r="S16" i="37" s="1"/>
  <c r="S15" i="37" a="1"/>
  <c r="S15" i="37" s="1"/>
  <c r="S14" i="37" a="1"/>
  <c r="S14" i="37" s="1"/>
  <c r="S13" i="37" a="1"/>
  <c r="S13" i="37" s="1"/>
  <c r="S12" i="37" a="1"/>
  <c r="S12" i="37" s="1"/>
  <c r="S11" i="37" a="1"/>
  <c r="S11" i="37" s="1"/>
  <c r="S10" i="37" a="1"/>
  <c r="S10" i="37" s="1"/>
  <c r="D87" i="48"/>
  <c r="D86" i="48"/>
  <c r="G67" i="48" a="1"/>
  <c r="G67" i="48" s="1"/>
  <c r="I67" i="48" s="1"/>
  <c r="A67" i="48" a="1"/>
  <c r="A67" i="48" s="1"/>
  <c r="B67" i="48" s="1"/>
  <c r="H14" i="48" a="1"/>
  <c r="H14" i="48" s="1"/>
  <c r="G14" i="48" a="1"/>
  <c r="G14" i="48" s="1"/>
  <c r="I14" i="48" s="1"/>
  <c r="A14" i="48" a="1"/>
  <c r="A14" i="48" s="1"/>
  <c r="B14" i="48" s="1"/>
  <c r="K66" i="51" a="1"/>
  <c r="K66" i="51" s="1"/>
  <c r="G66" i="51" a="1"/>
  <c r="G66" i="51" s="1"/>
  <c r="J66" i="51" s="1"/>
  <c r="A66" i="51" a="1"/>
  <c r="A66" i="51" s="1"/>
  <c r="L66" i="51" s="1"/>
  <c r="K12" i="51" a="1"/>
  <c r="K12" i="51" s="1"/>
  <c r="G12" i="51" a="1"/>
  <c r="G12" i="51" s="1"/>
  <c r="I12" i="51" s="1"/>
  <c r="A12" i="51" a="1"/>
  <c r="A12" i="51" s="1"/>
  <c r="F3" i="61" a="1"/>
  <c r="F3" i="61" s="1"/>
  <c r="F4" i="61" a="1"/>
  <c r="F4" i="61" s="1"/>
  <c r="F5" i="61" a="1"/>
  <c r="F5" i="61" s="1"/>
  <c r="F6" i="61" a="1"/>
  <c r="F6" i="61" s="1"/>
  <c r="F7" i="61" a="1"/>
  <c r="F7" i="61" s="1"/>
  <c r="F8" i="61" a="1"/>
  <c r="F8" i="61" s="1"/>
  <c r="F9" i="61" a="1"/>
  <c r="F9" i="61" s="1"/>
  <c r="F10" i="61" a="1"/>
  <c r="F10" i="61" s="1"/>
  <c r="F11" i="61" a="1"/>
  <c r="F11" i="61" s="1"/>
  <c r="F12" i="61" a="1"/>
  <c r="F12" i="61" s="1"/>
  <c r="F13" i="61" a="1"/>
  <c r="F13" i="61" s="1"/>
  <c r="F14" i="61" a="1"/>
  <c r="F14" i="61" s="1"/>
  <c r="F15" i="61" a="1"/>
  <c r="F15" i="61" s="1"/>
  <c r="F16" i="61" a="1"/>
  <c r="F16" i="61" s="1"/>
  <c r="F17" i="61" a="1"/>
  <c r="F17" i="61" s="1"/>
  <c r="F18" i="61" a="1"/>
  <c r="F18" i="61" s="1"/>
  <c r="F2" i="61" a="1"/>
  <c r="F2" i="61" s="1"/>
  <c r="F19" i="61" a="1"/>
  <c r="F19" i="61" s="1"/>
  <c r="F20" i="61" a="1"/>
  <c r="F20" i="61" s="1"/>
  <c r="EE10" i="37" a="1"/>
  <c r="EE10" i="37" s="1"/>
  <c r="EG10" i="37" s="1"/>
  <c r="P32" i="37" a="1"/>
  <c r="P32" i="37" s="1"/>
  <c r="H32" i="62" l="1" a="1"/>
  <c r="H32" i="62" s="1"/>
  <c r="B31" i="62" a="1"/>
  <c r="B31" i="62" s="1"/>
  <c r="G32" i="62" a="1"/>
  <c r="G32" i="62" s="1"/>
  <c r="B66" i="51"/>
  <c r="J67" i="48"/>
  <c r="L12" i="51"/>
  <c r="H12" i="51"/>
  <c r="J12" i="51"/>
  <c r="I66" i="51"/>
  <c r="J14" i="48"/>
  <c r="K67" i="48"/>
  <c r="H66" i="51"/>
  <c r="K14" i="48"/>
  <c r="B12" i="51"/>
  <c r="G77" i="48"/>
  <c r="G78" i="48"/>
  <c r="G76" i="48"/>
  <c r="G75" i="48"/>
  <c r="G74" i="48"/>
  <c r="G73" i="48"/>
  <c r="G72" i="48"/>
  <c r="G71" i="48"/>
  <c r="G70" i="48"/>
  <c r="G69" i="48"/>
  <c r="G80" i="48"/>
  <c r="G68" i="48"/>
  <c r="G79" i="48"/>
  <c r="A77" i="48"/>
  <c r="A76" i="48"/>
  <c r="A75" i="48"/>
  <c r="A74" i="48"/>
  <c r="A73" i="48"/>
  <c r="A72" i="48"/>
  <c r="A78" i="48"/>
  <c r="A71" i="48"/>
  <c r="A70" i="48"/>
  <c r="A69" i="48"/>
  <c r="A80" i="48"/>
  <c r="A68" i="48"/>
  <c r="A79" i="48"/>
  <c r="H37" i="48"/>
  <c r="H25" i="48"/>
  <c r="H24" i="48"/>
  <c r="H36" i="48"/>
  <c r="H35" i="48"/>
  <c r="H23" i="48"/>
  <c r="H34" i="48"/>
  <c r="H22" i="48"/>
  <c r="H33" i="48"/>
  <c r="H21" i="48"/>
  <c r="H32" i="48"/>
  <c r="H20" i="48"/>
  <c r="H31" i="48"/>
  <c r="H19" i="48"/>
  <c r="H30" i="48"/>
  <c r="H18" i="48"/>
  <c r="H29" i="48"/>
  <c r="H17" i="48"/>
  <c r="H28" i="48"/>
  <c r="H16" i="48"/>
  <c r="H39" i="48"/>
  <c r="H27" i="48"/>
  <c r="H15" i="48"/>
  <c r="H38" i="48"/>
  <c r="H26" i="48"/>
  <c r="G37" i="48"/>
  <c r="G35" i="48"/>
  <c r="G23" i="48"/>
  <c r="G25" i="48"/>
  <c r="G36" i="48"/>
  <c r="G34" i="48"/>
  <c r="G22" i="48"/>
  <c r="G24" i="48"/>
  <c r="G33" i="48"/>
  <c r="G21" i="48"/>
  <c r="G32" i="48"/>
  <c r="G20" i="48"/>
  <c r="G31" i="48"/>
  <c r="G19" i="48"/>
  <c r="G30" i="48"/>
  <c r="G18" i="48"/>
  <c r="G29" i="48"/>
  <c r="G17" i="48"/>
  <c r="G28" i="48"/>
  <c r="G16" i="48"/>
  <c r="G39" i="48"/>
  <c r="G27" i="48"/>
  <c r="G15" i="48"/>
  <c r="G38" i="48"/>
  <c r="G26" i="48"/>
  <c r="A36" i="48"/>
  <c r="A24" i="48"/>
  <c r="A35" i="48"/>
  <c r="A23" i="48"/>
  <c r="A34" i="48"/>
  <c r="A22" i="48"/>
  <c r="A25" i="48"/>
  <c r="A33" i="48"/>
  <c r="A21" i="48"/>
  <c r="A32" i="48"/>
  <c r="A20" i="48"/>
  <c r="A31" i="48"/>
  <c r="A19" i="48"/>
  <c r="A37" i="48"/>
  <c r="A30" i="48"/>
  <c r="A18" i="48"/>
  <c r="A29" i="48"/>
  <c r="A17" i="48"/>
  <c r="A28" i="48"/>
  <c r="A16" i="48"/>
  <c r="A39" i="48"/>
  <c r="A27" i="48"/>
  <c r="A15" i="48"/>
  <c r="A38" i="48"/>
  <c r="A26" i="48"/>
  <c r="K77" i="51"/>
  <c r="K72" i="51"/>
  <c r="K75" i="51"/>
  <c r="K74" i="51"/>
  <c r="K71" i="51"/>
  <c r="K68" i="51"/>
  <c r="K70" i="51"/>
  <c r="K67" i="51"/>
  <c r="K76" i="51"/>
  <c r="K73" i="51"/>
  <c r="K69" i="51"/>
  <c r="K79" i="51"/>
  <c r="K78" i="51"/>
  <c r="G77" i="51"/>
  <c r="G76" i="51"/>
  <c r="G71" i="51"/>
  <c r="G74" i="51"/>
  <c r="G75" i="51"/>
  <c r="G72" i="51"/>
  <c r="G67" i="51"/>
  <c r="G73" i="51"/>
  <c r="G70" i="51"/>
  <c r="G69" i="51"/>
  <c r="G68" i="51"/>
  <c r="G79" i="51"/>
  <c r="G78" i="51"/>
  <c r="A73" i="51"/>
  <c r="A72" i="51"/>
  <c r="A76" i="51"/>
  <c r="A74" i="51"/>
  <c r="A70" i="51"/>
  <c r="A67" i="51"/>
  <c r="A77" i="51"/>
  <c r="A75" i="51"/>
  <c r="A71" i="51"/>
  <c r="A69" i="51"/>
  <c r="A68" i="51"/>
  <c r="A79" i="51"/>
  <c r="A78" i="51"/>
  <c r="K23" i="51"/>
  <c r="K35" i="51"/>
  <c r="K21" i="51"/>
  <c r="K18" i="51"/>
  <c r="K33" i="51"/>
  <c r="K31" i="51"/>
  <c r="K26" i="51"/>
  <c r="K34" i="51"/>
  <c r="K32" i="51"/>
  <c r="K19" i="51"/>
  <c r="K13" i="51"/>
  <c r="K22" i="51"/>
  <c r="K20" i="51"/>
  <c r="K30" i="51"/>
  <c r="K29" i="51"/>
  <c r="K17" i="51"/>
  <c r="K28" i="51"/>
  <c r="K16" i="51"/>
  <c r="K27" i="51"/>
  <c r="K15" i="51"/>
  <c r="K14" i="51"/>
  <c r="K37" i="51"/>
  <c r="K25" i="51"/>
  <c r="K36" i="51"/>
  <c r="K24" i="51"/>
  <c r="G22" i="51"/>
  <c r="G23" i="51"/>
  <c r="G21" i="51"/>
  <c r="G20" i="51"/>
  <c r="G29" i="51"/>
  <c r="G33" i="51"/>
  <c r="G19" i="51"/>
  <c r="G18" i="51"/>
  <c r="G26" i="51"/>
  <c r="G35" i="51"/>
  <c r="G32" i="51"/>
  <c r="G30" i="51"/>
  <c r="G13" i="51"/>
  <c r="G34" i="51"/>
  <c r="G31" i="51"/>
  <c r="G17" i="51"/>
  <c r="G28" i="51"/>
  <c r="G16" i="51"/>
  <c r="G27" i="51"/>
  <c r="G15" i="51"/>
  <c r="G14" i="51"/>
  <c r="G37" i="51"/>
  <c r="G25" i="51"/>
  <c r="G36" i="51"/>
  <c r="G24" i="51"/>
  <c r="A35" i="51"/>
  <c r="A22" i="51"/>
  <c r="A21" i="51"/>
  <c r="A30" i="51"/>
  <c r="A23" i="51"/>
  <c r="A19" i="51"/>
  <c r="A34" i="51"/>
  <c r="A33" i="51"/>
  <c r="A20" i="51"/>
  <c r="A18" i="51"/>
  <c r="A13" i="51"/>
  <c r="A32" i="51"/>
  <c r="A31" i="51"/>
  <c r="A29" i="51"/>
  <c r="A17" i="51"/>
  <c r="A28" i="51"/>
  <c r="A16" i="51"/>
  <c r="A27" i="51"/>
  <c r="A15" i="51"/>
  <c r="A26" i="51"/>
  <c r="A14" i="51"/>
  <c r="A37" i="51"/>
  <c r="A25" i="51"/>
  <c r="A36" i="51"/>
  <c r="A24" i="51"/>
  <c r="CR104" i="37"/>
  <c r="CR105" i="37"/>
  <c r="CR106" i="37"/>
  <c r="CR107" i="37"/>
  <c r="CR108" i="37"/>
  <c r="CR109" i="37"/>
  <c r="CR110" i="37"/>
  <c r="CR103" i="37"/>
  <c r="CR102" i="37"/>
  <c r="CR101" i="37"/>
  <c r="CR100" i="37"/>
  <c r="CR99" i="37"/>
  <c r="CR98" i="37"/>
  <c r="CR97" i="37"/>
  <c r="CR96" i="37"/>
  <c r="CR95" i="37"/>
  <c r="CR94" i="37"/>
  <c r="CR93" i="37"/>
  <c r="CR92" i="37"/>
  <c r="CR91" i="37"/>
  <c r="CR90" i="37"/>
  <c r="CR89" i="37"/>
  <c r="CR88" i="37"/>
  <c r="CR87" i="37"/>
  <c r="CR86" i="37"/>
  <c r="CR85" i="37"/>
  <c r="CR84" i="37"/>
  <c r="CR83" i="37"/>
  <c r="CR82" i="37"/>
  <c r="CR81" i="37"/>
  <c r="CR80" i="37"/>
  <c r="CR79" i="37"/>
  <c r="CR78" i="37"/>
  <c r="P12" i="37" a="1"/>
  <c r="P12" i="37" s="1"/>
  <c r="P13" i="37" a="1"/>
  <c r="P13" i="37" s="1"/>
  <c r="P14" i="37" a="1"/>
  <c r="P14" i="37" s="1"/>
  <c r="P15" i="37" a="1"/>
  <c r="P15" i="37" s="1"/>
  <c r="P16" i="37" a="1"/>
  <c r="P16" i="37" s="1"/>
  <c r="P17" i="37" a="1"/>
  <c r="P17" i="37" s="1"/>
  <c r="P18" i="37" a="1"/>
  <c r="P18" i="37" s="1"/>
  <c r="P19" i="37" a="1"/>
  <c r="P19" i="37" s="1"/>
  <c r="P20" i="37" a="1"/>
  <c r="P20" i="37" s="1"/>
  <c r="P21" i="37" a="1"/>
  <c r="P21" i="37" s="1"/>
  <c r="P22" i="37" a="1"/>
  <c r="P22" i="37" s="1"/>
  <c r="P23" i="37" a="1"/>
  <c r="P23" i="37" s="1"/>
  <c r="P24" i="37" a="1"/>
  <c r="P24" i="37" s="1"/>
  <c r="P25" i="37" a="1"/>
  <c r="P25" i="37" s="1"/>
  <c r="P26" i="37" a="1"/>
  <c r="P26" i="37" s="1"/>
  <c r="P27" i="37" a="1"/>
  <c r="P27" i="37" s="1"/>
  <c r="P28" i="37" a="1"/>
  <c r="P28" i="37" s="1"/>
  <c r="P29" i="37" a="1"/>
  <c r="P29" i="37" s="1"/>
  <c r="P30" i="37" a="1"/>
  <c r="P30" i="37" s="1"/>
  <c r="P31" i="37" a="1"/>
  <c r="P31" i="37" s="1"/>
  <c r="P33" i="37" a="1"/>
  <c r="P33" i="37" s="1"/>
  <c r="P34" i="37" a="1"/>
  <c r="P34" i="37" s="1"/>
  <c r="P35" i="37" a="1"/>
  <c r="P35" i="37" s="1"/>
  <c r="P36" i="37" a="1"/>
  <c r="P36" i="37" s="1"/>
  <c r="P37" i="37" a="1"/>
  <c r="P37" i="37" s="1"/>
  <c r="P38" i="37" a="1"/>
  <c r="P38" i="37" s="1"/>
  <c r="P39" i="37" a="1"/>
  <c r="P39" i="37" s="1"/>
  <c r="P40" i="37" a="1"/>
  <c r="P40" i="37" s="1"/>
  <c r="P41" i="37" a="1"/>
  <c r="P41" i="37" s="1"/>
  <c r="P42" i="37" a="1"/>
  <c r="P42" i="37" s="1"/>
  <c r="P43" i="37" a="1"/>
  <c r="P43" i="37" s="1"/>
  <c r="P44" i="37" a="1"/>
  <c r="P44" i="37" s="1"/>
  <c r="P45" i="37" a="1"/>
  <c r="P45" i="37" s="1"/>
  <c r="P46" i="37" a="1"/>
  <c r="P46" i="37" s="1"/>
  <c r="P47" i="37" a="1"/>
  <c r="P47" i="37" s="1"/>
  <c r="P48" i="37" a="1"/>
  <c r="P48" i="37" s="1"/>
  <c r="P49" i="37" a="1"/>
  <c r="P49" i="37" s="1"/>
  <c r="P50" i="37" a="1"/>
  <c r="P50" i="37" s="1"/>
  <c r="P51" i="37" a="1"/>
  <c r="P51" i="37" s="1"/>
  <c r="P52" i="37" a="1"/>
  <c r="P52" i="37" s="1"/>
  <c r="P53" i="37" a="1"/>
  <c r="P53" i="37" s="1"/>
  <c r="P54" i="37" a="1"/>
  <c r="P54" i="37" s="1"/>
  <c r="P55" i="37" a="1"/>
  <c r="P55" i="37" s="1"/>
  <c r="P56" i="37" a="1"/>
  <c r="P56" i="37" s="1"/>
  <c r="P57" i="37" a="1"/>
  <c r="P57" i="37" s="1"/>
  <c r="P58" i="37" a="1"/>
  <c r="P58" i="37" s="1"/>
  <c r="P59" i="37" a="1"/>
  <c r="P59" i="37" s="1"/>
  <c r="P60" i="37" a="1"/>
  <c r="P60" i="37" s="1"/>
  <c r="F8" i="63"/>
  <c r="F7" i="63"/>
  <c r="F5" i="63"/>
  <c r="F4" i="63"/>
  <c r="F3" i="63"/>
  <c r="F2" i="63"/>
  <c r="B21" i="51" l="1"/>
  <c r="L21" i="51"/>
  <c r="J17" i="51"/>
  <c r="I17" i="51"/>
  <c r="H17" i="51"/>
  <c r="I20" i="51"/>
  <c r="J20" i="51"/>
  <c r="H20" i="51"/>
  <c r="B67" i="51"/>
  <c r="L67" i="51"/>
  <c r="J67" i="51"/>
  <c r="I67" i="51"/>
  <c r="H67" i="51"/>
  <c r="B39" i="48"/>
  <c r="J39" i="48"/>
  <c r="I27" i="48"/>
  <c r="K27" i="48"/>
  <c r="K21" i="48"/>
  <c r="I21" i="48"/>
  <c r="I79" i="48"/>
  <c r="K79" i="48"/>
  <c r="K77" i="48"/>
  <c r="I77" i="48"/>
  <c r="L29" i="51"/>
  <c r="B29" i="51"/>
  <c r="B22" i="51"/>
  <c r="L22" i="51"/>
  <c r="H31" i="51"/>
  <c r="I31" i="51"/>
  <c r="J31" i="51"/>
  <c r="J21" i="51"/>
  <c r="I21" i="51"/>
  <c r="H21" i="51"/>
  <c r="L70" i="51"/>
  <c r="B70" i="51"/>
  <c r="J72" i="51"/>
  <c r="I72" i="51"/>
  <c r="H72" i="51"/>
  <c r="B16" i="48"/>
  <c r="J16" i="48"/>
  <c r="J33" i="48"/>
  <c r="B33" i="48"/>
  <c r="I39" i="48"/>
  <c r="K39" i="48"/>
  <c r="K33" i="48"/>
  <c r="I33" i="48"/>
  <c r="J80" i="48"/>
  <c r="B80" i="48"/>
  <c r="I68" i="48"/>
  <c r="K68" i="48"/>
  <c r="B36" i="51"/>
  <c r="L36" i="51"/>
  <c r="L32" i="51"/>
  <c r="B32" i="51"/>
  <c r="I24" i="51"/>
  <c r="J24" i="51"/>
  <c r="H24" i="51"/>
  <c r="J22" i="51"/>
  <c r="I22" i="51"/>
  <c r="H22" i="51"/>
  <c r="B76" i="51"/>
  <c r="L76" i="51"/>
  <c r="J74" i="51"/>
  <c r="H74" i="51"/>
  <c r="I74" i="51"/>
  <c r="J17" i="48"/>
  <c r="B17" i="48"/>
  <c r="J22" i="48"/>
  <c r="B22" i="48"/>
  <c r="I28" i="48"/>
  <c r="K28" i="48"/>
  <c r="K22" i="48"/>
  <c r="I22" i="48"/>
  <c r="J70" i="48"/>
  <c r="B70" i="48"/>
  <c r="J13" i="51"/>
  <c r="I13" i="51"/>
  <c r="H13" i="51"/>
  <c r="I69" i="48"/>
  <c r="K69" i="48"/>
  <c r="B25" i="51"/>
  <c r="L25" i="51"/>
  <c r="L13" i="51"/>
  <c r="B13" i="51"/>
  <c r="I36" i="51"/>
  <c r="J36" i="51"/>
  <c r="H36" i="51"/>
  <c r="J30" i="51"/>
  <c r="I30" i="51"/>
  <c r="H30" i="51"/>
  <c r="L72" i="51"/>
  <c r="B72" i="51"/>
  <c r="J71" i="51"/>
  <c r="I71" i="51"/>
  <c r="H71" i="51"/>
  <c r="J29" i="48"/>
  <c r="B29" i="48"/>
  <c r="J34" i="48"/>
  <c r="B34" i="48"/>
  <c r="I17" i="48"/>
  <c r="K17" i="48"/>
  <c r="K34" i="48"/>
  <c r="I34" i="48"/>
  <c r="J71" i="48"/>
  <c r="B71" i="48"/>
  <c r="K70" i="48"/>
  <c r="I70" i="48"/>
  <c r="L17" i="51"/>
  <c r="B17" i="51"/>
  <c r="J35" i="48"/>
  <c r="B35" i="48"/>
  <c r="K25" i="48"/>
  <c r="I25" i="48"/>
  <c r="J72" i="48"/>
  <c r="B72" i="48"/>
  <c r="L20" i="51"/>
  <c r="B20" i="51"/>
  <c r="I35" i="51"/>
  <c r="H35" i="51"/>
  <c r="J35" i="51"/>
  <c r="B79" i="51"/>
  <c r="L79" i="51"/>
  <c r="J78" i="51"/>
  <c r="H78" i="51"/>
  <c r="I78" i="51"/>
  <c r="H77" i="51"/>
  <c r="J77" i="51"/>
  <c r="I77" i="51"/>
  <c r="J30" i="48"/>
  <c r="B30" i="48"/>
  <c r="I18" i="48"/>
  <c r="K18" i="48"/>
  <c r="K72" i="48"/>
  <c r="I72" i="48"/>
  <c r="I30" i="48"/>
  <c r="K30" i="48"/>
  <c r="J36" i="48"/>
  <c r="B36" i="48"/>
  <c r="I74" i="48"/>
  <c r="K74" i="48"/>
  <c r="L18" i="51"/>
  <c r="B18" i="51"/>
  <c r="I32" i="51"/>
  <c r="H32" i="51"/>
  <c r="J32" i="51"/>
  <c r="B78" i="51"/>
  <c r="L78" i="51"/>
  <c r="L73" i="51"/>
  <c r="B73" i="51"/>
  <c r="L26" i="51"/>
  <c r="B26" i="51"/>
  <c r="B33" i="51"/>
  <c r="L33" i="51"/>
  <c r="J14" i="51"/>
  <c r="I14" i="51"/>
  <c r="H14" i="51"/>
  <c r="J26" i="51"/>
  <c r="I26" i="51"/>
  <c r="H26" i="51"/>
  <c r="L68" i="51"/>
  <c r="B68" i="51"/>
  <c r="J79" i="51"/>
  <c r="I79" i="51"/>
  <c r="H79" i="51"/>
  <c r="J37" i="48"/>
  <c r="B37" i="48"/>
  <c r="J24" i="48"/>
  <c r="B24" i="48"/>
  <c r="K23" i="48"/>
  <c r="I23" i="48"/>
  <c r="J73" i="48"/>
  <c r="B73" i="48"/>
  <c r="I73" i="48"/>
  <c r="K73" i="48"/>
  <c r="L15" i="51"/>
  <c r="B15" i="51"/>
  <c r="B34" i="51"/>
  <c r="L34" i="51"/>
  <c r="H15" i="51"/>
  <c r="I15" i="51"/>
  <c r="J15" i="51"/>
  <c r="J18" i="51"/>
  <c r="I18" i="51"/>
  <c r="H18" i="51"/>
  <c r="L69" i="51"/>
  <c r="B69" i="51"/>
  <c r="J68" i="51"/>
  <c r="I68" i="51"/>
  <c r="H68" i="51"/>
  <c r="B26" i="48"/>
  <c r="J26" i="48"/>
  <c r="J19" i="48"/>
  <c r="B19" i="48"/>
  <c r="K19" i="48"/>
  <c r="I19" i="48"/>
  <c r="K35" i="48"/>
  <c r="I35" i="48"/>
  <c r="J74" i="48"/>
  <c r="B74" i="48"/>
  <c r="L27" i="51"/>
  <c r="B27" i="51"/>
  <c r="L19" i="51"/>
  <c r="B19" i="51"/>
  <c r="I27" i="51"/>
  <c r="H27" i="51"/>
  <c r="J27" i="51"/>
  <c r="I19" i="51"/>
  <c r="H19" i="51"/>
  <c r="J19" i="51"/>
  <c r="L71" i="51"/>
  <c r="B71" i="51"/>
  <c r="H69" i="51"/>
  <c r="J69" i="51"/>
  <c r="I69" i="51"/>
  <c r="B38" i="48"/>
  <c r="J38" i="48"/>
  <c r="J31" i="48"/>
  <c r="B31" i="48"/>
  <c r="I26" i="48"/>
  <c r="K26" i="48"/>
  <c r="K31" i="48"/>
  <c r="I31" i="48"/>
  <c r="K37" i="48"/>
  <c r="I37" i="48"/>
  <c r="J75" i="48"/>
  <c r="B75" i="48"/>
  <c r="I75" i="48"/>
  <c r="K75" i="48"/>
  <c r="J21" i="48"/>
  <c r="B21" i="48"/>
  <c r="L37" i="51"/>
  <c r="B37" i="51"/>
  <c r="J76" i="51"/>
  <c r="I76" i="51"/>
  <c r="H76" i="51"/>
  <c r="J18" i="48"/>
  <c r="B18" i="48"/>
  <c r="J23" i="48"/>
  <c r="B23" i="48"/>
  <c r="I29" i="48"/>
  <c r="K29" i="48"/>
  <c r="K36" i="48"/>
  <c r="I36" i="48"/>
  <c r="K71" i="48"/>
  <c r="I71" i="48"/>
  <c r="L14" i="51"/>
  <c r="B14" i="51"/>
  <c r="L16" i="51"/>
  <c r="B16" i="51"/>
  <c r="L23" i="51"/>
  <c r="B23" i="51"/>
  <c r="I16" i="51"/>
  <c r="J16" i="51"/>
  <c r="H16" i="51"/>
  <c r="J33" i="51"/>
  <c r="I33" i="51"/>
  <c r="H33" i="51"/>
  <c r="L75" i="51"/>
  <c r="B75" i="51"/>
  <c r="J70" i="51"/>
  <c r="H70" i="51"/>
  <c r="I70" i="51"/>
  <c r="B15" i="48"/>
  <c r="J15" i="48"/>
  <c r="J20" i="48"/>
  <c r="B20" i="48"/>
  <c r="I38" i="48"/>
  <c r="K38" i="48"/>
  <c r="I20" i="48"/>
  <c r="K20" i="48"/>
  <c r="J76" i="48"/>
  <c r="B76" i="48"/>
  <c r="K76" i="48"/>
  <c r="I76" i="48"/>
  <c r="J68" i="48"/>
  <c r="B68" i="48"/>
  <c r="J25" i="51"/>
  <c r="I25" i="51"/>
  <c r="H25" i="51"/>
  <c r="B78" i="48"/>
  <c r="J78" i="48"/>
  <c r="J37" i="51"/>
  <c r="I37" i="51"/>
  <c r="H37" i="51"/>
  <c r="L28" i="51"/>
  <c r="B28" i="51"/>
  <c r="L30" i="51"/>
  <c r="B30" i="51"/>
  <c r="I28" i="51"/>
  <c r="J28" i="51"/>
  <c r="H28" i="51"/>
  <c r="J29" i="51"/>
  <c r="I29" i="51"/>
  <c r="H29" i="51"/>
  <c r="B77" i="51"/>
  <c r="L77" i="51"/>
  <c r="H73" i="51"/>
  <c r="J73" i="51"/>
  <c r="I73" i="51"/>
  <c r="B27" i="48"/>
  <c r="J27" i="48"/>
  <c r="J32" i="48"/>
  <c r="B32" i="48"/>
  <c r="I15" i="48"/>
  <c r="K15" i="48"/>
  <c r="I32" i="48"/>
  <c r="K32" i="48"/>
  <c r="B79" i="48"/>
  <c r="J79" i="48"/>
  <c r="B77" i="48"/>
  <c r="J77" i="48"/>
  <c r="K78" i="48"/>
  <c r="I78" i="48"/>
  <c r="B24" i="51"/>
  <c r="L24" i="51"/>
  <c r="L31" i="51"/>
  <c r="B31" i="51"/>
  <c r="L35" i="51"/>
  <c r="B35" i="51"/>
  <c r="J34" i="51"/>
  <c r="I34" i="51"/>
  <c r="H34" i="51"/>
  <c r="H23" i="51"/>
  <c r="I23" i="51"/>
  <c r="J23" i="51"/>
  <c r="L74" i="51"/>
  <c r="B74" i="51"/>
  <c r="J75" i="51"/>
  <c r="I75" i="51"/>
  <c r="H75" i="51"/>
  <c r="B28" i="48"/>
  <c r="J28" i="48"/>
  <c r="J25" i="48"/>
  <c r="B25" i="48"/>
  <c r="I16" i="48"/>
  <c r="K16" i="48"/>
  <c r="K24" i="48"/>
  <c r="I24" i="48"/>
  <c r="J69" i="48"/>
  <c r="B69" i="48"/>
  <c r="I80" i="48"/>
  <c r="K80" i="48"/>
  <c r="D52" i="45"/>
  <c r="D51" i="45"/>
  <c r="H31" i="45" a="1"/>
  <c r="H31" i="45" s="1"/>
  <c r="G31" i="45" a="1"/>
  <c r="G31" i="45" s="1"/>
  <c r="I31" i="45" s="1"/>
  <c r="A31" i="45" a="1"/>
  <c r="A31" i="45" s="1"/>
  <c r="J31" i="45" s="1"/>
  <c r="H14" i="45" a="1"/>
  <c r="H14" i="45" s="1"/>
  <c r="G14" i="45" a="1"/>
  <c r="G14" i="45" s="1"/>
  <c r="I14" i="45" s="1"/>
  <c r="A14" i="45" a="1"/>
  <c r="A14" i="45" s="1"/>
  <c r="J14" i="45" s="1"/>
  <c r="K31" i="45" l="1"/>
  <c r="B31" i="45"/>
  <c r="B14" i="45"/>
  <c r="K14" i="45"/>
  <c r="H41" i="45"/>
  <c r="H40" i="45"/>
  <c r="H39" i="45"/>
  <c r="H38" i="45"/>
  <c r="H37" i="45"/>
  <c r="H33" i="45"/>
  <c r="H42" i="45"/>
  <c r="H36" i="45"/>
  <c r="H32" i="45"/>
  <c r="H35" i="45"/>
  <c r="H46" i="45"/>
  <c r="H34" i="45"/>
  <c r="H45" i="45"/>
  <c r="H44" i="45"/>
  <c r="H43" i="45"/>
  <c r="G41" i="45"/>
  <c r="G40" i="45"/>
  <c r="G42" i="45"/>
  <c r="G39" i="45"/>
  <c r="G37" i="45"/>
  <c r="G33" i="45"/>
  <c r="G38" i="45"/>
  <c r="G32" i="45"/>
  <c r="G36" i="45"/>
  <c r="G35" i="45"/>
  <c r="G46" i="45"/>
  <c r="G34" i="45"/>
  <c r="G45" i="45"/>
  <c r="G44" i="45"/>
  <c r="G43" i="45"/>
  <c r="A39" i="45"/>
  <c r="A42" i="45"/>
  <c r="A37" i="45"/>
  <c r="A34" i="45"/>
  <c r="A40" i="45"/>
  <c r="A38" i="45"/>
  <c r="A35" i="45"/>
  <c r="A45" i="45"/>
  <c r="A33" i="45"/>
  <c r="A41" i="45"/>
  <c r="A36" i="45"/>
  <c r="A46" i="45"/>
  <c r="A32" i="45"/>
  <c r="A44" i="45"/>
  <c r="A43" i="45"/>
  <c r="H23" i="45"/>
  <c r="H22" i="45"/>
  <c r="H21" i="45"/>
  <c r="H16" i="45"/>
  <c r="H25" i="45"/>
  <c r="H24" i="45"/>
  <c r="H20" i="45"/>
  <c r="H19" i="45"/>
  <c r="H18" i="45"/>
  <c r="H27" i="45"/>
  <c r="H15" i="45"/>
  <c r="H17" i="45"/>
  <c r="H28" i="45"/>
  <c r="H26" i="45"/>
  <c r="G25" i="45"/>
  <c r="G23" i="45"/>
  <c r="G22" i="45"/>
  <c r="G21" i="45"/>
  <c r="G16" i="45"/>
  <c r="G24" i="45"/>
  <c r="G20" i="45"/>
  <c r="G19" i="45"/>
  <c r="G18" i="45"/>
  <c r="G27" i="45"/>
  <c r="G15" i="45"/>
  <c r="G17" i="45"/>
  <c r="G28" i="45"/>
  <c r="G26" i="45"/>
  <c r="A23" i="45"/>
  <c r="A22" i="45"/>
  <c r="A16" i="45"/>
  <c r="A24" i="45"/>
  <c r="A20" i="45"/>
  <c r="A19" i="45"/>
  <c r="A18" i="45"/>
  <c r="A27" i="45"/>
  <c r="A15" i="45"/>
  <c r="A25" i="45"/>
  <c r="A21" i="45"/>
  <c r="A17" i="45"/>
  <c r="A28" i="45"/>
  <c r="A26" i="45"/>
  <c r="B17" i="45" l="1"/>
  <c r="J17" i="45"/>
  <c r="I26" i="45"/>
  <c r="K26" i="45"/>
  <c r="K23" i="45"/>
  <c r="I23" i="45"/>
  <c r="J35" i="45"/>
  <c r="B35" i="45"/>
  <c r="K35" i="45"/>
  <c r="I35" i="45"/>
  <c r="B28" i="45"/>
  <c r="J28" i="45"/>
  <c r="J23" i="45"/>
  <c r="B23" i="45"/>
  <c r="I22" i="45"/>
  <c r="K22" i="45"/>
  <c r="J45" i="45"/>
  <c r="B45" i="45"/>
  <c r="K46" i="45"/>
  <c r="I46" i="45"/>
  <c r="J25" i="45"/>
  <c r="B25" i="45"/>
  <c r="K17" i="45"/>
  <c r="I17" i="45"/>
  <c r="B40" i="45"/>
  <c r="J40" i="45"/>
  <c r="I32" i="45"/>
  <c r="K32" i="45"/>
  <c r="B15" i="45"/>
  <c r="J15" i="45"/>
  <c r="I15" i="45"/>
  <c r="K15" i="45"/>
  <c r="J34" i="45"/>
  <c r="B34" i="45"/>
  <c r="I38" i="45"/>
  <c r="K38" i="45"/>
  <c r="J21" i="45"/>
  <c r="B21" i="45"/>
  <c r="I28" i="45"/>
  <c r="K28" i="45"/>
  <c r="K25" i="45"/>
  <c r="I25" i="45"/>
  <c r="B38" i="45"/>
  <c r="J38" i="45"/>
  <c r="K36" i="45"/>
  <c r="I36" i="45"/>
  <c r="B18" i="45"/>
  <c r="J18" i="45"/>
  <c r="K18" i="45"/>
  <c r="I18" i="45"/>
  <c r="J44" i="45"/>
  <c r="B44" i="45"/>
  <c r="J42" i="45"/>
  <c r="B42" i="45"/>
  <c r="I37" i="45"/>
  <c r="K37" i="45"/>
  <c r="B19" i="45"/>
  <c r="J19" i="45"/>
  <c r="K19" i="45"/>
  <c r="I19" i="45"/>
  <c r="J32" i="45"/>
  <c r="B32" i="45"/>
  <c r="B39" i="45"/>
  <c r="J39" i="45"/>
  <c r="I39" i="45"/>
  <c r="K39" i="45"/>
  <c r="J20" i="45"/>
  <c r="B20" i="45"/>
  <c r="I20" i="45"/>
  <c r="K20" i="45"/>
  <c r="I43" i="45"/>
  <c r="K43" i="45"/>
  <c r="K42" i="45"/>
  <c r="I42" i="45"/>
  <c r="B27" i="45"/>
  <c r="J27" i="45"/>
  <c r="I27" i="45"/>
  <c r="K27" i="45"/>
  <c r="J43" i="45"/>
  <c r="B43" i="45"/>
  <c r="B37" i="45"/>
  <c r="J37" i="45"/>
  <c r="I33" i="45"/>
  <c r="K33" i="45"/>
  <c r="J46" i="45"/>
  <c r="B46" i="45"/>
  <c r="J24" i="45"/>
  <c r="B24" i="45"/>
  <c r="K24" i="45"/>
  <c r="I24" i="45"/>
  <c r="B36" i="45"/>
  <c r="J36" i="45"/>
  <c r="I44" i="45"/>
  <c r="K44" i="45"/>
  <c r="K40" i="45"/>
  <c r="I40" i="45"/>
  <c r="I16" i="45"/>
  <c r="K16" i="45"/>
  <c r="B41" i="45"/>
  <c r="J41" i="45"/>
  <c r="I45" i="45"/>
  <c r="K45" i="45"/>
  <c r="K41" i="45"/>
  <c r="I41" i="45"/>
  <c r="B16" i="45"/>
  <c r="J16" i="45"/>
  <c r="J26" i="45"/>
  <c r="B26" i="45"/>
  <c r="J22" i="45"/>
  <c r="B22" i="45"/>
  <c r="I21" i="45"/>
  <c r="K21" i="45"/>
  <c r="J33" i="45"/>
  <c r="B33" i="45"/>
  <c r="K34" i="45"/>
  <c r="I34" i="45"/>
  <c r="G55" i="62" l="1"/>
  <c r="CO22" i="37" l="1"/>
  <c r="I55" i="62" l="1"/>
  <c r="CA110" i="37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63" i="37"/>
  <c r="CA62" i="37"/>
  <c r="CA61" i="37"/>
  <c r="CA60" i="37"/>
  <c r="CA59" i="37"/>
  <c r="CA58" i="37"/>
  <c r="CA57" i="37"/>
  <c r="CA56" i="37"/>
  <c r="CA55" i="37"/>
  <c r="CA54" i="37"/>
  <c r="CA53" i="37"/>
  <c r="CA52" i="37"/>
  <c r="CA51" i="37"/>
  <c r="CA50" i="37"/>
  <c r="CA49" i="37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3" i="37"/>
  <c r="CA34" i="37"/>
  <c r="CA35" i="37"/>
  <c r="CA17" i="37"/>
  <c r="CA16" i="37"/>
  <c r="CA18" i="37"/>
  <c r="CA15" i="37"/>
  <c r="CA14" i="37"/>
  <c r="CA13" i="37"/>
  <c r="CA12" i="37"/>
  <c r="CA11" i="37"/>
  <c r="CA30" i="37"/>
  <c r="CA29" i="37"/>
  <c r="CA28" i="37"/>
  <c r="CA27" i="37"/>
  <c r="CA26" i="37"/>
  <c r="CA25" i="37"/>
  <c r="CA23" i="37"/>
  <c r="CA24" i="37"/>
  <c r="CA22" i="37"/>
  <c r="CA10" i="37"/>
  <c r="CA21" i="37"/>
  <c r="CA20" i="37"/>
  <c r="CA19" i="37"/>
  <c r="CA32" i="37"/>
  <c r="CA31" i="37"/>
  <c r="CQ110" i="37"/>
  <c r="CQ109" i="37"/>
  <c r="CQ108" i="37"/>
  <c r="CQ107" i="37"/>
  <c r="CQ106" i="37"/>
  <c r="CQ105" i="37"/>
  <c r="CQ104" i="37"/>
  <c r="CQ103" i="37"/>
  <c r="CQ102" i="37"/>
  <c r="CQ101" i="37"/>
  <c r="CQ100" i="37"/>
  <c r="CQ99" i="37"/>
  <c r="CQ98" i="37"/>
  <c r="CQ97" i="37"/>
  <c r="CQ96" i="37"/>
  <c r="CQ95" i="37"/>
  <c r="CQ94" i="37"/>
  <c r="CQ93" i="37"/>
  <c r="CQ92" i="37"/>
  <c r="CQ91" i="37"/>
  <c r="CQ90" i="37"/>
  <c r="CQ89" i="37"/>
  <c r="CQ88" i="37"/>
  <c r="CQ87" i="37"/>
  <c r="CQ86" i="37"/>
  <c r="CQ85" i="37"/>
  <c r="CQ84" i="37"/>
  <c r="CQ83" i="37"/>
  <c r="CQ82" i="37"/>
  <c r="CQ81" i="37"/>
  <c r="CQ80" i="37"/>
  <c r="CQ79" i="37"/>
  <c r="CQ78" i="37"/>
  <c r="CO110" i="37"/>
  <c r="CO109" i="37"/>
  <c r="CO108" i="37"/>
  <c r="CO107" i="37"/>
  <c r="CO106" i="37"/>
  <c r="CO105" i="37"/>
  <c r="CO104" i="37"/>
  <c r="CO103" i="37"/>
  <c r="CO102" i="37"/>
  <c r="CO101" i="37"/>
  <c r="CO100" i="37"/>
  <c r="CO99" i="37"/>
  <c r="CO98" i="37"/>
  <c r="CO97" i="37"/>
  <c r="CO96" i="37"/>
  <c r="CO95" i="37"/>
  <c r="CO94" i="37"/>
  <c r="CO93" i="37"/>
  <c r="CO92" i="37"/>
  <c r="CO91" i="37"/>
  <c r="CO90" i="37"/>
  <c r="CO89" i="37"/>
  <c r="CO88" i="37"/>
  <c r="CO87" i="37"/>
  <c r="CO86" i="37"/>
  <c r="CO85" i="37"/>
  <c r="CO84" i="37"/>
  <c r="CO83" i="37"/>
  <c r="CO82" i="37"/>
  <c r="CO81" i="37"/>
  <c r="CO80" i="37"/>
  <c r="CO79" i="37"/>
  <c r="CO78" i="37"/>
  <c r="CO77" i="37"/>
  <c r="CO76" i="37"/>
  <c r="CO75" i="37"/>
  <c r="CO74" i="37"/>
  <c r="CO73" i="37"/>
  <c r="CO72" i="37"/>
  <c r="CO71" i="37"/>
  <c r="CO70" i="37"/>
  <c r="CO69" i="37"/>
  <c r="CO68" i="37"/>
  <c r="CO67" i="37"/>
  <c r="CO66" i="37"/>
  <c r="CO65" i="37"/>
  <c r="CO64" i="37"/>
  <c r="CO63" i="37"/>
  <c r="CO62" i="37"/>
  <c r="CO61" i="37"/>
  <c r="CO60" i="37"/>
  <c r="CO59" i="37"/>
  <c r="CO58" i="37"/>
  <c r="CO57" i="37"/>
  <c r="CO56" i="37"/>
  <c r="CO55" i="37"/>
  <c r="CO54" i="37"/>
  <c r="CO53" i="37"/>
  <c r="CO52" i="37"/>
  <c r="CO51" i="37"/>
  <c r="CO50" i="37"/>
  <c r="CO49" i="37"/>
  <c r="CO48" i="37"/>
  <c r="CO47" i="37"/>
  <c r="CO46" i="37"/>
  <c r="CO45" i="37"/>
  <c r="CO44" i="37"/>
  <c r="CO43" i="37"/>
  <c r="CO42" i="37"/>
  <c r="CO41" i="37"/>
  <c r="CO40" i="37"/>
  <c r="CO39" i="37"/>
  <c r="CO38" i="37"/>
  <c r="CO37" i="37"/>
  <c r="CO36" i="37"/>
  <c r="CO33" i="37"/>
  <c r="CO34" i="37"/>
  <c r="CO35" i="37"/>
  <c r="CO17" i="37"/>
  <c r="CO16" i="37"/>
  <c r="CO18" i="37"/>
  <c r="CO15" i="37"/>
  <c r="CO14" i="37"/>
  <c r="CO13" i="37"/>
  <c r="CO12" i="37"/>
  <c r="CO11" i="37"/>
  <c r="CO30" i="37"/>
  <c r="CO29" i="37"/>
  <c r="CO28" i="37"/>
  <c r="CO27" i="37"/>
  <c r="CO26" i="37"/>
  <c r="CO25" i="37"/>
  <c r="CO23" i="37"/>
  <c r="CO24" i="37"/>
  <c r="CO10" i="37"/>
  <c r="CO21" i="37"/>
  <c r="CO20" i="37"/>
  <c r="CO19" i="37"/>
  <c r="CO32" i="37"/>
  <c r="CO31" i="37"/>
  <c r="CN110" i="37"/>
  <c r="CM110" i="37"/>
  <c r="CN109" i="37"/>
  <c r="CM109" i="37"/>
  <c r="CN108" i="37"/>
  <c r="CM108" i="37"/>
  <c r="CN107" i="37"/>
  <c r="CM107" i="37"/>
  <c r="CN106" i="37"/>
  <c r="CM106" i="37"/>
  <c r="CN105" i="37"/>
  <c r="CM105" i="37"/>
  <c r="CN104" i="37"/>
  <c r="CM104" i="37"/>
  <c r="CN103" i="37"/>
  <c r="CM103" i="37"/>
  <c r="CN102" i="37"/>
  <c r="CM102" i="37"/>
  <c r="CN101" i="37"/>
  <c r="CM101" i="37"/>
  <c r="CN100" i="37"/>
  <c r="CM100" i="37"/>
  <c r="CN99" i="37"/>
  <c r="CM99" i="37"/>
  <c r="CN98" i="37"/>
  <c r="CM98" i="37"/>
  <c r="CN97" i="37"/>
  <c r="CM97" i="37"/>
  <c r="CN96" i="37"/>
  <c r="CM96" i="37"/>
  <c r="CN95" i="37"/>
  <c r="CM95" i="37"/>
  <c r="CN94" i="37"/>
  <c r="CM94" i="37"/>
  <c r="CN93" i="37"/>
  <c r="CM93" i="37"/>
  <c r="CN92" i="37"/>
  <c r="CM92" i="37"/>
  <c r="CN91" i="37"/>
  <c r="CM91" i="37"/>
  <c r="CN90" i="37"/>
  <c r="CM90" i="37"/>
  <c r="CN89" i="37"/>
  <c r="CM89" i="37"/>
  <c r="CN88" i="37"/>
  <c r="CM88" i="37"/>
  <c r="CN87" i="37"/>
  <c r="CM87" i="37"/>
  <c r="CN86" i="37"/>
  <c r="CM86" i="37"/>
  <c r="CN85" i="37"/>
  <c r="CM85" i="37"/>
  <c r="CN84" i="37"/>
  <c r="CM84" i="37"/>
  <c r="CN83" i="37"/>
  <c r="CM83" i="37"/>
  <c r="CN82" i="37"/>
  <c r="CM82" i="37"/>
  <c r="CN81" i="37"/>
  <c r="CM81" i="37"/>
  <c r="CN80" i="37"/>
  <c r="CM80" i="37"/>
  <c r="CN79" i="37"/>
  <c r="CM79" i="37"/>
  <c r="CN78" i="37"/>
  <c r="CM78" i="37"/>
  <c r="CN77" i="37"/>
  <c r="CM77" i="37"/>
  <c r="CN76" i="37"/>
  <c r="CM76" i="37"/>
  <c r="CN75" i="37"/>
  <c r="CM75" i="37"/>
  <c r="CN74" i="37"/>
  <c r="CM74" i="37"/>
  <c r="CN73" i="37"/>
  <c r="CM73" i="37"/>
  <c r="CN72" i="37"/>
  <c r="CM72" i="37"/>
  <c r="CN71" i="37"/>
  <c r="CM71" i="37"/>
  <c r="CN70" i="37"/>
  <c r="CM70" i="37"/>
  <c r="CN69" i="37"/>
  <c r="CM69" i="37"/>
  <c r="CN68" i="37"/>
  <c r="CM68" i="37"/>
  <c r="CN67" i="37"/>
  <c r="CM67" i="37"/>
  <c r="CN66" i="37"/>
  <c r="CM66" i="37"/>
  <c r="CN65" i="37"/>
  <c r="CM65" i="37"/>
  <c r="CN64" i="37"/>
  <c r="CM64" i="37"/>
  <c r="CN63" i="37"/>
  <c r="CM63" i="37"/>
  <c r="CN62" i="37"/>
  <c r="CM62" i="37"/>
  <c r="CN61" i="37"/>
  <c r="CM61" i="37"/>
  <c r="CN60" i="37"/>
  <c r="CM60" i="37"/>
  <c r="CN59" i="37"/>
  <c r="CM59" i="37"/>
  <c r="CN58" i="37"/>
  <c r="CM58" i="37"/>
  <c r="CN57" i="37"/>
  <c r="CM57" i="37"/>
  <c r="CN56" i="37"/>
  <c r="CM56" i="37"/>
  <c r="CN55" i="37"/>
  <c r="CM55" i="37"/>
  <c r="CN54" i="37"/>
  <c r="CM54" i="37"/>
  <c r="CN53" i="37"/>
  <c r="CM53" i="37"/>
  <c r="CN52" i="37"/>
  <c r="CM52" i="37"/>
  <c r="CN51" i="37"/>
  <c r="CM51" i="37"/>
  <c r="CN50" i="37"/>
  <c r="CM50" i="37"/>
  <c r="CN49" i="37"/>
  <c r="CM49" i="37"/>
  <c r="CN48" i="37"/>
  <c r="CM48" i="37"/>
  <c r="CN47" i="37"/>
  <c r="CM47" i="37"/>
  <c r="CN46" i="37"/>
  <c r="CM46" i="37"/>
  <c r="CN45" i="37"/>
  <c r="CM45" i="37"/>
  <c r="CN44" i="37"/>
  <c r="CM44" i="37"/>
  <c r="CN43" i="37"/>
  <c r="CM43" i="37"/>
  <c r="CN42" i="37"/>
  <c r="CM42" i="37"/>
  <c r="CN41" i="37"/>
  <c r="CM41" i="37"/>
  <c r="CN40" i="37"/>
  <c r="CM40" i="37"/>
  <c r="CN39" i="37"/>
  <c r="CM39" i="37"/>
  <c r="CN38" i="37"/>
  <c r="CM38" i="37"/>
  <c r="CN37" i="37"/>
  <c r="CM37" i="37"/>
  <c r="CN36" i="37"/>
  <c r="CM36" i="37"/>
  <c r="CN33" i="37"/>
  <c r="CM33" i="37"/>
  <c r="CN34" i="37"/>
  <c r="CM34" i="37"/>
  <c r="CN35" i="37"/>
  <c r="CM35" i="37"/>
  <c r="CN17" i="37"/>
  <c r="CM17" i="37"/>
  <c r="CN16" i="37"/>
  <c r="CM16" i="37"/>
  <c r="CN18" i="37"/>
  <c r="CM18" i="37"/>
  <c r="CN15" i="37"/>
  <c r="CM15" i="37"/>
  <c r="CN14" i="37"/>
  <c r="CM14" i="37"/>
  <c r="CN13" i="37"/>
  <c r="CM13" i="37"/>
  <c r="CN12" i="37"/>
  <c r="CM12" i="37"/>
  <c r="CN11" i="37"/>
  <c r="CM11" i="37"/>
  <c r="CN30" i="37"/>
  <c r="CM30" i="37"/>
  <c r="CN29" i="37"/>
  <c r="CM29" i="37"/>
  <c r="CN28" i="37"/>
  <c r="CM28" i="37"/>
  <c r="CN27" i="37"/>
  <c r="CM27" i="37"/>
  <c r="CN26" i="37"/>
  <c r="CM26" i="37"/>
  <c r="CN25" i="37"/>
  <c r="CM25" i="37"/>
  <c r="CN23" i="37"/>
  <c r="CM23" i="37"/>
  <c r="CN24" i="37"/>
  <c r="CM24" i="37"/>
  <c r="CN22" i="37"/>
  <c r="CM22" i="37"/>
  <c r="CN10" i="37"/>
  <c r="CM10" i="37"/>
  <c r="CN21" i="37"/>
  <c r="CM21" i="37"/>
  <c r="CN20" i="37"/>
  <c r="CM20" i="37"/>
  <c r="CN19" i="37"/>
  <c r="CM19" i="37"/>
  <c r="CN32" i="37"/>
  <c r="CM32" i="37"/>
  <c r="CN31" i="37"/>
  <c r="CM31" i="37"/>
  <c r="CL110" i="37"/>
  <c r="CL109" i="37"/>
  <c r="CL108" i="37"/>
  <c r="CL107" i="37"/>
  <c r="CL106" i="37"/>
  <c r="CL105" i="37"/>
  <c r="CL104" i="37"/>
  <c r="CL103" i="37"/>
  <c r="CL102" i="37"/>
  <c r="CL101" i="37"/>
  <c r="CL100" i="37"/>
  <c r="CL99" i="37"/>
  <c r="CL98" i="37"/>
  <c r="CL97" i="37"/>
  <c r="CL96" i="37"/>
  <c r="CL95" i="37"/>
  <c r="CL94" i="37"/>
  <c r="CL93" i="37"/>
  <c r="CL92" i="37"/>
  <c r="CL91" i="37"/>
  <c r="CL90" i="37"/>
  <c r="CL89" i="37"/>
  <c r="CL88" i="37"/>
  <c r="CL87" i="37"/>
  <c r="CL86" i="37"/>
  <c r="CL85" i="37"/>
  <c r="CL84" i="37"/>
  <c r="CL83" i="37"/>
  <c r="CL82" i="37"/>
  <c r="CL81" i="37"/>
  <c r="CL80" i="37"/>
  <c r="CL79" i="37"/>
  <c r="CL78" i="37"/>
  <c r="CL77" i="37"/>
  <c r="CL76" i="37"/>
  <c r="CL75" i="37"/>
  <c r="CL74" i="37"/>
  <c r="CL73" i="37"/>
  <c r="CL72" i="37"/>
  <c r="CL71" i="37"/>
  <c r="CL70" i="37"/>
  <c r="CL69" i="37"/>
  <c r="CL68" i="37"/>
  <c r="CL67" i="37"/>
  <c r="CL66" i="37"/>
  <c r="CL65" i="37"/>
  <c r="CL64" i="37"/>
  <c r="CL63" i="37"/>
  <c r="CL62" i="37"/>
  <c r="CL61" i="37"/>
  <c r="CL60" i="37"/>
  <c r="CL59" i="37"/>
  <c r="CL58" i="37"/>
  <c r="CL57" i="37"/>
  <c r="CL56" i="37"/>
  <c r="CL55" i="37"/>
  <c r="CL54" i="37"/>
  <c r="CL53" i="37"/>
  <c r="CL52" i="37"/>
  <c r="CL51" i="37"/>
  <c r="CL50" i="37"/>
  <c r="CL49" i="37"/>
  <c r="CL48" i="37"/>
  <c r="CL47" i="37"/>
  <c r="CL46" i="37"/>
  <c r="CL45" i="37"/>
  <c r="CL44" i="37"/>
  <c r="CL43" i="37"/>
  <c r="CL42" i="37"/>
  <c r="CL41" i="37"/>
  <c r="CL40" i="37"/>
  <c r="CL39" i="37"/>
  <c r="CL38" i="37"/>
  <c r="CL37" i="37"/>
  <c r="CL36" i="37"/>
  <c r="CL33" i="37"/>
  <c r="CL34" i="37"/>
  <c r="CL35" i="37"/>
  <c r="CL17" i="37"/>
  <c r="CL16" i="37"/>
  <c r="CL18" i="37"/>
  <c r="CL15" i="37"/>
  <c r="CL14" i="37"/>
  <c r="CL13" i="37"/>
  <c r="CL12" i="37"/>
  <c r="CL11" i="37"/>
  <c r="CL30" i="37"/>
  <c r="CL29" i="37"/>
  <c r="CL28" i="37"/>
  <c r="CL27" i="37"/>
  <c r="CL26" i="37"/>
  <c r="CL25" i="37"/>
  <c r="CL23" i="37"/>
  <c r="CL24" i="37"/>
  <c r="CL22" i="37"/>
  <c r="CL10" i="37"/>
  <c r="CL21" i="37"/>
  <c r="CL20" i="37"/>
  <c r="CL19" i="37"/>
  <c r="CL32" i="37"/>
  <c r="CL31" i="37"/>
  <c r="CK110" i="37"/>
  <c r="CK109" i="37"/>
  <c r="CK108" i="37"/>
  <c r="CK107" i="37"/>
  <c r="CK106" i="37"/>
  <c r="CK105" i="37"/>
  <c r="CK104" i="37"/>
  <c r="CK103" i="37"/>
  <c r="CK102" i="37"/>
  <c r="CK101" i="37"/>
  <c r="CK100" i="37"/>
  <c r="CK99" i="37"/>
  <c r="CK98" i="37"/>
  <c r="CK97" i="37"/>
  <c r="CK96" i="37"/>
  <c r="CK95" i="37"/>
  <c r="CK94" i="37"/>
  <c r="CK93" i="37"/>
  <c r="CK92" i="37"/>
  <c r="CK91" i="37"/>
  <c r="CK90" i="37"/>
  <c r="CK89" i="37"/>
  <c r="CK88" i="37"/>
  <c r="CK87" i="37"/>
  <c r="CK86" i="37"/>
  <c r="CK85" i="37"/>
  <c r="CK84" i="37"/>
  <c r="CK83" i="37"/>
  <c r="CK82" i="37"/>
  <c r="CK81" i="37"/>
  <c r="CK80" i="37"/>
  <c r="CK79" i="37"/>
  <c r="CK78" i="37"/>
  <c r="CK77" i="37"/>
  <c r="CK76" i="37"/>
  <c r="CK75" i="37"/>
  <c r="CK74" i="37"/>
  <c r="CK73" i="37"/>
  <c r="CK72" i="37"/>
  <c r="CK71" i="37"/>
  <c r="CK70" i="37"/>
  <c r="CK69" i="37"/>
  <c r="CK68" i="37"/>
  <c r="CK67" i="37"/>
  <c r="CK66" i="37"/>
  <c r="CK65" i="37"/>
  <c r="CK64" i="37"/>
  <c r="CK63" i="37"/>
  <c r="CK62" i="37"/>
  <c r="CK61" i="37"/>
  <c r="CK60" i="37"/>
  <c r="CK59" i="37"/>
  <c r="CK58" i="37"/>
  <c r="CK57" i="37"/>
  <c r="CK56" i="37"/>
  <c r="CK55" i="37"/>
  <c r="CK54" i="37"/>
  <c r="CK53" i="37"/>
  <c r="CK52" i="37"/>
  <c r="CK51" i="37"/>
  <c r="CK50" i="37"/>
  <c r="CK49" i="37"/>
  <c r="CK48" i="37"/>
  <c r="CK47" i="37"/>
  <c r="CK46" i="37"/>
  <c r="CK45" i="37"/>
  <c r="CK44" i="37"/>
  <c r="CK43" i="37"/>
  <c r="CK42" i="37"/>
  <c r="CK41" i="37"/>
  <c r="CK40" i="37"/>
  <c r="CK39" i="37"/>
  <c r="CK38" i="37"/>
  <c r="CK37" i="37"/>
  <c r="CK36" i="37"/>
  <c r="CK33" i="37"/>
  <c r="CK34" i="37"/>
  <c r="CK35" i="37"/>
  <c r="CK17" i="37"/>
  <c r="CK16" i="37"/>
  <c r="CK18" i="37"/>
  <c r="CK15" i="37"/>
  <c r="CK14" i="37"/>
  <c r="CK13" i="37"/>
  <c r="CK12" i="37"/>
  <c r="CK11" i="37"/>
  <c r="CK30" i="37"/>
  <c r="CK29" i="37"/>
  <c r="CK28" i="37"/>
  <c r="CK27" i="37"/>
  <c r="CK26" i="37"/>
  <c r="CK25" i="37"/>
  <c r="CK23" i="37"/>
  <c r="CK24" i="37"/>
  <c r="CK22" i="37"/>
  <c r="CK10" i="37"/>
  <c r="CK21" i="37"/>
  <c r="CK20" i="37"/>
  <c r="CK19" i="37"/>
  <c r="CK32" i="37"/>
  <c r="CK31" i="37"/>
  <c r="CJ110" i="37"/>
  <c r="CJ109" i="37"/>
  <c r="CJ108" i="37"/>
  <c r="CJ107" i="37"/>
  <c r="CJ106" i="37"/>
  <c r="CJ105" i="37"/>
  <c r="CJ104" i="37"/>
  <c r="CJ103" i="37"/>
  <c r="CJ102" i="37"/>
  <c r="CJ101" i="37"/>
  <c r="CJ100" i="37"/>
  <c r="CJ99" i="37"/>
  <c r="CJ98" i="37"/>
  <c r="CJ97" i="37"/>
  <c r="CJ96" i="37"/>
  <c r="CJ95" i="37"/>
  <c r="CJ94" i="37"/>
  <c r="CJ93" i="37"/>
  <c r="CJ92" i="37"/>
  <c r="CJ91" i="37"/>
  <c r="CJ90" i="37"/>
  <c r="CJ89" i="37"/>
  <c r="CJ88" i="37"/>
  <c r="CJ87" i="37"/>
  <c r="CJ86" i="37"/>
  <c r="CJ85" i="37"/>
  <c r="CJ84" i="37"/>
  <c r="CJ83" i="37"/>
  <c r="CJ82" i="37"/>
  <c r="CJ81" i="37"/>
  <c r="CJ80" i="37"/>
  <c r="CJ79" i="37"/>
  <c r="CJ78" i="37"/>
  <c r="CJ77" i="37"/>
  <c r="CJ76" i="37"/>
  <c r="CJ75" i="37"/>
  <c r="CJ74" i="37"/>
  <c r="CJ73" i="37"/>
  <c r="CJ72" i="37"/>
  <c r="CJ71" i="37"/>
  <c r="CJ70" i="37"/>
  <c r="CJ69" i="37"/>
  <c r="CJ68" i="37"/>
  <c r="CJ67" i="37"/>
  <c r="CJ66" i="37"/>
  <c r="CJ65" i="37"/>
  <c r="CJ64" i="37"/>
  <c r="CJ63" i="37"/>
  <c r="CJ62" i="37"/>
  <c r="CJ61" i="37"/>
  <c r="CJ60" i="37"/>
  <c r="CJ59" i="37"/>
  <c r="CJ58" i="37"/>
  <c r="CJ57" i="37"/>
  <c r="CJ56" i="37"/>
  <c r="CJ55" i="37"/>
  <c r="CJ54" i="37"/>
  <c r="CJ53" i="37"/>
  <c r="CJ52" i="37"/>
  <c r="CJ51" i="37"/>
  <c r="CJ50" i="37"/>
  <c r="CJ49" i="37"/>
  <c r="CJ48" i="37"/>
  <c r="CJ47" i="37"/>
  <c r="CJ46" i="37"/>
  <c r="CJ45" i="37"/>
  <c r="CJ44" i="37"/>
  <c r="CJ43" i="37"/>
  <c r="CJ42" i="37"/>
  <c r="CJ41" i="37"/>
  <c r="CJ40" i="37"/>
  <c r="CJ39" i="37"/>
  <c r="CJ38" i="37"/>
  <c r="CJ37" i="37"/>
  <c r="CJ36" i="37"/>
  <c r="CJ33" i="37"/>
  <c r="CJ34" i="37"/>
  <c r="CJ35" i="37"/>
  <c r="CJ17" i="37"/>
  <c r="CJ16" i="37"/>
  <c r="CJ18" i="37"/>
  <c r="CJ15" i="37"/>
  <c r="CJ14" i="37"/>
  <c r="CJ13" i="37"/>
  <c r="CJ12" i="37"/>
  <c r="CJ11" i="37"/>
  <c r="CJ30" i="37"/>
  <c r="CJ29" i="37"/>
  <c r="CJ28" i="37"/>
  <c r="CJ27" i="37"/>
  <c r="CJ26" i="37"/>
  <c r="CJ25" i="37"/>
  <c r="CJ23" i="37"/>
  <c r="CJ24" i="37"/>
  <c r="CJ22" i="37"/>
  <c r="CJ10" i="37"/>
  <c r="CJ21" i="37"/>
  <c r="CJ20" i="37"/>
  <c r="CJ19" i="37"/>
  <c r="CJ32" i="37"/>
  <c r="CJ31" i="37"/>
  <c r="CI110" i="37"/>
  <c r="CI109" i="37"/>
  <c r="CI108" i="37"/>
  <c r="CI107" i="37"/>
  <c r="CI106" i="37"/>
  <c r="CI105" i="37"/>
  <c r="CI104" i="37"/>
  <c r="CI103" i="37"/>
  <c r="CI102" i="37"/>
  <c r="CI101" i="37"/>
  <c r="CI100" i="37"/>
  <c r="CI99" i="37"/>
  <c r="CI98" i="37"/>
  <c r="CI97" i="37"/>
  <c r="CI96" i="37"/>
  <c r="CI95" i="37"/>
  <c r="CI94" i="37"/>
  <c r="CI93" i="37"/>
  <c r="CI92" i="37"/>
  <c r="CI91" i="37"/>
  <c r="CI90" i="37"/>
  <c r="CI89" i="37"/>
  <c r="CI88" i="37"/>
  <c r="CI87" i="37"/>
  <c r="CI86" i="37"/>
  <c r="CI85" i="37"/>
  <c r="CI84" i="37"/>
  <c r="CI83" i="37"/>
  <c r="CI82" i="37"/>
  <c r="CI81" i="37"/>
  <c r="CI80" i="37"/>
  <c r="CI79" i="37"/>
  <c r="CI78" i="37"/>
  <c r="CI77" i="37"/>
  <c r="CI76" i="37"/>
  <c r="CI75" i="37"/>
  <c r="CI74" i="37"/>
  <c r="CI73" i="37"/>
  <c r="CI72" i="37"/>
  <c r="CI71" i="37"/>
  <c r="CI70" i="37"/>
  <c r="CI69" i="37"/>
  <c r="CI68" i="37"/>
  <c r="CI67" i="37"/>
  <c r="CI66" i="37"/>
  <c r="CI65" i="37"/>
  <c r="CI64" i="37"/>
  <c r="CI63" i="37"/>
  <c r="CI62" i="37"/>
  <c r="CI61" i="37"/>
  <c r="CI60" i="37"/>
  <c r="CI59" i="37"/>
  <c r="CI58" i="37"/>
  <c r="CI57" i="37"/>
  <c r="CI56" i="37"/>
  <c r="CI55" i="37"/>
  <c r="CI54" i="37"/>
  <c r="CI53" i="37"/>
  <c r="CI52" i="37"/>
  <c r="CI51" i="37"/>
  <c r="CI50" i="37"/>
  <c r="CI49" i="37"/>
  <c r="CI48" i="37"/>
  <c r="CI47" i="37"/>
  <c r="CI46" i="37"/>
  <c r="CI45" i="37"/>
  <c r="CI44" i="37"/>
  <c r="CI43" i="37"/>
  <c r="CI42" i="37"/>
  <c r="CI41" i="37"/>
  <c r="CI40" i="37"/>
  <c r="CI39" i="37"/>
  <c r="CI38" i="37"/>
  <c r="CI37" i="37"/>
  <c r="CI36" i="37"/>
  <c r="CI33" i="37"/>
  <c r="CI34" i="37"/>
  <c r="CI35" i="37"/>
  <c r="CI17" i="37"/>
  <c r="CI16" i="37"/>
  <c r="CI18" i="37"/>
  <c r="CI15" i="37"/>
  <c r="CI14" i="37"/>
  <c r="CI13" i="37"/>
  <c r="CI12" i="37"/>
  <c r="CI11" i="37"/>
  <c r="CI30" i="37"/>
  <c r="CI29" i="37"/>
  <c r="CI28" i="37"/>
  <c r="CI27" i="37"/>
  <c r="CI26" i="37"/>
  <c r="CI25" i="37"/>
  <c r="CI23" i="37"/>
  <c r="CI24" i="37"/>
  <c r="CI22" i="37"/>
  <c r="CI10" i="37"/>
  <c r="CI21" i="37"/>
  <c r="CI20" i="37"/>
  <c r="CI19" i="37"/>
  <c r="CI32" i="37"/>
  <c r="CI31" i="37"/>
  <c r="CH110" i="37"/>
  <c r="CH109" i="37"/>
  <c r="CH108" i="37"/>
  <c r="CH107" i="37"/>
  <c r="CH106" i="37"/>
  <c r="CH105" i="37"/>
  <c r="CH104" i="37"/>
  <c r="CH103" i="37"/>
  <c r="CH102" i="37"/>
  <c r="CH101" i="37"/>
  <c r="CH100" i="37"/>
  <c r="CH99" i="37"/>
  <c r="CH98" i="37"/>
  <c r="CH97" i="37"/>
  <c r="CH96" i="37"/>
  <c r="CH95" i="37"/>
  <c r="CH94" i="37"/>
  <c r="CH93" i="37"/>
  <c r="CH92" i="37"/>
  <c r="CH91" i="37"/>
  <c r="CH90" i="37"/>
  <c r="CH89" i="37"/>
  <c r="CH88" i="37"/>
  <c r="CH87" i="37"/>
  <c r="CH86" i="37"/>
  <c r="CH85" i="37"/>
  <c r="CH84" i="37"/>
  <c r="CH83" i="37"/>
  <c r="CH82" i="37"/>
  <c r="CH81" i="37"/>
  <c r="CH80" i="37"/>
  <c r="CH79" i="37"/>
  <c r="CH78" i="37"/>
  <c r="CH77" i="37"/>
  <c r="CH76" i="37"/>
  <c r="CH75" i="37"/>
  <c r="CH74" i="37"/>
  <c r="CH73" i="37"/>
  <c r="CH72" i="37"/>
  <c r="CH71" i="37"/>
  <c r="CH70" i="37"/>
  <c r="CH69" i="37"/>
  <c r="CH68" i="37"/>
  <c r="CH67" i="37"/>
  <c r="CH66" i="37"/>
  <c r="CH65" i="37"/>
  <c r="CH64" i="37"/>
  <c r="CH63" i="37"/>
  <c r="CH62" i="37"/>
  <c r="CH61" i="37"/>
  <c r="CH60" i="37"/>
  <c r="CH59" i="37"/>
  <c r="CH58" i="37"/>
  <c r="CH57" i="37"/>
  <c r="CH56" i="37"/>
  <c r="CH55" i="37"/>
  <c r="CH54" i="37"/>
  <c r="CH53" i="37"/>
  <c r="CH52" i="37"/>
  <c r="CH51" i="37"/>
  <c r="CH50" i="37"/>
  <c r="CH49" i="37"/>
  <c r="CH48" i="37"/>
  <c r="CH47" i="37"/>
  <c r="CH46" i="37"/>
  <c r="CH45" i="37"/>
  <c r="CH44" i="37"/>
  <c r="CH43" i="37"/>
  <c r="CH42" i="37"/>
  <c r="CH41" i="37"/>
  <c r="CH40" i="37"/>
  <c r="CH39" i="37"/>
  <c r="CH38" i="37"/>
  <c r="CH37" i="37"/>
  <c r="CH36" i="37"/>
  <c r="CH33" i="37"/>
  <c r="CH34" i="37"/>
  <c r="CH35" i="37"/>
  <c r="CH17" i="37"/>
  <c r="CH16" i="37"/>
  <c r="CH18" i="37"/>
  <c r="CH15" i="37"/>
  <c r="CH14" i="37"/>
  <c r="CH13" i="37"/>
  <c r="CH12" i="37"/>
  <c r="CH11" i="37"/>
  <c r="CH30" i="37"/>
  <c r="CH29" i="37"/>
  <c r="CH28" i="37"/>
  <c r="CH27" i="37"/>
  <c r="CH26" i="37"/>
  <c r="CH25" i="37"/>
  <c r="CH23" i="37"/>
  <c r="CH24" i="37"/>
  <c r="CH22" i="37"/>
  <c r="CH10" i="37"/>
  <c r="CH21" i="37"/>
  <c r="CH20" i="37"/>
  <c r="CH19" i="37"/>
  <c r="CH32" i="37"/>
  <c r="CH31" i="37"/>
  <c r="CG110" i="37"/>
  <c r="CG109" i="37"/>
  <c r="CG108" i="37"/>
  <c r="CG107" i="37"/>
  <c r="CG106" i="37"/>
  <c r="CG105" i="37"/>
  <c r="CG104" i="37"/>
  <c r="CG103" i="37"/>
  <c r="CG102" i="37"/>
  <c r="CG101" i="37"/>
  <c r="CG100" i="37"/>
  <c r="CG99" i="37"/>
  <c r="CG98" i="37"/>
  <c r="CG97" i="37"/>
  <c r="CG96" i="37"/>
  <c r="CG95" i="37"/>
  <c r="CG94" i="37"/>
  <c r="CG93" i="37"/>
  <c r="CG92" i="37"/>
  <c r="CG91" i="37"/>
  <c r="CG90" i="37"/>
  <c r="CG89" i="37"/>
  <c r="CG88" i="37"/>
  <c r="CG87" i="37"/>
  <c r="CG86" i="37"/>
  <c r="CG85" i="37"/>
  <c r="CG84" i="37"/>
  <c r="CG83" i="37"/>
  <c r="CG82" i="37"/>
  <c r="CG81" i="37"/>
  <c r="CG80" i="37"/>
  <c r="CG79" i="37"/>
  <c r="CG78" i="37"/>
  <c r="CG77" i="37"/>
  <c r="CG76" i="37"/>
  <c r="CG75" i="37"/>
  <c r="CG74" i="37"/>
  <c r="CG73" i="37"/>
  <c r="CG72" i="37"/>
  <c r="CG71" i="37"/>
  <c r="CG70" i="37"/>
  <c r="CG69" i="37"/>
  <c r="CG68" i="37"/>
  <c r="CG67" i="37"/>
  <c r="CG66" i="37"/>
  <c r="CG65" i="37"/>
  <c r="CG64" i="37"/>
  <c r="CG63" i="37"/>
  <c r="CG62" i="37"/>
  <c r="CG61" i="37"/>
  <c r="CG60" i="37"/>
  <c r="CG59" i="37"/>
  <c r="CG58" i="37"/>
  <c r="CG57" i="37"/>
  <c r="CG56" i="37"/>
  <c r="CG55" i="37"/>
  <c r="CG54" i="37"/>
  <c r="CG53" i="37"/>
  <c r="CG52" i="37"/>
  <c r="CG51" i="37"/>
  <c r="CG50" i="37"/>
  <c r="CG49" i="37"/>
  <c r="CG48" i="37"/>
  <c r="CG47" i="37"/>
  <c r="CG46" i="37"/>
  <c r="CG45" i="37"/>
  <c r="CG44" i="37"/>
  <c r="CG43" i="37"/>
  <c r="CG42" i="37"/>
  <c r="CG41" i="37"/>
  <c r="CG40" i="37"/>
  <c r="CG39" i="37"/>
  <c r="CG38" i="37"/>
  <c r="CG37" i="37"/>
  <c r="CG36" i="37"/>
  <c r="CG33" i="37"/>
  <c r="CG34" i="37"/>
  <c r="CG35" i="37"/>
  <c r="CG17" i="37"/>
  <c r="CG16" i="37"/>
  <c r="CG18" i="37"/>
  <c r="CG15" i="37"/>
  <c r="CG14" i="37"/>
  <c r="CG13" i="37"/>
  <c r="CG12" i="37"/>
  <c r="CG11" i="37"/>
  <c r="CG30" i="37"/>
  <c r="CG29" i="37"/>
  <c r="CG28" i="37"/>
  <c r="CG27" i="37"/>
  <c r="CG26" i="37"/>
  <c r="CG25" i="37"/>
  <c r="CG23" i="37"/>
  <c r="CG24" i="37"/>
  <c r="CG22" i="37"/>
  <c r="CG10" i="37"/>
  <c r="CG21" i="37"/>
  <c r="CG20" i="37"/>
  <c r="CG19" i="37"/>
  <c r="CG32" i="37"/>
  <c r="CG31" i="37"/>
  <c r="CZ24" i="37" l="1"/>
  <c r="H55" i="62"/>
  <c r="M3" i="61" l="1"/>
  <c r="CS31" i="37" l="1"/>
  <c r="CS32" i="37" l="1"/>
  <c r="L15" i="37" l="1" a="1"/>
  <c r="L15" i="37" s="1"/>
  <c r="C61" i="48" l="1"/>
  <c r="C60" i="51" l="1"/>
  <c r="C114" i="51" s="1"/>
  <c r="D84" i="48" s="1"/>
  <c r="E59" i="48"/>
  <c r="E114" i="51" l="1"/>
  <c r="EF10" i="37" a="1"/>
  <c r="EF10" i="37" s="1"/>
  <c r="EF11" i="37" a="1"/>
  <c r="EF11" i="37" s="1"/>
  <c r="EF12" i="37" a="1"/>
  <c r="EF12" i="37" s="1"/>
  <c r="EF13" i="37" a="1"/>
  <c r="EF13" i="37" s="1"/>
  <c r="EF14" i="37" a="1"/>
  <c r="EF14" i="37" s="1"/>
  <c r="EF15" i="37" a="1"/>
  <c r="EF15" i="37" s="1"/>
  <c r="EF16" i="37" a="1"/>
  <c r="EF16" i="37" s="1"/>
  <c r="EF17" i="37" a="1"/>
  <c r="EF17" i="37" s="1"/>
  <c r="EF18" i="37" a="1"/>
  <c r="EF18" i="37" s="1"/>
  <c r="EF19" i="37" a="1"/>
  <c r="EF19" i="37" s="1"/>
  <c r="EF20" i="37" a="1"/>
  <c r="EF20" i="37" s="1"/>
  <c r="EF21" i="37" a="1"/>
  <c r="EF21" i="37" s="1"/>
  <c r="EF22" i="37" a="1"/>
  <c r="EF22" i="37" s="1"/>
  <c r="EF23" i="37" a="1"/>
  <c r="EF23" i="37" s="1"/>
  <c r="EF24" i="37" a="1"/>
  <c r="EF24" i="37" s="1"/>
  <c r="EF25" i="37" a="1"/>
  <c r="EF25" i="37" s="1"/>
  <c r="EF26" i="37" a="1"/>
  <c r="EF26" i="37" s="1"/>
  <c r="EF27" i="37" a="1"/>
  <c r="EF27" i="37" s="1"/>
  <c r="EF28" i="37" a="1"/>
  <c r="EF28" i="37" s="1"/>
  <c r="EF29" i="37" a="1"/>
  <c r="EF29" i="37" s="1"/>
  <c r="EF30" i="37" a="1"/>
  <c r="EF30" i="37" s="1"/>
  <c r="EF31" i="37" a="1"/>
  <c r="EF31" i="37" s="1"/>
  <c r="EF32" i="37" a="1"/>
  <c r="EF32" i="37" s="1"/>
  <c r="EF33" i="37" a="1"/>
  <c r="EF33" i="37" s="1"/>
  <c r="EF34" i="37" a="1"/>
  <c r="EF34" i="37" s="1"/>
  <c r="EF35" i="37" a="1"/>
  <c r="EF35" i="37" s="1"/>
  <c r="EF36" i="37" a="1"/>
  <c r="EF36" i="37" s="1"/>
  <c r="EF37" i="37" a="1"/>
  <c r="EF37" i="37" s="1"/>
  <c r="EF38" i="37" a="1"/>
  <c r="EF38" i="37" s="1"/>
  <c r="EF39" i="37" a="1"/>
  <c r="EF39" i="37" s="1"/>
  <c r="EF40" i="37" a="1"/>
  <c r="EF40" i="37" s="1"/>
  <c r="EF41" i="37" a="1"/>
  <c r="EF41" i="37" s="1"/>
  <c r="EF42" i="37" a="1"/>
  <c r="EF42" i="37" s="1"/>
  <c r="EF43" i="37" a="1"/>
  <c r="EF43" i="37" s="1"/>
  <c r="EF44" i="37" a="1"/>
  <c r="EF44" i="37" s="1"/>
  <c r="EF45" i="37" a="1"/>
  <c r="EF45" i="37" s="1"/>
  <c r="EF46" i="37" a="1"/>
  <c r="EF46" i="37" s="1"/>
  <c r="EF47" i="37" a="1"/>
  <c r="EF47" i="37" s="1"/>
  <c r="EF48" i="37" a="1"/>
  <c r="EF48" i="37" s="1"/>
  <c r="EF49" i="37" a="1"/>
  <c r="EF49" i="37" s="1"/>
  <c r="EF50" i="37" a="1"/>
  <c r="EF50" i="37" s="1"/>
  <c r="EF51" i="37" a="1"/>
  <c r="EF51" i="37" s="1"/>
  <c r="EF52" i="37" a="1"/>
  <c r="EF52" i="37" s="1"/>
  <c r="EF53" i="37" a="1"/>
  <c r="EF53" i="37" s="1"/>
  <c r="EF54" i="37" a="1"/>
  <c r="EF54" i="37" s="1"/>
  <c r="EF55" i="37" a="1"/>
  <c r="EF55" i="37" s="1"/>
  <c r="EF56" i="37" a="1"/>
  <c r="EF56" i="37" s="1"/>
  <c r="EF57" i="37" a="1"/>
  <c r="EF57" i="37" s="1"/>
  <c r="EF58" i="37" a="1"/>
  <c r="EF58" i="37" s="1"/>
  <c r="EF59" i="37" a="1"/>
  <c r="EF59" i="37" s="1"/>
  <c r="EF60" i="37" a="1"/>
  <c r="EF60" i="37" s="1"/>
  <c r="EF61" i="37" a="1"/>
  <c r="EF61" i="37" s="1"/>
  <c r="EF62" i="37" a="1"/>
  <c r="EF62" i="37" s="1"/>
  <c r="EF63" i="37" a="1"/>
  <c r="EF63" i="37" s="1"/>
  <c r="EF64" i="37" a="1"/>
  <c r="EF64" i="37" s="1"/>
  <c r="EF65" i="37" a="1"/>
  <c r="EF65" i="37" s="1"/>
  <c r="EF66" i="37" a="1"/>
  <c r="EF66" i="37" s="1"/>
  <c r="EF67" i="37" a="1"/>
  <c r="EF67" i="37" s="1"/>
  <c r="EF68" i="37" a="1"/>
  <c r="EF68" i="37" s="1"/>
  <c r="EF69" i="37" a="1"/>
  <c r="EF69" i="37" s="1"/>
  <c r="EF70" i="37" a="1"/>
  <c r="EF70" i="37" s="1"/>
  <c r="EF71" i="37" a="1"/>
  <c r="EF71" i="37" s="1"/>
  <c r="EF72" i="37" a="1"/>
  <c r="EF72" i="37" s="1"/>
  <c r="EF73" i="37" a="1"/>
  <c r="EF73" i="37" s="1"/>
  <c r="EF74" i="37" a="1"/>
  <c r="EF74" i="37" s="1"/>
  <c r="EF75" i="37" a="1"/>
  <c r="EF75" i="37" s="1"/>
  <c r="EF76" i="37" a="1"/>
  <c r="EF76" i="37" s="1"/>
  <c r="EF77" i="37" a="1"/>
  <c r="EF77" i="37" s="1"/>
  <c r="EF78" i="37" a="1"/>
  <c r="EF78" i="37" s="1"/>
  <c r="EF79" i="37" a="1"/>
  <c r="EF79" i="37" s="1"/>
  <c r="EF80" i="37" a="1"/>
  <c r="EF80" i="37" s="1"/>
  <c r="EF81" i="37" a="1"/>
  <c r="EF81" i="37" s="1"/>
  <c r="EF82" i="37" a="1"/>
  <c r="EF82" i="37" s="1"/>
  <c r="EF83" i="37" a="1"/>
  <c r="EF83" i="37" s="1"/>
  <c r="EF84" i="37" a="1"/>
  <c r="EF84" i="37" s="1"/>
  <c r="EF85" i="37" a="1"/>
  <c r="EF85" i="37" s="1"/>
  <c r="EF86" i="37" a="1"/>
  <c r="EF86" i="37" s="1"/>
  <c r="EF87" i="37" a="1"/>
  <c r="EF87" i="37" s="1"/>
  <c r="EF88" i="37" a="1"/>
  <c r="EF88" i="37" s="1"/>
  <c r="EF89" i="37" a="1"/>
  <c r="EF89" i="37" s="1"/>
  <c r="EF90" i="37" a="1"/>
  <c r="EF90" i="37" s="1"/>
  <c r="EF91" i="37" a="1"/>
  <c r="EF91" i="37" s="1"/>
  <c r="EF92" i="37" a="1"/>
  <c r="EF92" i="37" s="1"/>
  <c r="EF93" i="37" a="1"/>
  <c r="EF93" i="37" s="1"/>
  <c r="EF94" i="37" a="1"/>
  <c r="EF94" i="37" s="1"/>
  <c r="EF95" i="37" a="1"/>
  <c r="EF95" i="37" s="1"/>
  <c r="EF96" i="37" a="1"/>
  <c r="EF96" i="37" s="1"/>
  <c r="EF97" i="37" a="1"/>
  <c r="EF97" i="37" s="1"/>
  <c r="EF98" i="37" a="1"/>
  <c r="EF98" i="37" s="1"/>
  <c r="EF99" i="37" a="1"/>
  <c r="EF99" i="37" s="1"/>
  <c r="EF100" i="37" a="1"/>
  <c r="EF100" i="37" s="1"/>
  <c r="EF101" i="37" a="1"/>
  <c r="EF101" i="37" s="1"/>
  <c r="EF102" i="37" a="1"/>
  <c r="EF102" i="37" s="1"/>
  <c r="EF103" i="37" a="1"/>
  <c r="EF103" i="37" s="1"/>
  <c r="EF104" i="37" a="1"/>
  <c r="EF104" i="37" s="1"/>
  <c r="EF105" i="37" a="1"/>
  <c r="EF105" i="37" s="1"/>
  <c r="EF106" i="37" a="1"/>
  <c r="EF106" i="37" s="1"/>
  <c r="EF107" i="37" a="1"/>
  <c r="EF107" i="37" s="1"/>
  <c r="EF108" i="37" a="1"/>
  <c r="EF108" i="37" s="1"/>
  <c r="EF109" i="37" a="1"/>
  <c r="EF109" i="37" s="1"/>
  <c r="EF110" i="37" a="1"/>
  <c r="EF110" i="37" s="1"/>
  <c r="EF111" i="37" a="1"/>
  <c r="EF111" i="37" s="1"/>
  <c r="EF112" i="37" a="1"/>
  <c r="EF112" i="37" s="1"/>
  <c r="EF113" i="37" a="1"/>
  <c r="EF113" i="37" s="1"/>
  <c r="EF114" i="37" a="1"/>
  <c r="EF114" i="37" s="1"/>
  <c r="EF115" i="37" a="1"/>
  <c r="EF115" i="37" s="1"/>
  <c r="EF116" i="37" a="1"/>
  <c r="EF116" i="37" s="1"/>
  <c r="EF117" i="37" a="1"/>
  <c r="EF117" i="37" s="1"/>
  <c r="EF118" i="37" a="1"/>
  <c r="EF118" i="37" s="1"/>
  <c r="EF119" i="37" a="1"/>
  <c r="EF119" i="37" s="1"/>
  <c r="EF120" i="37" a="1"/>
  <c r="EF120" i="37" s="1"/>
  <c r="EF121" i="37" a="1"/>
  <c r="EF121" i="37" s="1"/>
  <c r="EF122" i="37" a="1"/>
  <c r="EF122" i="37" s="1"/>
  <c r="EF123" i="37" a="1"/>
  <c r="EF123" i="37" s="1"/>
  <c r="EF124" i="37" a="1"/>
  <c r="EF124" i="37" s="1"/>
  <c r="EF125" i="37" a="1"/>
  <c r="EF125" i="37" s="1"/>
  <c r="EF126" i="37" a="1"/>
  <c r="EF126" i="37" s="1"/>
  <c r="EF127" i="37" a="1"/>
  <c r="EF127" i="37" s="1"/>
  <c r="EF128" i="37" a="1"/>
  <c r="EF128" i="37" s="1"/>
  <c r="EF129" i="37" a="1"/>
  <c r="EF129" i="37" s="1"/>
  <c r="EF130" i="37" a="1"/>
  <c r="EF130" i="37" s="1"/>
  <c r="EF131" i="37" a="1"/>
  <c r="EF131" i="37" s="1"/>
  <c r="EF132" i="37" a="1"/>
  <c r="EF132" i="37" s="1"/>
  <c r="EF133" i="37" a="1"/>
  <c r="EF133" i="37" s="1"/>
  <c r="EF134" i="37" a="1"/>
  <c r="EF134" i="37" s="1"/>
  <c r="EF135" i="37" a="1"/>
  <c r="EF135" i="37" s="1"/>
  <c r="EF136" i="37" a="1"/>
  <c r="EF136" i="37" s="1"/>
  <c r="EF137" i="37" a="1"/>
  <c r="EF137" i="37" s="1"/>
  <c r="EF138" i="37" a="1"/>
  <c r="EF138" i="37" s="1"/>
  <c r="EF139" i="37" a="1"/>
  <c r="EF139" i="37" s="1"/>
  <c r="EF140" i="37" a="1"/>
  <c r="EF140" i="37" s="1"/>
  <c r="EF141" i="37" a="1"/>
  <c r="EF141" i="37" s="1"/>
  <c r="EF142" i="37" a="1"/>
  <c r="EF142" i="37" s="1"/>
  <c r="EF143" i="37" a="1"/>
  <c r="EF143" i="37" s="1"/>
  <c r="EF144" i="37" a="1"/>
  <c r="EF144" i="37" s="1"/>
  <c r="EF145" i="37" a="1"/>
  <c r="EF145" i="37" s="1"/>
  <c r="EF146" i="37" a="1"/>
  <c r="EF146" i="37" s="1"/>
  <c r="EF147" i="37" a="1"/>
  <c r="EF147" i="37" s="1"/>
  <c r="EF148" i="37" a="1"/>
  <c r="EF148" i="37" s="1"/>
  <c r="EF149" i="37" a="1"/>
  <c r="EF149" i="37" s="1"/>
  <c r="EF150" i="37" a="1"/>
  <c r="EF150" i="37" s="1"/>
  <c r="EF151" i="37" a="1"/>
  <c r="EF151" i="37" s="1"/>
  <c r="EF152" i="37" a="1"/>
  <c r="EF152" i="37" s="1"/>
  <c r="EF153" i="37" a="1"/>
  <c r="EF153" i="37" s="1"/>
  <c r="EF154" i="37" a="1"/>
  <c r="EF154" i="37" s="1"/>
  <c r="EF155" i="37" a="1"/>
  <c r="EF155" i="37" s="1"/>
  <c r="EF156" i="37" a="1"/>
  <c r="EF156" i="37" s="1"/>
  <c r="EF157" i="37" a="1"/>
  <c r="EF157" i="37" s="1"/>
  <c r="EF158" i="37" a="1"/>
  <c r="EF158" i="37" s="1"/>
  <c r="EF159" i="37" a="1"/>
  <c r="EF159" i="37" s="1"/>
  <c r="EF160" i="37" a="1"/>
  <c r="EF160" i="37" s="1"/>
  <c r="EF161" i="37" a="1"/>
  <c r="EF161" i="37" s="1"/>
  <c r="EF162" i="37" a="1"/>
  <c r="EF162" i="37" s="1"/>
  <c r="EF163" i="37" a="1"/>
  <c r="EF163" i="37" s="1"/>
  <c r="EF164" i="37" a="1"/>
  <c r="EF164" i="37" s="1"/>
  <c r="EF165" i="37" a="1"/>
  <c r="EF165" i="37" s="1"/>
  <c r="EF166" i="37" a="1"/>
  <c r="EF166" i="37" s="1"/>
  <c r="EF167" i="37" a="1"/>
  <c r="EF167" i="37" s="1"/>
  <c r="EF168" i="37" a="1"/>
  <c r="EF168" i="37" s="1"/>
  <c r="EF169" i="37" a="1"/>
  <c r="EF169" i="37" s="1"/>
  <c r="EF170" i="37" a="1"/>
  <c r="EF170" i="37" s="1"/>
  <c r="EF171" i="37" a="1"/>
  <c r="EF171" i="37" s="1"/>
  <c r="EF172" i="37" a="1"/>
  <c r="EF172" i="37" s="1"/>
  <c r="EF173" i="37" a="1"/>
  <c r="EF173" i="37" s="1"/>
  <c r="EF174" i="37" a="1"/>
  <c r="EF174" i="37" s="1"/>
  <c r="EF175" i="37" a="1"/>
  <c r="EF175" i="37" s="1"/>
  <c r="EF176" i="37" a="1"/>
  <c r="EF176" i="37" s="1"/>
  <c r="EF177" i="37" a="1"/>
  <c r="EF177" i="37" s="1"/>
  <c r="EF178" i="37" a="1"/>
  <c r="EF178" i="37" s="1"/>
  <c r="EF179" i="37" a="1"/>
  <c r="EF179" i="37" s="1"/>
  <c r="EF180" i="37" a="1"/>
  <c r="EF180" i="37" s="1"/>
  <c r="EF181" i="37" a="1"/>
  <c r="EF181" i="37" s="1"/>
  <c r="EF182" i="37" a="1"/>
  <c r="EF182" i="37" s="1"/>
  <c r="EF183" i="37" a="1"/>
  <c r="EF183" i="37" s="1"/>
  <c r="EF184" i="37" a="1"/>
  <c r="EF184" i="37" s="1"/>
  <c r="EF185" i="37" a="1"/>
  <c r="EF185" i="37" s="1"/>
  <c r="EF186" i="37" a="1"/>
  <c r="EF186" i="37" s="1"/>
  <c r="EF187" i="37" a="1"/>
  <c r="EF187" i="37" s="1"/>
  <c r="EF188" i="37" a="1"/>
  <c r="EF188" i="37" s="1"/>
  <c r="EF189" i="37" a="1"/>
  <c r="EF189" i="37" s="1"/>
  <c r="EF190" i="37" a="1"/>
  <c r="EF190" i="37" s="1"/>
  <c r="EF191" i="37" a="1"/>
  <c r="EF191" i="37" s="1"/>
  <c r="EF192" i="37" a="1"/>
  <c r="EF192" i="37" s="1"/>
  <c r="EF193" i="37" a="1"/>
  <c r="EF193" i="37" s="1"/>
  <c r="EF194" i="37" a="1"/>
  <c r="EF194" i="37" s="1"/>
  <c r="EF195" i="37" a="1"/>
  <c r="EF195" i="37" s="1"/>
  <c r="EF196" i="37" a="1"/>
  <c r="EF196" i="37" s="1"/>
  <c r="EF197" i="37" a="1"/>
  <c r="EF197" i="37" s="1"/>
  <c r="EF198" i="37" a="1"/>
  <c r="EF198" i="37" s="1"/>
  <c r="EF199" i="37" a="1"/>
  <c r="EF199" i="37" s="1"/>
  <c r="EF200" i="37" a="1"/>
  <c r="EF200" i="37" s="1"/>
  <c r="EF201" i="37" a="1"/>
  <c r="EF201" i="37" s="1"/>
  <c r="EF202" i="37" a="1"/>
  <c r="EF202" i="37" s="1"/>
  <c r="EF203" i="37" a="1"/>
  <c r="EF203" i="37" s="1"/>
  <c r="EF204" i="37" a="1"/>
  <c r="EF204" i="37" s="1"/>
  <c r="EF205" i="37" a="1"/>
  <c r="EF205" i="37" s="1"/>
  <c r="EF206" i="37" a="1"/>
  <c r="EF206" i="37" s="1"/>
  <c r="EF207" i="37" a="1"/>
  <c r="EF207" i="37" s="1"/>
  <c r="EF208" i="37" a="1"/>
  <c r="EF208" i="37" s="1"/>
  <c r="EF209" i="37" a="1"/>
  <c r="EF209" i="37" s="1"/>
  <c r="EF210" i="37" a="1"/>
  <c r="EF210" i="37" s="1"/>
  <c r="EF211" i="37" a="1"/>
  <c r="EF211" i="37" s="1"/>
  <c r="EF212" i="37" a="1"/>
  <c r="EF212" i="37" s="1"/>
  <c r="EF213" i="37" a="1"/>
  <c r="EF213" i="37" s="1"/>
  <c r="EF214" i="37" a="1"/>
  <c r="EF214" i="37" s="1"/>
  <c r="EF215" i="37" a="1"/>
  <c r="EF215" i="37" s="1"/>
  <c r="EF216" i="37" a="1"/>
  <c r="EF216" i="37" s="1"/>
  <c r="EF217" i="37" a="1"/>
  <c r="EF217" i="37" s="1"/>
  <c r="EF218" i="37" a="1"/>
  <c r="EF218" i="37" s="1"/>
  <c r="EF219" i="37" a="1"/>
  <c r="EF219" i="37" s="1"/>
  <c r="EF220" i="37" a="1"/>
  <c r="EF220" i="37" s="1"/>
  <c r="EF221" i="37" a="1"/>
  <c r="EF221" i="37" s="1"/>
  <c r="EF222" i="37" a="1"/>
  <c r="EF222" i="37" s="1"/>
  <c r="EF223" i="37" a="1"/>
  <c r="EF223" i="37" s="1"/>
  <c r="EF224" i="37" a="1"/>
  <c r="EF224" i="37" s="1"/>
  <c r="EF225" i="37" a="1"/>
  <c r="EF225" i="37" s="1"/>
  <c r="EF226" i="37" a="1"/>
  <c r="EF226" i="37" s="1"/>
  <c r="EF227" i="37" a="1"/>
  <c r="EF227" i="37" s="1"/>
  <c r="EF228" i="37" a="1"/>
  <c r="EF228" i="37" s="1"/>
  <c r="EF229" i="37" a="1"/>
  <c r="EF229" i="37" s="1"/>
  <c r="EF230" i="37" a="1"/>
  <c r="EF230" i="37" s="1"/>
  <c r="EF231" i="37" a="1"/>
  <c r="EF231" i="37" s="1"/>
  <c r="EF232" i="37" a="1"/>
  <c r="EF232" i="37" s="1"/>
  <c r="EF233" i="37" a="1"/>
  <c r="EF233" i="37" s="1"/>
  <c r="EF234" i="37" a="1"/>
  <c r="EF234" i="37" s="1"/>
  <c r="EF235" i="37" a="1"/>
  <c r="EF235" i="37" s="1"/>
  <c r="EF236" i="37" a="1"/>
  <c r="EF236" i="37" s="1"/>
  <c r="EF237" i="37" a="1"/>
  <c r="EF237" i="37" s="1"/>
  <c r="EF238" i="37" a="1"/>
  <c r="EF238" i="37" s="1"/>
  <c r="EF239" i="37" a="1"/>
  <c r="EF239" i="37" s="1"/>
  <c r="EF240" i="37" a="1"/>
  <c r="EF240" i="37" s="1"/>
  <c r="EF241" i="37" a="1"/>
  <c r="EF241" i="37" s="1"/>
  <c r="EF242" i="37" a="1"/>
  <c r="EF242" i="37" s="1"/>
  <c r="EF243" i="37" a="1"/>
  <c r="EF243" i="37" s="1"/>
  <c r="EF244" i="37" a="1"/>
  <c r="EF244" i="37" s="1"/>
  <c r="EF245" i="37" a="1"/>
  <c r="EF245" i="37" s="1"/>
  <c r="EF246" i="37" a="1"/>
  <c r="EF246" i="37" s="1"/>
  <c r="EF247" i="37" a="1"/>
  <c r="EF247" i="37" s="1"/>
  <c r="EF248" i="37" a="1"/>
  <c r="EF248" i="37" s="1"/>
  <c r="EF249" i="37" a="1"/>
  <c r="EF249" i="37" s="1"/>
  <c r="EF250" i="37" a="1"/>
  <c r="EF250" i="37" s="1"/>
  <c r="EE11" i="37" a="1"/>
  <c r="EE11" i="37" s="1"/>
  <c r="EG11" i="37" s="1"/>
  <c r="EE12" i="37" a="1"/>
  <c r="EE12" i="37" s="1"/>
  <c r="EG12" i="37" s="1"/>
  <c r="EE13" i="37" a="1"/>
  <c r="EE13" i="37" s="1"/>
  <c r="EG13" i="37" s="1"/>
  <c r="EE14" i="37" a="1"/>
  <c r="EE14" i="37" s="1"/>
  <c r="EG14" i="37" s="1"/>
  <c r="EE15" i="37" a="1"/>
  <c r="EE15" i="37" s="1"/>
  <c r="EG15" i="37" s="1"/>
  <c r="EE16" i="37" a="1"/>
  <c r="EE16" i="37" s="1"/>
  <c r="EG16" i="37" s="1"/>
  <c r="EE17" i="37" a="1"/>
  <c r="EE17" i="37" s="1"/>
  <c r="EG17" i="37" s="1"/>
  <c r="EE18" i="37" a="1"/>
  <c r="EE18" i="37" s="1"/>
  <c r="EG18" i="37" s="1"/>
  <c r="EE19" i="37" a="1"/>
  <c r="EE19" i="37" s="1"/>
  <c r="EG19" i="37" s="1"/>
  <c r="EE20" i="37" a="1"/>
  <c r="EE20" i="37" s="1"/>
  <c r="EG20" i="37" s="1"/>
  <c r="EE21" i="37" a="1"/>
  <c r="EE21" i="37" s="1"/>
  <c r="EG21" i="37" s="1"/>
  <c r="EE22" i="37" a="1"/>
  <c r="EE22" i="37" s="1"/>
  <c r="EG22" i="37" s="1"/>
  <c r="EE23" i="37" a="1"/>
  <c r="EE23" i="37" s="1"/>
  <c r="EG23" i="37" s="1"/>
  <c r="EE24" i="37" a="1"/>
  <c r="EE24" i="37" s="1"/>
  <c r="EG24" i="37" s="1"/>
  <c r="EE25" i="37" a="1"/>
  <c r="EE25" i="37" s="1"/>
  <c r="EG25" i="37" s="1"/>
  <c r="EE26" i="37" a="1"/>
  <c r="EE26" i="37" s="1"/>
  <c r="EG26" i="37" s="1"/>
  <c r="EE27" i="37" a="1"/>
  <c r="EE27" i="37" s="1"/>
  <c r="EG27" i="37" s="1"/>
  <c r="EE28" i="37" a="1"/>
  <c r="EE28" i="37" s="1"/>
  <c r="EG28" i="37" s="1"/>
  <c r="EE29" i="37" a="1"/>
  <c r="EE29" i="37" s="1"/>
  <c r="EG29" i="37" s="1"/>
  <c r="EE30" i="37" a="1"/>
  <c r="EE30" i="37" s="1"/>
  <c r="EG30" i="37" s="1"/>
  <c r="EE31" i="37" a="1"/>
  <c r="EE31" i="37" s="1"/>
  <c r="EG31" i="37" s="1"/>
  <c r="EE32" i="37" a="1"/>
  <c r="EE32" i="37" s="1"/>
  <c r="EG32" i="37" s="1"/>
  <c r="EE33" i="37" a="1"/>
  <c r="EE33" i="37" s="1"/>
  <c r="EG33" i="37" s="1"/>
  <c r="EE34" i="37" a="1"/>
  <c r="EE34" i="37" s="1"/>
  <c r="EG34" i="37" s="1"/>
  <c r="EE35" i="37" a="1"/>
  <c r="EE35" i="37" s="1"/>
  <c r="EG35" i="37" s="1"/>
  <c r="EE36" i="37" a="1"/>
  <c r="EE36" i="37" s="1"/>
  <c r="EG36" i="37" s="1"/>
  <c r="EE37" i="37" a="1"/>
  <c r="EE37" i="37" s="1"/>
  <c r="EG37" i="37" s="1"/>
  <c r="EE38" i="37" a="1"/>
  <c r="EE38" i="37" s="1"/>
  <c r="EG38" i="37" s="1"/>
  <c r="EE39" i="37" a="1"/>
  <c r="EE39" i="37" s="1"/>
  <c r="EG39" i="37" s="1"/>
  <c r="EE40" i="37" a="1"/>
  <c r="EE40" i="37" s="1"/>
  <c r="EG40" i="37" s="1"/>
  <c r="EE41" i="37" a="1"/>
  <c r="EE41" i="37" s="1"/>
  <c r="EG41" i="37" s="1"/>
  <c r="EE42" i="37" a="1"/>
  <c r="EE42" i="37" s="1"/>
  <c r="EG42" i="37" s="1"/>
  <c r="EE43" i="37" a="1"/>
  <c r="EE43" i="37" s="1"/>
  <c r="EG43" i="37" s="1"/>
  <c r="EE44" i="37" a="1"/>
  <c r="EE44" i="37" s="1"/>
  <c r="EG44" i="37" s="1"/>
  <c r="EE45" i="37" a="1"/>
  <c r="EE45" i="37" s="1"/>
  <c r="EG45" i="37" s="1"/>
  <c r="EE46" i="37" a="1"/>
  <c r="EE46" i="37" s="1"/>
  <c r="EG46" i="37" s="1"/>
  <c r="EE47" i="37" a="1"/>
  <c r="EE47" i="37" s="1"/>
  <c r="EG47" i="37" s="1"/>
  <c r="EE48" i="37" a="1"/>
  <c r="EE48" i="37" s="1"/>
  <c r="EG48" i="37" s="1"/>
  <c r="EE49" i="37" a="1"/>
  <c r="EE49" i="37" s="1"/>
  <c r="EG49" i="37" s="1"/>
  <c r="EE50" i="37" a="1"/>
  <c r="EE50" i="37" s="1"/>
  <c r="EG50" i="37" s="1"/>
  <c r="EE51" i="37" a="1"/>
  <c r="EE51" i="37" s="1"/>
  <c r="EG51" i="37" s="1"/>
  <c r="EE52" i="37" a="1"/>
  <c r="EE52" i="37" s="1"/>
  <c r="EG52" i="37" s="1"/>
  <c r="EE53" i="37" a="1"/>
  <c r="EE53" i="37" s="1"/>
  <c r="EG53" i="37" s="1"/>
  <c r="EE54" i="37" a="1"/>
  <c r="EE54" i="37" s="1"/>
  <c r="EG54" i="37" s="1"/>
  <c r="EE55" i="37" a="1"/>
  <c r="EE55" i="37" s="1"/>
  <c r="EG55" i="37" s="1"/>
  <c r="EE56" i="37" a="1"/>
  <c r="EE56" i="37" s="1"/>
  <c r="EG56" i="37" s="1"/>
  <c r="EE57" i="37" a="1"/>
  <c r="EE57" i="37" s="1"/>
  <c r="EG57" i="37" s="1"/>
  <c r="EE58" i="37" a="1"/>
  <c r="EE58" i="37" s="1"/>
  <c r="EG58" i="37" s="1"/>
  <c r="EE59" i="37" a="1"/>
  <c r="EE59" i="37" s="1"/>
  <c r="EG59" i="37" s="1"/>
  <c r="EE60" i="37" a="1"/>
  <c r="EE60" i="37" s="1"/>
  <c r="EG60" i="37" s="1"/>
  <c r="EE61" i="37" a="1"/>
  <c r="EE61" i="37" s="1"/>
  <c r="EG61" i="37" s="1"/>
  <c r="EE62" i="37" a="1"/>
  <c r="EE62" i="37" s="1"/>
  <c r="EG62" i="37" s="1"/>
  <c r="EE63" i="37" a="1"/>
  <c r="EE63" i="37" s="1"/>
  <c r="EG63" i="37" s="1"/>
  <c r="EE64" i="37" a="1"/>
  <c r="EE64" i="37" s="1"/>
  <c r="EG64" i="37" s="1"/>
  <c r="EE65" i="37" a="1"/>
  <c r="EE65" i="37" s="1"/>
  <c r="EG65" i="37" s="1"/>
  <c r="EE66" i="37" a="1"/>
  <c r="EE66" i="37" s="1"/>
  <c r="EG66" i="37" s="1"/>
  <c r="EE67" i="37" a="1"/>
  <c r="EE67" i="37" s="1"/>
  <c r="EG67" i="37" s="1"/>
  <c r="EE68" i="37" a="1"/>
  <c r="EE68" i="37" s="1"/>
  <c r="EG68" i="37" s="1"/>
  <c r="EE69" i="37" a="1"/>
  <c r="EE69" i="37" s="1"/>
  <c r="EG69" i="37" s="1"/>
  <c r="EE70" i="37" a="1"/>
  <c r="EE70" i="37" s="1"/>
  <c r="EG70" i="37" s="1"/>
  <c r="EE71" i="37" a="1"/>
  <c r="EE71" i="37" s="1"/>
  <c r="EG71" i="37" s="1"/>
  <c r="EE72" i="37" a="1"/>
  <c r="EE72" i="37" s="1"/>
  <c r="EG72" i="37" s="1"/>
  <c r="EE73" i="37" a="1"/>
  <c r="EE73" i="37" s="1"/>
  <c r="EG73" i="37" s="1"/>
  <c r="EE74" i="37" a="1"/>
  <c r="EE74" i="37" s="1"/>
  <c r="EG74" i="37" s="1"/>
  <c r="EE75" i="37" a="1"/>
  <c r="EE75" i="37" s="1"/>
  <c r="EG75" i="37" s="1"/>
  <c r="EE76" i="37" a="1"/>
  <c r="EE76" i="37" s="1"/>
  <c r="EG76" i="37" s="1"/>
  <c r="EE77" i="37" a="1"/>
  <c r="EE77" i="37" s="1"/>
  <c r="EG77" i="37" s="1"/>
  <c r="EE78" i="37" a="1"/>
  <c r="EE78" i="37" s="1"/>
  <c r="EG78" i="37" s="1"/>
  <c r="EE79" i="37" a="1"/>
  <c r="EE79" i="37" s="1"/>
  <c r="EG79" i="37" s="1"/>
  <c r="EE80" i="37" a="1"/>
  <c r="EE80" i="37" s="1"/>
  <c r="EG80" i="37" s="1"/>
  <c r="EE81" i="37" a="1"/>
  <c r="EE81" i="37" s="1"/>
  <c r="EG81" i="37" s="1"/>
  <c r="EE82" i="37" a="1"/>
  <c r="EE82" i="37" s="1"/>
  <c r="EG82" i="37" s="1"/>
  <c r="EE83" i="37" a="1"/>
  <c r="EE83" i="37" s="1"/>
  <c r="EG83" i="37" s="1"/>
  <c r="EE84" i="37" a="1"/>
  <c r="EE84" i="37" s="1"/>
  <c r="EG84" i="37" s="1"/>
  <c r="EE85" i="37" a="1"/>
  <c r="EE85" i="37" s="1"/>
  <c r="EG85" i="37" s="1"/>
  <c r="EE86" i="37" a="1"/>
  <c r="EE86" i="37" s="1"/>
  <c r="EG86" i="37" s="1"/>
  <c r="EE87" i="37" a="1"/>
  <c r="EE87" i="37" s="1"/>
  <c r="EG87" i="37" s="1"/>
  <c r="EE88" i="37" a="1"/>
  <c r="EE88" i="37" s="1"/>
  <c r="EG88" i="37" s="1"/>
  <c r="EE89" i="37" a="1"/>
  <c r="EE89" i="37" s="1"/>
  <c r="EG89" i="37" s="1"/>
  <c r="EE90" i="37" a="1"/>
  <c r="EE90" i="37" s="1"/>
  <c r="EG90" i="37" s="1"/>
  <c r="EE91" i="37" a="1"/>
  <c r="EE91" i="37" s="1"/>
  <c r="EG91" i="37" s="1"/>
  <c r="EE92" i="37" a="1"/>
  <c r="EE92" i="37" s="1"/>
  <c r="EG92" i="37" s="1"/>
  <c r="EE93" i="37" a="1"/>
  <c r="EE93" i="37" s="1"/>
  <c r="EG93" i="37" s="1"/>
  <c r="EE94" i="37" a="1"/>
  <c r="EE94" i="37" s="1"/>
  <c r="EG94" i="37" s="1"/>
  <c r="EE95" i="37" a="1"/>
  <c r="EE95" i="37" s="1"/>
  <c r="EG95" i="37" s="1"/>
  <c r="EE96" i="37" a="1"/>
  <c r="EE96" i="37" s="1"/>
  <c r="EG96" i="37" s="1"/>
  <c r="EE97" i="37" a="1"/>
  <c r="EE97" i="37" s="1"/>
  <c r="EG97" i="37" s="1"/>
  <c r="EE98" i="37" a="1"/>
  <c r="EE98" i="37" s="1"/>
  <c r="EG98" i="37" s="1"/>
  <c r="EE99" i="37" a="1"/>
  <c r="EE99" i="37" s="1"/>
  <c r="EG99" i="37" s="1"/>
  <c r="EE100" i="37" a="1"/>
  <c r="EE100" i="37" s="1"/>
  <c r="EG100" i="37" s="1"/>
  <c r="EE101" i="37" a="1"/>
  <c r="EE101" i="37" s="1"/>
  <c r="EG101" i="37" s="1"/>
  <c r="EE102" i="37" a="1"/>
  <c r="EE102" i="37" s="1"/>
  <c r="EG102" i="37" s="1"/>
  <c r="EE103" i="37" a="1"/>
  <c r="EE103" i="37" s="1"/>
  <c r="EG103" i="37" s="1"/>
  <c r="EE104" i="37" a="1"/>
  <c r="EE104" i="37" s="1"/>
  <c r="EG104" i="37" s="1"/>
  <c r="EE105" i="37" a="1"/>
  <c r="EE105" i="37" s="1"/>
  <c r="EG105" i="37" s="1"/>
  <c r="EE106" i="37" a="1"/>
  <c r="EE106" i="37" s="1"/>
  <c r="EG106" i="37" s="1"/>
  <c r="EE107" i="37" a="1"/>
  <c r="EE107" i="37" s="1"/>
  <c r="EG107" i="37" s="1"/>
  <c r="EE108" i="37" a="1"/>
  <c r="EE108" i="37" s="1"/>
  <c r="EG108" i="37" s="1"/>
  <c r="EE109" i="37" a="1"/>
  <c r="EE109" i="37" s="1"/>
  <c r="EG109" i="37" s="1"/>
  <c r="EE110" i="37" a="1"/>
  <c r="EE110" i="37" s="1"/>
  <c r="EG110" i="37" s="1"/>
  <c r="EE111" i="37" a="1"/>
  <c r="EE111" i="37" s="1"/>
  <c r="EG111" i="37" s="1"/>
  <c r="EE112" i="37" a="1"/>
  <c r="EE112" i="37" s="1"/>
  <c r="EG112" i="37" s="1"/>
  <c r="EE113" i="37" a="1"/>
  <c r="EE113" i="37" s="1"/>
  <c r="EG113" i="37" s="1"/>
  <c r="EE114" i="37" a="1"/>
  <c r="EE114" i="37" s="1"/>
  <c r="EG114" i="37" s="1"/>
  <c r="EE115" i="37" a="1"/>
  <c r="EE115" i="37" s="1"/>
  <c r="EG115" i="37" s="1"/>
  <c r="EE116" i="37" a="1"/>
  <c r="EE116" i="37" s="1"/>
  <c r="EG116" i="37" s="1"/>
  <c r="EE117" i="37" a="1"/>
  <c r="EE117" i="37" s="1"/>
  <c r="EG117" i="37" s="1"/>
  <c r="EE118" i="37" a="1"/>
  <c r="EE118" i="37" s="1"/>
  <c r="EG118" i="37" s="1"/>
  <c r="EE119" i="37" a="1"/>
  <c r="EE119" i="37" s="1"/>
  <c r="EG119" i="37" s="1"/>
  <c r="EE120" i="37" a="1"/>
  <c r="EE120" i="37" s="1"/>
  <c r="EG120" i="37" s="1"/>
  <c r="EE121" i="37" a="1"/>
  <c r="EE121" i="37" s="1"/>
  <c r="EG121" i="37" s="1"/>
  <c r="EE122" i="37" a="1"/>
  <c r="EE122" i="37" s="1"/>
  <c r="EG122" i="37" s="1"/>
  <c r="EE123" i="37" a="1"/>
  <c r="EE123" i="37" s="1"/>
  <c r="EG123" i="37" s="1"/>
  <c r="EE124" i="37" a="1"/>
  <c r="EE124" i="37" s="1"/>
  <c r="EG124" i="37" s="1"/>
  <c r="EE125" i="37" a="1"/>
  <c r="EE125" i="37" s="1"/>
  <c r="EG125" i="37" s="1"/>
  <c r="EE126" i="37" a="1"/>
  <c r="EE126" i="37" s="1"/>
  <c r="EG126" i="37" s="1"/>
  <c r="EE127" i="37" a="1"/>
  <c r="EE127" i="37" s="1"/>
  <c r="EG127" i="37" s="1"/>
  <c r="EE128" i="37" a="1"/>
  <c r="EE128" i="37" s="1"/>
  <c r="EG128" i="37" s="1"/>
  <c r="EE129" i="37" a="1"/>
  <c r="EE129" i="37" s="1"/>
  <c r="EG129" i="37" s="1"/>
  <c r="EE130" i="37" a="1"/>
  <c r="EE130" i="37" s="1"/>
  <c r="EG130" i="37" s="1"/>
  <c r="EE131" i="37" a="1"/>
  <c r="EE131" i="37" s="1"/>
  <c r="EG131" i="37" s="1"/>
  <c r="EE132" i="37" a="1"/>
  <c r="EE132" i="37" s="1"/>
  <c r="EG132" i="37" s="1"/>
  <c r="EE133" i="37" a="1"/>
  <c r="EE133" i="37" s="1"/>
  <c r="EG133" i="37" s="1"/>
  <c r="EE134" i="37" a="1"/>
  <c r="EE134" i="37" s="1"/>
  <c r="EG134" i="37" s="1"/>
  <c r="EE135" i="37" a="1"/>
  <c r="EE135" i="37" s="1"/>
  <c r="EG135" i="37" s="1"/>
  <c r="EE136" i="37" a="1"/>
  <c r="EE136" i="37" s="1"/>
  <c r="EG136" i="37" s="1"/>
  <c r="EE137" i="37" a="1"/>
  <c r="EE137" i="37" s="1"/>
  <c r="EG137" i="37" s="1"/>
  <c r="EE138" i="37" a="1"/>
  <c r="EE138" i="37" s="1"/>
  <c r="EG138" i="37" s="1"/>
  <c r="EE139" i="37" a="1"/>
  <c r="EE139" i="37" s="1"/>
  <c r="EG139" i="37" s="1"/>
  <c r="EE140" i="37" a="1"/>
  <c r="EE140" i="37" s="1"/>
  <c r="EG140" i="37" s="1"/>
  <c r="EE141" i="37" a="1"/>
  <c r="EE141" i="37" s="1"/>
  <c r="EG141" i="37" s="1"/>
  <c r="EE142" i="37" a="1"/>
  <c r="EE142" i="37" s="1"/>
  <c r="EG142" i="37" s="1"/>
  <c r="EE143" i="37" a="1"/>
  <c r="EE143" i="37" s="1"/>
  <c r="EG143" i="37" s="1"/>
  <c r="EE144" i="37" a="1"/>
  <c r="EE144" i="37" s="1"/>
  <c r="EG144" i="37" s="1"/>
  <c r="EE145" i="37" a="1"/>
  <c r="EE145" i="37" s="1"/>
  <c r="EG145" i="37" s="1"/>
  <c r="EE146" i="37" a="1"/>
  <c r="EE146" i="37" s="1"/>
  <c r="EG146" i="37" s="1"/>
  <c r="EE147" i="37" a="1"/>
  <c r="EE147" i="37" s="1"/>
  <c r="EG147" i="37" s="1"/>
  <c r="EE148" i="37" a="1"/>
  <c r="EE148" i="37" s="1"/>
  <c r="EG148" i="37" s="1"/>
  <c r="EE149" i="37" a="1"/>
  <c r="EE149" i="37" s="1"/>
  <c r="EG149" i="37" s="1"/>
  <c r="EE150" i="37" a="1"/>
  <c r="EE150" i="37" s="1"/>
  <c r="EG150" i="37" s="1"/>
  <c r="EE151" i="37" a="1"/>
  <c r="EE151" i="37" s="1"/>
  <c r="EG151" i="37" s="1"/>
  <c r="EE152" i="37" a="1"/>
  <c r="EE152" i="37" s="1"/>
  <c r="EG152" i="37" s="1"/>
  <c r="EE153" i="37" a="1"/>
  <c r="EE153" i="37" s="1"/>
  <c r="EG153" i="37" s="1"/>
  <c r="EE154" i="37" a="1"/>
  <c r="EE154" i="37" s="1"/>
  <c r="EG154" i="37" s="1"/>
  <c r="EE155" i="37" a="1"/>
  <c r="EE155" i="37" s="1"/>
  <c r="EG155" i="37" s="1"/>
  <c r="EE156" i="37" a="1"/>
  <c r="EE156" i="37" s="1"/>
  <c r="EG156" i="37" s="1"/>
  <c r="EE157" i="37" a="1"/>
  <c r="EE157" i="37" s="1"/>
  <c r="EG157" i="37" s="1"/>
  <c r="EE158" i="37" a="1"/>
  <c r="EE158" i="37" s="1"/>
  <c r="EG158" i="37" s="1"/>
  <c r="EE159" i="37" a="1"/>
  <c r="EE159" i="37" s="1"/>
  <c r="EG159" i="37" s="1"/>
  <c r="EE160" i="37" a="1"/>
  <c r="EE160" i="37" s="1"/>
  <c r="EG160" i="37" s="1"/>
  <c r="EE161" i="37" a="1"/>
  <c r="EE161" i="37" s="1"/>
  <c r="EG161" i="37" s="1"/>
  <c r="EE162" i="37" a="1"/>
  <c r="EE162" i="37" s="1"/>
  <c r="EG162" i="37" s="1"/>
  <c r="EE163" i="37" a="1"/>
  <c r="EE163" i="37" s="1"/>
  <c r="EG163" i="37" s="1"/>
  <c r="EE164" i="37" a="1"/>
  <c r="EE164" i="37" s="1"/>
  <c r="EG164" i="37" s="1"/>
  <c r="EE165" i="37" a="1"/>
  <c r="EE165" i="37" s="1"/>
  <c r="EG165" i="37" s="1"/>
  <c r="EE166" i="37" a="1"/>
  <c r="EE166" i="37" s="1"/>
  <c r="EG166" i="37" s="1"/>
  <c r="EE167" i="37" a="1"/>
  <c r="EE167" i="37" s="1"/>
  <c r="EG167" i="37" s="1"/>
  <c r="EE168" i="37" a="1"/>
  <c r="EE168" i="37" s="1"/>
  <c r="EG168" i="37" s="1"/>
  <c r="EE169" i="37" a="1"/>
  <c r="EE169" i="37" s="1"/>
  <c r="EG169" i="37" s="1"/>
  <c r="EE170" i="37" a="1"/>
  <c r="EE170" i="37" s="1"/>
  <c r="EG170" i="37" s="1"/>
  <c r="EE171" i="37" a="1"/>
  <c r="EE171" i="37" s="1"/>
  <c r="EG171" i="37" s="1"/>
  <c r="EE172" i="37" a="1"/>
  <c r="EE172" i="37" s="1"/>
  <c r="EG172" i="37" s="1"/>
  <c r="EE173" i="37" a="1"/>
  <c r="EE173" i="37" s="1"/>
  <c r="EG173" i="37" s="1"/>
  <c r="EE174" i="37" a="1"/>
  <c r="EE174" i="37" s="1"/>
  <c r="EG174" i="37" s="1"/>
  <c r="EE175" i="37" a="1"/>
  <c r="EE175" i="37" s="1"/>
  <c r="EG175" i="37" s="1"/>
  <c r="EE176" i="37" a="1"/>
  <c r="EE176" i="37" s="1"/>
  <c r="EE177" i="37" a="1"/>
  <c r="EE177" i="37" s="1"/>
  <c r="EE178" i="37" a="1"/>
  <c r="EE178" i="37" s="1"/>
  <c r="EE179" i="37" a="1"/>
  <c r="EE179" i="37" s="1"/>
  <c r="EE180" i="37" a="1"/>
  <c r="EE180" i="37" s="1"/>
  <c r="EE181" i="37" a="1"/>
  <c r="EE181" i="37" s="1"/>
  <c r="EE182" i="37" a="1"/>
  <c r="EE182" i="37" s="1"/>
  <c r="EE183" i="37" a="1"/>
  <c r="EE183" i="37" s="1"/>
  <c r="EE184" i="37" a="1"/>
  <c r="EE184" i="37" s="1"/>
  <c r="EE185" i="37" a="1"/>
  <c r="EE185" i="37" s="1"/>
  <c r="EE186" i="37" a="1"/>
  <c r="EE186" i="37" s="1"/>
  <c r="EE187" i="37" a="1"/>
  <c r="EE187" i="37" s="1"/>
  <c r="EE188" i="37" a="1"/>
  <c r="EE188" i="37" s="1"/>
  <c r="EE189" i="37" a="1"/>
  <c r="EE189" i="37" s="1"/>
  <c r="EE190" i="37" a="1"/>
  <c r="EE190" i="37" s="1"/>
  <c r="EE191" i="37" a="1"/>
  <c r="EE191" i="37" s="1"/>
  <c r="EE192" i="37" a="1"/>
  <c r="EE192" i="37" s="1"/>
  <c r="EE193" i="37" a="1"/>
  <c r="EE193" i="37" s="1"/>
  <c r="EE194" i="37" a="1"/>
  <c r="EE194" i="37" s="1"/>
  <c r="EE195" i="37" a="1"/>
  <c r="EE195" i="37" s="1"/>
  <c r="EE196" i="37" a="1"/>
  <c r="EE196" i="37" s="1"/>
  <c r="EE197" i="37" a="1"/>
  <c r="EE197" i="37" s="1"/>
  <c r="EE198" i="37" a="1"/>
  <c r="EE198" i="37" s="1"/>
  <c r="EE199" i="37" a="1"/>
  <c r="EE199" i="37" s="1"/>
  <c r="EE200" i="37" a="1"/>
  <c r="EE200" i="37" s="1"/>
  <c r="EE201" i="37" a="1"/>
  <c r="EE201" i="37" s="1"/>
  <c r="EE202" i="37" a="1"/>
  <c r="EE202" i="37" s="1"/>
  <c r="EE203" i="37" a="1"/>
  <c r="EE203" i="37" s="1"/>
  <c r="EE204" i="37" a="1"/>
  <c r="EE204" i="37" s="1"/>
  <c r="EE205" i="37" a="1"/>
  <c r="EE205" i="37" s="1"/>
  <c r="EE206" i="37" a="1"/>
  <c r="EE206" i="37" s="1"/>
  <c r="EE207" i="37" a="1"/>
  <c r="EE207" i="37" s="1"/>
  <c r="EE208" i="37" a="1"/>
  <c r="EE208" i="37" s="1"/>
  <c r="EE209" i="37" a="1"/>
  <c r="EE209" i="37" s="1"/>
  <c r="EE210" i="37" a="1"/>
  <c r="EE210" i="37" s="1"/>
  <c r="EE211" i="37" a="1"/>
  <c r="EE211" i="37" s="1"/>
  <c r="EE212" i="37" a="1"/>
  <c r="EE212" i="37" s="1"/>
  <c r="EE213" i="37" a="1"/>
  <c r="EE213" i="37" s="1"/>
  <c r="EE214" i="37" a="1"/>
  <c r="EE214" i="37" s="1"/>
  <c r="EE215" i="37" a="1"/>
  <c r="EE215" i="37" s="1"/>
  <c r="EE216" i="37" a="1"/>
  <c r="EE216" i="37" s="1"/>
  <c r="EE217" i="37" a="1"/>
  <c r="EE217" i="37" s="1"/>
  <c r="EE218" i="37" a="1"/>
  <c r="EE218" i="37" s="1"/>
  <c r="EE219" i="37" a="1"/>
  <c r="EE219" i="37" s="1"/>
  <c r="EE220" i="37" a="1"/>
  <c r="EE220" i="37" s="1"/>
  <c r="EE221" i="37" a="1"/>
  <c r="EE221" i="37" s="1"/>
  <c r="EE222" i="37" a="1"/>
  <c r="EE222" i="37" s="1"/>
  <c r="EE223" i="37" a="1"/>
  <c r="EE223" i="37" s="1"/>
  <c r="EE224" i="37" a="1"/>
  <c r="EE224" i="37" s="1"/>
  <c r="EE225" i="37" a="1"/>
  <c r="EE225" i="37" s="1"/>
  <c r="EE226" i="37" a="1"/>
  <c r="EE226" i="37" s="1"/>
  <c r="EE227" i="37" a="1"/>
  <c r="EE227" i="37" s="1"/>
  <c r="EE228" i="37" a="1"/>
  <c r="EE228" i="37" s="1"/>
  <c r="EE229" i="37" a="1"/>
  <c r="EE229" i="37" s="1"/>
  <c r="EE230" i="37" a="1"/>
  <c r="EE230" i="37" s="1"/>
  <c r="EE231" i="37" a="1"/>
  <c r="EE231" i="37" s="1"/>
  <c r="EE232" i="37" a="1"/>
  <c r="EE232" i="37" s="1"/>
  <c r="EE233" i="37" a="1"/>
  <c r="EE233" i="37" s="1"/>
  <c r="EE234" i="37" a="1"/>
  <c r="EE234" i="37" s="1"/>
  <c r="EE235" i="37" a="1"/>
  <c r="EE235" i="37" s="1"/>
  <c r="EE236" i="37" a="1"/>
  <c r="EE236" i="37" s="1"/>
  <c r="EE237" i="37" a="1"/>
  <c r="EE237" i="37" s="1"/>
  <c r="EE238" i="37" a="1"/>
  <c r="EE238" i="37" s="1"/>
  <c r="EE239" i="37" a="1"/>
  <c r="EE239" i="37" s="1"/>
  <c r="EE240" i="37" a="1"/>
  <c r="EE240" i="37" s="1"/>
  <c r="EE241" i="37" a="1"/>
  <c r="EE241" i="37" s="1"/>
  <c r="EE242" i="37" a="1"/>
  <c r="EE242" i="37" s="1"/>
  <c r="EE243" i="37" a="1"/>
  <c r="EE243" i="37" s="1"/>
  <c r="EE244" i="37" a="1"/>
  <c r="EE244" i="37" s="1"/>
  <c r="EE245" i="37" a="1"/>
  <c r="EE245" i="37" s="1"/>
  <c r="EE246" i="37" a="1"/>
  <c r="EE246" i="37" s="1"/>
  <c r="EE247" i="37" a="1"/>
  <c r="EE247" i="37" s="1"/>
  <c r="EE248" i="37" a="1"/>
  <c r="EE248" i="37" s="1"/>
  <c r="EE249" i="37" a="1"/>
  <c r="EE249" i="37" s="1"/>
  <c r="EE250" i="37" a="1"/>
  <c r="EE250" i="37" s="1"/>
  <c r="EO41" i="37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EG227" i="37" l="1"/>
  <c r="EK227" i="37"/>
  <c r="EG225" i="37"/>
  <c r="EK225" i="37"/>
  <c r="EG248" i="37"/>
  <c r="EK248" i="37"/>
  <c r="EG236" i="37"/>
  <c r="EK236" i="37"/>
  <c r="EG224" i="37"/>
  <c r="EK224" i="37"/>
  <c r="EG212" i="37"/>
  <c r="EK212" i="37"/>
  <c r="EG200" i="37"/>
  <c r="EK200" i="37"/>
  <c r="EG188" i="37"/>
  <c r="EI188" i="37" s="1"/>
  <c r="EK188" i="37" s="1"/>
  <c r="EG176" i="37"/>
  <c r="EI176" i="37" s="1"/>
  <c r="EK176" i="37" s="1"/>
  <c r="EG179" i="37"/>
  <c r="EI179" i="37" s="1"/>
  <c r="EK179" i="37" s="1"/>
  <c r="EG235" i="37"/>
  <c r="EK235" i="37"/>
  <c r="EG223" i="37"/>
  <c r="EK223" i="37"/>
  <c r="EG211" i="37"/>
  <c r="EK211" i="37"/>
  <c r="EG199" i="37"/>
  <c r="EK199" i="37"/>
  <c r="EG187" i="37"/>
  <c r="EI187" i="37" s="1"/>
  <c r="EK187" i="37" s="1"/>
  <c r="EG237" i="37"/>
  <c r="EK237" i="37"/>
  <c r="EG234" i="37"/>
  <c r="EK234" i="37"/>
  <c r="EG222" i="37"/>
  <c r="EK222" i="37"/>
  <c r="EG210" i="37"/>
  <c r="EK210" i="37"/>
  <c r="EG198" i="37"/>
  <c r="EK198" i="37"/>
  <c r="EG186" i="37"/>
  <c r="EG245" i="37"/>
  <c r="EK245" i="37"/>
  <c r="EG221" i="37"/>
  <c r="EK221" i="37"/>
  <c r="EG209" i="37"/>
  <c r="EK209" i="37"/>
  <c r="EG197" i="37"/>
  <c r="EK197" i="37"/>
  <c r="EG185" i="37"/>
  <c r="EI185" i="37" s="1"/>
  <c r="EK185" i="37" s="1"/>
  <c r="EG246" i="37"/>
  <c r="EK246" i="37"/>
  <c r="EG244" i="37"/>
  <c r="EK244" i="37"/>
  <c r="EG220" i="37"/>
  <c r="EK220" i="37"/>
  <c r="EG208" i="37"/>
  <c r="EK208" i="37"/>
  <c r="EG196" i="37"/>
  <c r="EK196" i="37"/>
  <c r="EG184" i="37"/>
  <c r="EI184" i="37" s="1"/>
  <c r="EK184" i="37" s="1"/>
  <c r="EG249" i="37"/>
  <c r="EK249" i="37"/>
  <c r="EG233" i="37"/>
  <c r="EK233" i="37"/>
  <c r="EG232" i="37"/>
  <c r="EK232" i="37"/>
  <c r="EG243" i="37"/>
  <c r="EK243" i="37"/>
  <c r="EG231" i="37"/>
  <c r="EK231" i="37"/>
  <c r="EG219" i="37"/>
  <c r="EK219" i="37"/>
  <c r="EG207" i="37"/>
  <c r="EK207" i="37"/>
  <c r="EG195" i="37"/>
  <c r="EK195" i="37"/>
  <c r="EG183" i="37"/>
  <c r="EI183" i="37" s="1"/>
  <c r="EK183" i="37" s="1"/>
  <c r="EG215" i="37"/>
  <c r="EK215" i="37"/>
  <c r="EG247" i="37"/>
  <c r="EK247" i="37"/>
  <c r="EG242" i="37"/>
  <c r="EK242" i="37"/>
  <c r="EG230" i="37"/>
  <c r="EK230" i="37"/>
  <c r="EG218" i="37"/>
  <c r="EK218" i="37"/>
  <c r="EG206" i="37"/>
  <c r="EK206" i="37"/>
  <c r="EG194" i="37"/>
  <c r="EK194" i="37"/>
  <c r="EG182" i="37"/>
  <c r="EI182" i="37" s="1"/>
  <c r="EK182" i="37" s="1"/>
  <c r="EG241" i="37"/>
  <c r="EK241" i="37"/>
  <c r="EG229" i="37"/>
  <c r="EK229" i="37"/>
  <c r="EG217" i="37"/>
  <c r="EK217" i="37"/>
  <c r="EG205" i="37"/>
  <c r="EK205" i="37"/>
  <c r="EG193" i="37"/>
  <c r="EK193" i="37"/>
  <c r="EG181" i="37"/>
  <c r="EI181" i="37" s="1"/>
  <c r="EK181" i="37" s="1"/>
  <c r="EG239" i="37"/>
  <c r="EK239" i="37"/>
  <c r="EG240" i="37"/>
  <c r="EK240" i="37"/>
  <c r="EG228" i="37"/>
  <c r="EK228" i="37"/>
  <c r="EG216" i="37"/>
  <c r="EK216" i="37"/>
  <c r="EG204" i="37"/>
  <c r="EK204" i="37"/>
  <c r="EG192" i="37"/>
  <c r="EK192" i="37"/>
  <c r="EG180" i="37"/>
  <c r="EI180" i="37" s="1"/>
  <c r="EK180" i="37" s="1"/>
  <c r="EG203" i="37"/>
  <c r="EK203" i="37"/>
  <c r="EG250" i="37"/>
  <c r="EK250" i="37"/>
  <c r="EG238" i="37"/>
  <c r="EK238" i="37"/>
  <c r="EG226" i="37"/>
  <c r="EK226" i="37"/>
  <c r="EG214" i="37"/>
  <c r="EK214" i="37"/>
  <c r="EG202" i="37"/>
  <c r="EK202" i="37"/>
  <c r="EG190" i="37"/>
  <c r="EG178" i="37"/>
  <c r="EI178" i="37" s="1"/>
  <c r="EK178" i="37" s="1"/>
  <c r="EG191" i="37"/>
  <c r="EK191" i="37"/>
  <c r="EG213" i="37"/>
  <c r="EK213" i="37"/>
  <c r="EG201" i="37"/>
  <c r="EK201" i="37"/>
  <c r="EG189" i="37"/>
  <c r="EG177" i="37"/>
  <c r="EI177" i="37" s="1"/>
  <c r="EK177" i="37" s="1"/>
  <c r="EI248" i="37"/>
  <c r="EI235" i="37"/>
  <c r="EI246" i="37"/>
  <c r="EI234" i="37"/>
  <c r="EI222" i="37"/>
  <c r="EI210" i="37"/>
  <c r="EI198" i="37"/>
  <c r="EI186" i="37"/>
  <c r="EK186" i="37" s="1"/>
  <c r="EI212" i="37"/>
  <c r="EI199" i="37"/>
  <c r="EI233" i="37"/>
  <c r="EI244" i="37"/>
  <c r="EI232" i="37"/>
  <c r="EI220" i="37"/>
  <c r="EI208" i="37"/>
  <c r="EI196" i="37"/>
  <c r="EI197" i="37"/>
  <c r="EI243" i="37"/>
  <c r="EI231" i="37"/>
  <c r="EI219" i="37"/>
  <c r="EI207" i="37"/>
  <c r="EI195" i="37"/>
  <c r="EI221" i="37"/>
  <c r="EI230" i="37"/>
  <c r="EI218" i="37"/>
  <c r="EI206" i="37"/>
  <c r="EI194" i="37"/>
  <c r="EI224" i="37"/>
  <c r="EI247" i="37"/>
  <c r="EI241" i="37"/>
  <c r="EI229" i="37"/>
  <c r="EI217" i="37"/>
  <c r="EI205" i="37"/>
  <c r="EI193" i="37"/>
  <c r="EI242" i="37"/>
  <c r="EI228" i="37"/>
  <c r="EI216" i="37"/>
  <c r="EI204" i="37"/>
  <c r="EI192" i="37"/>
  <c r="EI200" i="37"/>
  <c r="EI211" i="37"/>
  <c r="EI245" i="37"/>
  <c r="EI240" i="37"/>
  <c r="EI239" i="37"/>
  <c r="EI227" i="37"/>
  <c r="EI215" i="37"/>
  <c r="EI203" i="37"/>
  <c r="EI191" i="37"/>
  <c r="EI209" i="37"/>
  <c r="EI250" i="37"/>
  <c r="EI238" i="37"/>
  <c r="EI226" i="37"/>
  <c r="EI214" i="37"/>
  <c r="EI202" i="37"/>
  <c r="EI190" i="37"/>
  <c r="EK190" i="37" s="1"/>
  <c r="EI236" i="37"/>
  <c r="EI223" i="37"/>
  <c r="EI249" i="37"/>
  <c r="EI237" i="37"/>
  <c r="EI225" i="37"/>
  <c r="EI213" i="37"/>
  <c r="EI201" i="37"/>
  <c r="EI189" i="37"/>
  <c r="EK189" i="37" s="1"/>
  <c r="EK7" i="37"/>
  <c r="EI175" i="37"/>
  <c r="EK175" i="37" s="1"/>
  <c r="EI163" i="37"/>
  <c r="EK163" i="37" s="1"/>
  <c r="EI151" i="37"/>
  <c r="EK151" i="37" s="1"/>
  <c r="EI139" i="37"/>
  <c r="EK139" i="37" s="1"/>
  <c r="EI127" i="37"/>
  <c r="EK127" i="37" s="1"/>
  <c r="EI115" i="37"/>
  <c r="EK115" i="37" s="1"/>
  <c r="EI103" i="37"/>
  <c r="EK103" i="37" s="1"/>
  <c r="EI91" i="37"/>
  <c r="EK91" i="37" s="1"/>
  <c r="EI79" i="37"/>
  <c r="EK79" i="37" s="1"/>
  <c r="EI67" i="37"/>
  <c r="EK67" i="37" s="1"/>
  <c r="EI55" i="37"/>
  <c r="EK55" i="37" s="1"/>
  <c r="EI43" i="37"/>
  <c r="EK43" i="37" s="1"/>
  <c r="EI31" i="37"/>
  <c r="EK31" i="37" s="1"/>
  <c r="EI19" i="37"/>
  <c r="EK19" i="37" s="1"/>
  <c r="EI174" i="37"/>
  <c r="EK174" i="37" s="1"/>
  <c r="EI162" i="37"/>
  <c r="EK162" i="37" s="1"/>
  <c r="EI150" i="37"/>
  <c r="EK150" i="37" s="1"/>
  <c r="EI138" i="37"/>
  <c r="EK138" i="37" s="1"/>
  <c r="EI126" i="37"/>
  <c r="EK126" i="37" s="1"/>
  <c r="EI114" i="37"/>
  <c r="EK114" i="37" s="1"/>
  <c r="EI102" i="37"/>
  <c r="EK102" i="37" s="1"/>
  <c r="EI90" i="37"/>
  <c r="EK90" i="37" s="1"/>
  <c r="EI78" i="37"/>
  <c r="EK78" i="37" s="1"/>
  <c r="EI66" i="37"/>
  <c r="EK66" i="37" s="1"/>
  <c r="EI54" i="37"/>
  <c r="EK54" i="37" s="1"/>
  <c r="EI42" i="37"/>
  <c r="EK42" i="37" s="1"/>
  <c r="EI30" i="37"/>
  <c r="EK30" i="37" s="1"/>
  <c r="EI18" i="37"/>
  <c r="EK18" i="37" s="1"/>
  <c r="EI173" i="37"/>
  <c r="EK173" i="37" s="1"/>
  <c r="EI161" i="37"/>
  <c r="EK161" i="37" s="1"/>
  <c r="EI149" i="37"/>
  <c r="EK149" i="37" s="1"/>
  <c r="EI137" i="37"/>
  <c r="EK137" i="37" s="1"/>
  <c r="EI125" i="37"/>
  <c r="EK125" i="37" s="1"/>
  <c r="EI113" i="37"/>
  <c r="EK113" i="37" s="1"/>
  <c r="EI101" i="37"/>
  <c r="EK101" i="37" s="1"/>
  <c r="EI89" i="37"/>
  <c r="EK89" i="37" s="1"/>
  <c r="EI77" i="37"/>
  <c r="EK77" i="37" s="1"/>
  <c r="EI65" i="37"/>
  <c r="EK65" i="37" s="1"/>
  <c r="EI53" i="37"/>
  <c r="EK53" i="37" s="1"/>
  <c r="EI41" i="37"/>
  <c r="EK41" i="37" s="1"/>
  <c r="EI29" i="37"/>
  <c r="EK29" i="37" s="1"/>
  <c r="EI17" i="37"/>
  <c r="EK17" i="37" s="1"/>
  <c r="EI148" i="37"/>
  <c r="EK148" i="37" s="1"/>
  <c r="EI136" i="37"/>
  <c r="EK136" i="37" s="1"/>
  <c r="EI124" i="37"/>
  <c r="EK124" i="37" s="1"/>
  <c r="EI16" i="37"/>
  <c r="EK16" i="37" s="1"/>
  <c r="EI171" i="37"/>
  <c r="EK171" i="37" s="1"/>
  <c r="EI159" i="37"/>
  <c r="EK159" i="37" s="1"/>
  <c r="EI147" i="37"/>
  <c r="EK147" i="37" s="1"/>
  <c r="EI135" i="37"/>
  <c r="EK135" i="37" s="1"/>
  <c r="EI123" i="37"/>
  <c r="EK123" i="37" s="1"/>
  <c r="EI111" i="37"/>
  <c r="EK111" i="37" s="1"/>
  <c r="EI99" i="37"/>
  <c r="EK99" i="37" s="1"/>
  <c r="EI87" i="37"/>
  <c r="EK87" i="37" s="1"/>
  <c r="EI75" i="37"/>
  <c r="EK75" i="37" s="1"/>
  <c r="EI63" i="37"/>
  <c r="EK63" i="37" s="1"/>
  <c r="EI51" i="37"/>
  <c r="EK51" i="37" s="1"/>
  <c r="EI39" i="37"/>
  <c r="EK39" i="37" s="1"/>
  <c r="EI27" i="37"/>
  <c r="EK27" i="37" s="1"/>
  <c r="EI15" i="37"/>
  <c r="EK15" i="37" s="1"/>
  <c r="EI170" i="37"/>
  <c r="EK170" i="37" s="1"/>
  <c r="EI158" i="37"/>
  <c r="EK158" i="37" s="1"/>
  <c r="EI146" i="37"/>
  <c r="EK146" i="37" s="1"/>
  <c r="EI134" i="37"/>
  <c r="EK134" i="37" s="1"/>
  <c r="EI122" i="37"/>
  <c r="EK122" i="37" s="1"/>
  <c r="EI110" i="37"/>
  <c r="EK110" i="37" s="1"/>
  <c r="EI98" i="37"/>
  <c r="EK98" i="37" s="1"/>
  <c r="EI86" i="37"/>
  <c r="EK86" i="37" s="1"/>
  <c r="EI74" i="37"/>
  <c r="EK74" i="37" s="1"/>
  <c r="EI62" i="37"/>
  <c r="EK62" i="37" s="1"/>
  <c r="EI50" i="37"/>
  <c r="EK50" i="37" s="1"/>
  <c r="EI38" i="37"/>
  <c r="EK38" i="37" s="1"/>
  <c r="EI26" i="37"/>
  <c r="EK26" i="37" s="1"/>
  <c r="EI14" i="37"/>
  <c r="EK14" i="37" s="1"/>
  <c r="EI169" i="37"/>
  <c r="EK169" i="37" s="1"/>
  <c r="EI157" i="37"/>
  <c r="EK157" i="37" s="1"/>
  <c r="EI145" i="37"/>
  <c r="EK145" i="37" s="1"/>
  <c r="EI133" i="37"/>
  <c r="EK133" i="37" s="1"/>
  <c r="EI121" i="37"/>
  <c r="EK121" i="37" s="1"/>
  <c r="EI109" i="37"/>
  <c r="EK109" i="37" s="1"/>
  <c r="EI97" i="37"/>
  <c r="EK97" i="37" s="1"/>
  <c r="EI85" i="37"/>
  <c r="EK85" i="37" s="1"/>
  <c r="EI73" i="37"/>
  <c r="EK73" i="37" s="1"/>
  <c r="EI61" i="37"/>
  <c r="EK61" i="37" s="1"/>
  <c r="EI49" i="37"/>
  <c r="EK49" i="37" s="1"/>
  <c r="EI37" i="37"/>
  <c r="EK37" i="37" s="1"/>
  <c r="EI25" i="37"/>
  <c r="EK25" i="37" s="1"/>
  <c r="EI13" i="37"/>
  <c r="EK13" i="37" s="1"/>
  <c r="EI168" i="37"/>
  <c r="EK168" i="37" s="1"/>
  <c r="EI156" i="37"/>
  <c r="EK156" i="37" s="1"/>
  <c r="EI144" i="37"/>
  <c r="EK144" i="37" s="1"/>
  <c r="EI132" i="37"/>
  <c r="EK132" i="37" s="1"/>
  <c r="EI120" i="37"/>
  <c r="EK120" i="37" s="1"/>
  <c r="EI108" i="37"/>
  <c r="EK108" i="37" s="1"/>
  <c r="EI96" i="37"/>
  <c r="EK96" i="37" s="1"/>
  <c r="EI84" i="37"/>
  <c r="EK84" i="37" s="1"/>
  <c r="EI72" i="37"/>
  <c r="EK72" i="37" s="1"/>
  <c r="EI60" i="37"/>
  <c r="EK60" i="37" s="1"/>
  <c r="EI48" i="37"/>
  <c r="EK48" i="37" s="1"/>
  <c r="EI36" i="37"/>
  <c r="EK36" i="37" s="1"/>
  <c r="EI24" i="37"/>
  <c r="EK24" i="37" s="1"/>
  <c r="EI12" i="37"/>
  <c r="EK12" i="37" s="1"/>
  <c r="EI167" i="37"/>
  <c r="EK167" i="37" s="1"/>
  <c r="EI155" i="37"/>
  <c r="EK155" i="37" s="1"/>
  <c r="EI143" i="37"/>
  <c r="EK143" i="37" s="1"/>
  <c r="EI131" i="37"/>
  <c r="EK131" i="37" s="1"/>
  <c r="EI119" i="37"/>
  <c r="EK119" i="37" s="1"/>
  <c r="EI107" i="37"/>
  <c r="EK107" i="37" s="1"/>
  <c r="EI95" i="37"/>
  <c r="EK95" i="37" s="1"/>
  <c r="EI83" i="37"/>
  <c r="EK83" i="37" s="1"/>
  <c r="EI71" i="37"/>
  <c r="EK71" i="37" s="1"/>
  <c r="EI59" i="37"/>
  <c r="EK59" i="37" s="1"/>
  <c r="EI47" i="37"/>
  <c r="EK47" i="37" s="1"/>
  <c r="EI35" i="37"/>
  <c r="EK35" i="37" s="1"/>
  <c r="EI23" i="37"/>
  <c r="EK23" i="37" s="1"/>
  <c r="EI11" i="37"/>
  <c r="EK11" i="37" s="1"/>
  <c r="EI166" i="37"/>
  <c r="EK166" i="37" s="1"/>
  <c r="EI154" i="37"/>
  <c r="EK154" i="37" s="1"/>
  <c r="EI142" i="37"/>
  <c r="EK142" i="37" s="1"/>
  <c r="EI130" i="37"/>
  <c r="EK130" i="37" s="1"/>
  <c r="EI118" i="37"/>
  <c r="EK118" i="37" s="1"/>
  <c r="EI106" i="37"/>
  <c r="EK106" i="37" s="1"/>
  <c r="EI94" i="37"/>
  <c r="EK94" i="37" s="1"/>
  <c r="EI82" i="37"/>
  <c r="EK82" i="37" s="1"/>
  <c r="EI70" i="37"/>
  <c r="EK70" i="37" s="1"/>
  <c r="EI58" i="37"/>
  <c r="EK58" i="37" s="1"/>
  <c r="EI46" i="37"/>
  <c r="EK46" i="37" s="1"/>
  <c r="EI34" i="37"/>
  <c r="EK34" i="37" s="1"/>
  <c r="EI22" i="37"/>
  <c r="EK22" i="37" s="1"/>
  <c r="EI165" i="37"/>
  <c r="EK165" i="37" s="1"/>
  <c r="EI129" i="37"/>
  <c r="EK129" i="37" s="1"/>
  <c r="EI117" i="37"/>
  <c r="EK117" i="37" s="1"/>
  <c r="EI105" i="37"/>
  <c r="EK105" i="37" s="1"/>
  <c r="EI93" i="37"/>
  <c r="EK93" i="37" s="1"/>
  <c r="EI81" i="37"/>
  <c r="EK81" i="37" s="1"/>
  <c r="EI69" i="37"/>
  <c r="EK69" i="37" s="1"/>
  <c r="EI57" i="37"/>
  <c r="EK57" i="37" s="1"/>
  <c r="EI45" i="37"/>
  <c r="EK45" i="37" s="1"/>
  <c r="EI33" i="37"/>
  <c r="EK33" i="37" s="1"/>
  <c r="EI21" i="37"/>
  <c r="EK21" i="37" s="1"/>
  <c r="EI164" i="37"/>
  <c r="EK164" i="37" s="1"/>
  <c r="EI152" i="37"/>
  <c r="EK152" i="37" s="1"/>
  <c r="EI140" i="37"/>
  <c r="EK140" i="37" s="1"/>
  <c r="EI128" i="37"/>
  <c r="EK128" i="37" s="1"/>
  <c r="EI116" i="37"/>
  <c r="EK116" i="37" s="1"/>
  <c r="EI104" i="37"/>
  <c r="EK104" i="37" s="1"/>
  <c r="EI92" i="37"/>
  <c r="EK92" i="37" s="1"/>
  <c r="EI80" i="37"/>
  <c r="EK80" i="37" s="1"/>
  <c r="EI68" i="37"/>
  <c r="EK68" i="37" s="1"/>
  <c r="EI56" i="37"/>
  <c r="EK56" i="37" s="1"/>
  <c r="EI44" i="37"/>
  <c r="EK44" i="37" s="1"/>
  <c r="EI32" i="37"/>
  <c r="EK32" i="37" s="1"/>
  <c r="EI20" i="37"/>
  <c r="EK20" i="37" s="1"/>
  <c r="EI10" i="37"/>
  <c r="EK10" i="37" s="1"/>
  <c r="C60" i="32"/>
  <c r="D27" i="44" s="1"/>
  <c r="H106" i="48"/>
  <c r="EI112" i="37"/>
  <c r="EK112" i="37" s="1"/>
  <c r="EI100" i="37"/>
  <c r="EK100" i="37" s="1"/>
  <c r="EI88" i="37"/>
  <c r="EK88" i="37" s="1"/>
  <c r="EI76" i="37"/>
  <c r="EK76" i="37" s="1"/>
  <c r="EI64" i="37"/>
  <c r="EK64" i="37" s="1"/>
  <c r="EI52" i="37"/>
  <c r="EK52" i="37" s="1"/>
  <c r="EI40" i="37"/>
  <c r="EK40" i="37" s="1"/>
  <c r="EI172" i="37"/>
  <c r="EK172" i="37" s="1"/>
  <c r="EI28" i="37"/>
  <c r="EK28" i="37" s="1"/>
  <c r="EI160" i="37"/>
  <c r="EK160" i="37" s="1"/>
  <c r="EI153" i="37"/>
  <c r="EK153" i="37" s="1"/>
  <c r="EI141" i="37"/>
  <c r="EK141" i="37" s="1"/>
  <c r="D49" i="45" l="1"/>
  <c r="E60" i="32"/>
  <c r="U7" i="37" l="1"/>
  <c r="T7" i="37"/>
  <c r="V60" i="37" a="1"/>
  <c r="V60" i="37" s="1"/>
  <c r="U60" i="37" a="1"/>
  <c r="U60" i="37" s="1"/>
  <c r="T60" i="37" a="1"/>
  <c r="T60" i="37" s="1"/>
  <c r="R60" i="37" a="1"/>
  <c r="R60" i="37" s="1"/>
  <c r="Q60" i="37" a="1"/>
  <c r="Q60" i="37" s="1"/>
  <c r="V59" i="37" a="1"/>
  <c r="V59" i="37" s="1"/>
  <c r="U59" i="37" a="1"/>
  <c r="U59" i="37" s="1"/>
  <c r="T59" i="37" a="1"/>
  <c r="T59" i="37" s="1"/>
  <c r="R59" i="37" a="1"/>
  <c r="R59" i="37" s="1"/>
  <c r="Q59" i="37" a="1"/>
  <c r="Q59" i="37" s="1"/>
  <c r="V58" i="37" a="1"/>
  <c r="V58" i="37" s="1"/>
  <c r="U58" i="37" a="1"/>
  <c r="U58" i="37" s="1"/>
  <c r="T58" i="37" a="1"/>
  <c r="T58" i="37" s="1"/>
  <c r="R58" i="37" a="1"/>
  <c r="R58" i="37" s="1"/>
  <c r="Q58" i="37" a="1"/>
  <c r="Q58" i="37" s="1"/>
  <c r="V57" i="37" a="1"/>
  <c r="V57" i="37" s="1"/>
  <c r="U57" i="37" a="1"/>
  <c r="U57" i="37" s="1"/>
  <c r="T57" i="37" a="1"/>
  <c r="T57" i="37" s="1"/>
  <c r="R57" i="37" a="1"/>
  <c r="R57" i="37" s="1"/>
  <c r="Q57" i="37" a="1"/>
  <c r="Q57" i="37" s="1"/>
  <c r="V56" i="37" a="1"/>
  <c r="V56" i="37" s="1"/>
  <c r="U56" i="37" a="1"/>
  <c r="U56" i="37" s="1"/>
  <c r="T56" i="37" a="1"/>
  <c r="T56" i="37" s="1"/>
  <c r="R56" i="37" a="1"/>
  <c r="R56" i="37" s="1"/>
  <c r="Q56" i="37" a="1"/>
  <c r="Q56" i="37" s="1"/>
  <c r="V55" i="37" a="1"/>
  <c r="V55" i="37" s="1"/>
  <c r="U55" i="37" a="1"/>
  <c r="U55" i="37" s="1"/>
  <c r="T55" i="37" a="1"/>
  <c r="T55" i="37" s="1"/>
  <c r="R55" i="37" a="1"/>
  <c r="R55" i="37" s="1"/>
  <c r="Q55" i="37" a="1"/>
  <c r="Q55" i="37" s="1"/>
  <c r="V54" i="37" a="1"/>
  <c r="V54" i="37" s="1"/>
  <c r="U54" i="37" a="1"/>
  <c r="U54" i="37" s="1"/>
  <c r="T54" i="37" a="1"/>
  <c r="T54" i="37" s="1"/>
  <c r="R54" i="37" a="1"/>
  <c r="R54" i="37" s="1"/>
  <c r="Q54" i="37" a="1"/>
  <c r="Q54" i="37" s="1"/>
  <c r="V53" i="37" a="1"/>
  <c r="V53" i="37" s="1"/>
  <c r="U53" i="37" a="1"/>
  <c r="U53" i="37" s="1"/>
  <c r="T53" i="37" a="1"/>
  <c r="T53" i="37" s="1"/>
  <c r="R53" i="37" a="1"/>
  <c r="R53" i="37" s="1"/>
  <c r="Q53" i="37" a="1"/>
  <c r="Q53" i="37" s="1"/>
  <c r="V52" i="37" a="1"/>
  <c r="V52" i="37" s="1"/>
  <c r="U52" i="37" a="1"/>
  <c r="U52" i="37" s="1"/>
  <c r="T52" i="37" a="1"/>
  <c r="T52" i="37" s="1"/>
  <c r="R52" i="37" a="1"/>
  <c r="R52" i="37" s="1"/>
  <c r="Q52" i="37" a="1"/>
  <c r="Q52" i="37" s="1"/>
  <c r="V51" i="37" a="1"/>
  <c r="V51" i="37" s="1"/>
  <c r="U51" i="37" a="1"/>
  <c r="U51" i="37" s="1"/>
  <c r="T51" i="37" a="1"/>
  <c r="T51" i="37" s="1"/>
  <c r="R51" i="37" a="1"/>
  <c r="R51" i="37" s="1"/>
  <c r="Q51" i="37" a="1"/>
  <c r="Q51" i="37" s="1"/>
  <c r="V50" i="37" a="1"/>
  <c r="V50" i="37" s="1"/>
  <c r="U50" i="37" a="1"/>
  <c r="U50" i="37" s="1"/>
  <c r="T50" i="37" a="1"/>
  <c r="T50" i="37" s="1"/>
  <c r="R50" i="37" a="1"/>
  <c r="R50" i="37" s="1"/>
  <c r="Q50" i="37" a="1"/>
  <c r="Q50" i="37" s="1"/>
  <c r="V49" i="37" a="1"/>
  <c r="V49" i="37" s="1"/>
  <c r="U49" i="37" a="1"/>
  <c r="U49" i="37" s="1"/>
  <c r="T49" i="37" a="1"/>
  <c r="T49" i="37" s="1"/>
  <c r="R49" i="37" a="1"/>
  <c r="R49" i="37" s="1"/>
  <c r="Q49" i="37" a="1"/>
  <c r="Q49" i="37" s="1"/>
  <c r="V48" i="37" a="1"/>
  <c r="V48" i="37" s="1"/>
  <c r="U48" i="37" a="1"/>
  <c r="U48" i="37" s="1"/>
  <c r="T48" i="37" a="1"/>
  <c r="T48" i="37" s="1"/>
  <c r="R48" i="37" a="1"/>
  <c r="R48" i="37" s="1"/>
  <c r="Q48" i="37" a="1"/>
  <c r="Q48" i="37" s="1"/>
  <c r="V47" i="37" a="1"/>
  <c r="V47" i="37" s="1"/>
  <c r="U47" i="37" a="1"/>
  <c r="U47" i="37" s="1"/>
  <c r="T47" i="37" a="1"/>
  <c r="T47" i="37" s="1"/>
  <c r="R47" i="37" a="1"/>
  <c r="R47" i="37" s="1"/>
  <c r="Q47" i="37" a="1"/>
  <c r="Q47" i="37" s="1"/>
  <c r="V46" i="37" a="1"/>
  <c r="V46" i="37" s="1"/>
  <c r="U46" i="37" a="1"/>
  <c r="U46" i="37" s="1"/>
  <c r="T46" i="37" a="1"/>
  <c r="T46" i="37" s="1"/>
  <c r="R46" i="37" a="1"/>
  <c r="R46" i="37" s="1"/>
  <c r="Q46" i="37" a="1"/>
  <c r="Q46" i="37" s="1"/>
  <c r="V45" i="37" a="1"/>
  <c r="V45" i="37" s="1"/>
  <c r="U45" i="37" a="1"/>
  <c r="U45" i="37" s="1"/>
  <c r="T45" i="37" a="1"/>
  <c r="T45" i="37" s="1"/>
  <c r="R45" i="37" a="1"/>
  <c r="R45" i="37" s="1"/>
  <c r="Q45" i="37" a="1"/>
  <c r="Q45" i="37" s="1"/>
  <c r="V44" i="37" a="1"/>
  <c r="V44" i="37" s="1"/>
  <c r="U44" i="37" a="1"/>
  <c r="U44" i="37" s="1"/>
  <c r="T44" i="37" a="1"/>
  <c r="T44" i="37" s="1"/>
  <c r="R44" i="37" a="1"/>
  <c r="R44" i="37" s="1"/>
  <c r="Q44" i="37" a="1"/>
  <c r="Q44" i="37" s="1"/>
  <c r="V43" i="37" a="1"/>
  <c r="V43" i="37" s="1"/>
  <c r="U43" i="37" a="1"/>
  <c r="U43" i="37" s="1"/>
  <c r="T43" i="37" a="1"/>
  <c r="T43" i="37" s="1"/>
  <c r="R43" i="37" a="1"/>
  <c r="R43" i="37" s="1"/>
  <c r="Q43" i="37" a="1"/>
  <c r="Q43" i="37" s="1"/>
  <c r="V42" i="37" a="1"/>
  <c r="V42" i="37" s="1"/>
  <c r="U42" i="37" a="1"/>
  <c r="U42" i="37" s="1"/>
  <c r="T42" i="37" a="1"/>
  <c r="T42" i="37" s="1"/>
  <c r="R42" i="37" a="1"/>
  <c r="R42" i="37" s="1"/>
  <c r="Q42" i="37" a="1"/>
  <c r="Q42" i="37" s="1"/>
  <c r="V41" i="37" a="1"/>
  <c r="V41" i="37" s="1"/>
  <c r="U41" i="37" a="1"/>
  <c r="U41" i="37" s="1"/>
  <c r="T41" i="37" a="1"/>
  <c r="T41" i="37" s="1"/>
  <c r="R41" i="37" a="1"/>
  <c r="R41" i="37" s="1"/>
  <c r="Q41" i="37" a="1"/>
  <c r="Q41" i="37" s="1"/>
  <c r="V40" i="37" a="1"/>
  <c r="V40" i="37" s="1"/>
  <c r="U40" i="37" a="1"/>
  <c r="U40" i="37" s="1"/>
  <c r="T40" i="37" a="1"/>
  <c r="T40" i="37" s="1"/>
  <c r="R40" i="37" a="1"/>
  <c r="R40" i="37" s="1"/>
  <c r="Q40" i="37" a="1"/>
  <c r="Q40" i="37" s="1"/>
  <c r="V39" i="37" a="1"/>
  <c r="V39" i="37" s="1"/>
  <c r="U39" i="37" a="1"/>
  <c r="U39" i="37" s="1"/>
  <c r="T39" i="37" a="1"/>
  <c r="T39" i="37" s="1"/>
  <c r="R39" i="37" a="1"/>
  <c r="R39" i="37" s="1"/>
  <c r="Q39" i="37" a="1"/>
  <c r="Q39" i="37" s="1"/>
  <c r="V38" i="37" a="1"/>
  <c r="V38" i="37" s="1"/>
  <c r="U38" i="37" a="1"/>
  <c r="U38" i="37" s="1"/>
  <c r="T38" i="37" a="1"/>
  <c r="T38" i="37" s="1"/>
  <c r="R38" i="37" a="1"/>
  <c r="R38" i="37" s="1"/>
  <c r="Q38" i="37" a="1"/>
  <c r="Q38" i="37" s="1"/>
  <c r="V37" i="37" a="1"/>
  <c r="V37" i="37" s="1"/>
  <c r="U37" i="37" a="1"/>
  <c r="U37" i="37" s="1"/>
  <c r="T37" i="37" a="1"/>
  <c r="T37" i="37" s="1"/>
  <c r="R37" i="37" a="1"/>
  <c r="R37" i="37" s="1"/>
  <c r="Q37" i="37" a="1"/>
  <c r="Q37" i="37" s="1"/>
  <c r="V36" i="37" a="1"/>
  <c r="V36" i="37" s="1"/>
  <c r="U36" i="37" a="1"/>
  <c r="U36" i="37" s="1"/>
  <c r="T36" i="37" a="1"/>
  <c r="T36" i="37" s="1"/>
  <c r="R36" i="37" a="1"/>
  <c r="R36" i="37" s="1"/>
  <c r="Q36" i="37" a="1"/>
  <c r="Q36" i="37" s="1"/>
  <c r="V35" i="37" a="1"/>
  <c r="V35" i="37" s="1"/>
  <c r="U35" i="37" a="1"/>
  <c r="U35" i="37" s="1"/>
  <c r="T35" i="37" a="1"/>
  <c r="T35" i="37" s="1"/>
  <c r="R35" i="37" a="1"/>
  <c r="R35" i="37" s="1"/>
  <c r="Q35" i="37" a="1"/>
  <c r="Q35" i="37" s="1"/>
  <c r="V34" i="37" a="1"/>
  <c r="V34" i="37" s="1"/>
  <c r="U34" i="37" a="1"/>
  <c r="U34" i="37" s="1"/>
  <c r="T34" i="37" a="1"/>
  <c r="T34" i="37" s="1"/>
  <c r="R34" i="37" a="1"/>
  <c r="R34" i="37" s="1"/>
  <c r="Q34" i="37" a="1"/>
  <c r="Q34" i="37" s="1"/>
  <c r="V33" i="37" a="1"/>
  <c r="V33" i="37" s="1"/>
  <c r="U33" i="37" a="1"/>
  <c r="U33" i="37" s="1"/>
  <c r="T33" i="37" a="1"/>
  <c r="T33" i="37" s="1"/>
  <c r="R33" i="37" a="1"/>
  <c r="R33" i="37" s="1"/>
  <c r="Q33" i="37" a="1"/>
  <c r="Q33" i="37" s="1"/>
  <c r="V32" i="37" a="1"/>
  <c r="V32" i="37" s="1"/>
  <c r="U32" i="37" a="1"/>
  <c r="U32" i="37" s="1"/>
  <c r="T32" i="37" a="1"/>
  <c r="T32" i="37" s="1"/>
  <c r="R32" i="37" a="1"/>
  <c r="R32" i="37" s="1"/>
  <c r="Q32" i="37" a="1"/>
  <c r="Q32" i="37" s="1"/>
  <c r="V31" i="37" a="1"/>
  <c r="V31" i="37" s="1"/>
  <c r="U31" i="37" a="1"/>
  <c r="U31" i="37" s="1"/>
  <c r="T31" i="37" a="1"/>
  <c r="T31" i="37" s="1"/>
  <c r="R31" i="37" a="1"/>
  <c r="R31" i="37" s="1"/>
  <c r="Q31" i="37" a="1"/>
  <c r="Q31" i="37" s="1"/>
  <c r="V30" i="37" a="1"/>
  <c r="V30" i="37" s="1"/>
  <c r="U30" i="37" a="1"/>
  <c r="U30" i="37" s="1"/>
  <c r="T30" i="37" a="1"/>
  <c r="T30" i="37" s="1"/>
  <c r="R30" i="37" a="1"/>
  <c r="R30" i="37" s="1"/>
  <c r="Q30" i="37" a="1"/>
  <c r="Q30" i="37" s="1"/>
  <c r="V29" i="37" a="1"/>
  <c r="V29" i="37" s="1"/>
  <c r="U29" i="37" a="1"/>
  <c r="U29" i="37" s="1"/>
  <c r="T29" i="37" a="1"/>
  <c r="T29" i="37" s="1"/>
  <c r="R29" i="37" a="1"/>
  <c r="R29" i="37" s="1"/>
  <c r="Q29" i="37" a="1"/>
  <c r="Q29" i="37" s="1"/>
  <c r="V28" i="37" a="1"/>
  <c r="V28" i="37" s="1"/>
  <c r="U28" i="37" a="1"/>
  <c r="U28" i="37" s="1"/>
  <c r="T28" i="37" a="1"/>
  <c r="T28" i="37" s="1"/>
  <c r="R28" i="37" a="1"/>
  <c r="R28" i="37" s="1"/>
  <c r="Q28" i="37" a="1"/>
  <c r="Q28" i="37" s="1"/>
  <c r="V27" i="37" a="1"/>
  <c r="V27" i="37" s="1"/>
  <c r="U27" i="37" a="1"/>
  <c r="U27" i="37" s="1"/>
  <c r="T27" i="37" a="1"/>
  <c r="T27" i="37" s="1"/>
  <c r="R27" i="37" a="1"/>
  <c r="R27" i="37" s="1"/>
  <c r="Q27" i="37" a="1"/>
  <c r="Q27" i="37" s="1"/>
  <c r="V26" i="37" a="1"/>
  <c r="V26" i="37" s="1"/>
  <c r="U26" i="37" a="1"/>
  <c r="U26" i="37" s="1"/>
  <c r="T26" i="37" a="1"/>
  <c r="T26" i="37" s="1"/>
  <c r="R26" i="37" a="1"/>
  <c r="R26" i="37" s="1"/>
  <c r="Q26" i="37" a="1"/>
  <c r="Q26" i="37" s="1"/>
  <c r="V25" i="37" a="1"/>
  <c r="V25" i="37" s="1"/>
  <c r="U25" i="37" a="1"/>
  <c r="U25" i="37" s="1"/>
  <c r="T25" i="37" a="1"/>
  <c r="T25" i="37" s="1"/>
  <c r="R25" i="37" a="1"/>
  <c r="R25" i="37" s="1"/>
  <c r="Q25" i="37" a="1"/>
  <c r="Q25" i="37" s="1"/>
  <c r="V24" i="37" a="1"/>
  <c r="V24" i="37" s="1"/>
  <c r="U24" i="37" a="1"/>
  <c r="U24" i="37" s="1"/>
  <c r="T24" i="37" a="1"/>
  <c r="T24" i="37" s="1"/>
  <c r="R24" i="37" a="1"/>
  <c r="R24" i="37" s="1"/>
  <c r="Q24" i="37" a="1"/>
  <c r="Q24" i="37" s="1"/>
  <c r="V23" i="37" a="1"/>
  <c r="V23" i="37" s="1"/>
  <c r="U23" i="37" a="1"/>
  <c r="U23" i="37" s="1"/>
  <c r="T23" i="37" a="1"/>
  <c r="T23" i="37" s="1"/>
  <c r="R23" i="37" a="1"/>
  <c r="R23" i="37" s="1"/>
  <c r="Q23" i="37" a="1"/>
  <c r="Q23" i="37" s="1"/>
  <c r="V22" i="37" a="1"/>
  <c r="V22" i="37" s="1"/>
  <c r="U22" i="37" a="1"/>
  <c r="U22" i="37" s="1"/>
  <c r="T22" i="37" a="1"/>
  <c r="T22" i="37" s="1"/>
  <c r="R22" i="37" a="1"/>
  <c r="R22" i="37" s="1"/>
  <c r="Q22" i="37" a="1"/>
  <c r="Q22" i="37" s="1"/>
  <c r="V21" i="37" a="1"/>
  <c r="V21" i="37" s="1"/>
  <c r="U21" i="37" a="1"/>
  <c r="U21" i="37" s="1"/>
  <c r="T21" i="37" a="1"/>
  <c r="T21" i="37" s="1"/>
  <c r="R21" i="37" a="1"/>
  <c r="R21" i="37" s="1"/>
  <c r="Q21" i="37" a="1"/>
  <c r="Q21" i="37" s="1"/>
  <c r="V20" i="37" a="1"/>
  <c r="V20" i="37" s="1"/>
  <c r="U20" i="37" a="1"/>
  <c r="U20" i="37" s="1"/>
  <c r="T20" i="37" a="1"/>
  <c r="T20" i="37" s="1"/>
  <c r="R20" i="37" a="1"/>
  <c r="R20" i="37" s="1"/>
  <c r="Q20" i="37" a="1"/>
  <c r="Q20" i="37" s="1"/>
  <c r="V19" i="37" a="1"/>
  <c r="V19" i="37" s="1"/>
  <c r="U19" i="37" a="1"/>
  <c r="U19" i="37" s="1"/>
  <c r="T19" i="37" a="1"/>
  <c r="T19" i="37" s="1"/>
  <c r="R19" i="37" a="1"/>
  <c r="R19" i="37" s="1"/>
  <c r="Q19" i="37" a="1"/>
  <c r="Q19" i="37" s="1"/>
  <c r="V18" i="37" a="1"/>
  <c r="V18" i="37" s="1"/>
  <c r="U18" i="37" a="1"/>
  <c r="U18" i="37" s="1"/>
  <c r="T18" i="37" a="1"/>
  <c r="T18" i="37" s="1"/>
  <c r="R18" i="37" a="1"/>
  <c r="R18" i="37" s="1"/>
  <c r="Q18" i="37" a="1"/>
  <c r="Q18" i="37" s="1"/>
  <c r="V17" i="37" a="1"/>
  <c r="V17" i="37" s="1"/>
  <c r="U17" i="37" a="1"/>
  <c r="U17" i="37" s="1"/>
  <c r="T17" i="37" a="1"/>
  <c r="T17" i="37" s="1"/>
  <c r="R17" i="37" a="1"/>
  <c r="R17" i="37" s="1"/>
  <c r="Q17" i="37" a="1"/>
  <c r="Q17" i="37" s="1"/>
  <c r="V16" i="37" a="1"/>
  <c r="V16" i="37" s="1"/>
  <c r="U16" i="37" a="1"/>
  <c r="U16" i="37" s="1"/>
  <c r="T16" i="37" a="1"/>
  <c r="T16" i="37" s="1"/>
  <c r="R16" i="37" a="1"/>
  <c r="R16" i="37" s="1"/>
  <c r="Q16" i="37" a="1"/>
  <c r="Q16" i="37" s="1"/>
  <c r="V15" i="37" a="1"/>
  <c r="V15" i="37" s="1"/>
  <c r="U15" i="37" a="1"/>
  <c r="U15" i="37" s="1"/>
  <c r="T15" i="37" a="1"/>
  <c r="T15" i="37" s="1"/>
  <c r="R15" i="37" a="1"/>
  <c r="R15" i="37" s="1"/>
  <c r="Q15" i="37" a="1"/>
  <c r="Q15" i="37" s="1"/>
  <c r="V14" i="37" a="1"/>
  <c r="V14" i="37" s="1"/>
  <c r="U14" i="37" a="1"/>
  <c r="U14" i="37" s="1"/>
  <c r="T14" i="37" a="1"/>
  <c r="T14" i="37" s="1"/>
  <c r="R14" i="37" a="1"/>
  <c r="R14" i="37" s="1"/>
  <c r="Q14" i="37" a="1"/>
  <c r="Q14" i="37" s="1"/>
  <c r="V13" i="37" a="1"/>
  <c r="V13" i="37" s="1"/>
  <c r="U13" i="37" a="1"/>
  <c r="U13" i="37" s="1"/>
  <c r="T13" i="37" a="1"/>
  <c r="T13" i="37" s="1"/>
  <c r="R13" i="37" a="1"/>
  <c r="R13" i="37" s="1"/>
  <c r="Q13" i="37" a="1"/>
  <c r="Q13" i="37" s="1"/>
  <c r="V12" i="37" a="1"/>
  <c r="V12" i="37" s="1"/>
  <c r="U12" i="37" a="1"/>
  <c r="U12" i="37" s="1"/>
  <c r="T12" i="37" a="1"/>
  <c r="T12" i="37" s="1"/>
  <c r="R12" i="37" a="1"/>
  <c r="R12" i="37" s="1"/>
  <c r="Q12" i="37" a="1"/>
  <c r="Q12" i="37" s="1"/>
  <c r="V11" i="37" a="1"/>
  <c r="V11" i="37" s="1"/>
  <c r="U11" i="37" a="1"/>
  <c r="U11" i="37" s="1"/>
  <c r="T11" i="37" a="1"/>
  <c r="T11" i="37" s="1"/>
  <c r="R11" i="37" a="1"/>
  <c r="R11" i="37" s="1"/>
  <c r="Q11" i="37" a="1"/>
  <c r="Q11" i="37" s="1"/>
  <c r="P11" i="37" a="1"/>
  <c r="P11" i="37" s="1"/>
  <c r="O60" i="37" a="1"/>
  <c r="O60" i="37" s="1"/>
  <c r="N60" i="37" a="1"/>
  <c r="N60" i="37" s="1"/>
  <c r="M60" i="37" a="1"/>
  <c r="M60" i="37" s="1"/>
  <c r="L60" i="37" a="1"/>
  <c r="L60" i="37" s="1"/>
  <c r="O59" i="37" a="1"/>
  <c r="O59" i="37" s="1"/>
  <c r="N59" i="37" a="1"/>
  <c r="N59" i="37" s="1"/>
  <c r="M59" i="37" a="1"/>
  <c r="M59" i="37" s="1"/>
  <c r="L59" i="37" a="1"/>
  <c r="L59" i="37" s="1"/>
  <c r="O58" i="37" a="1"/>
  <c r="O58" i="37" s="1"/>
  <c r="N58" i="37" a="1"/>
  <c r="N58" i="37" s="1"/>
  <c r="M58" i="37" a="1"/>
  <c r="M58" i="37" s="1"/>
  <c r="L58" i="37" a="1"/>
  <c r="L58" i="37" s="1"/>
  <c r="O57" i="37" a="1"/>
  <c r="O57" i="37" s="1"/>
  <c r="N57" i="37" a="1"/>
  <c r="N57" i="37" s="1"/>
  <c r="M57" i="37" a="1"/>
  <c r="M57" i="37" s="1"/>
  <c r="L57" i="37" a="1"/>
  <c r="L57" i="37" s="1"/>
  <c r="O56" i="37" a="1"/>
  <c r="O56" i="37" s="1"/>
  <c r="N56" i="37" a="1"/>
  <c r="N56" i="37" s="1"/>
  <c r="M56" i="37" a="1"/>
  <c r="M56" i="37" s="1"/>
  <c r="L56" i="37" a="1"/>
  <c r="L56" i="37" s="1"/>
  <c r="O55" i="37" a="1"/>
  <c r="O55" i="37" s="1"/>
  <c r="N55" i="37" a="1"/>
  <c r="N55" i="37" s="1"/>
  <c r="M55" i="37" a="1"/>
  <c r="M55" i="37" s="1"/>
  <c r="L55" i="37" a="1"/>
  <c r="L55" i="37" s="1"/>
  <c r="O54" i="37" a="1"/>
  <c r="O54" i="37" s="1"/>
  <c r="N54" i="37" a="1"/>
  <c r="N54" i="37" s="1"/>
  <c r="M54" i="37" a="1"/>
  <c r="M54" i="37" s="1"/>
  <c r="L54" i="37" a="1"/>
  <c r="L54" i="37" s="1"/>
  <c r="O53" i="37" a="1"/>
  <c r="O53" i="37" s="1"/>
  <c r="N53" i="37" a="1"/>
  <c r="N53" i="37" s="1"/>
  <c r="M53" i="37" a="1"/>
  <c r="M53" i="37" s="1"/>
  <c r="L53" i="37" a="1"/>
  <c r="L53" i="37" s="1"/>
  <c r="O52" i="37" a="1"/>
  <c r="O52" i="37" s="1"/>
  <c r="N52" i="37" a="1"/>
  <c r="N52" i="37" s="1"/>
  <c r="M52" i="37" a="1"/>
  <c r="M52" i="37" s="1"/>
  <c r="L52" i="37" a="1"/>
  <c r="L52" i="37" s="1"/>
  <c r="O51" i="37" a="1"/>
  <c r="O51" i="37" s="1"/>
  <c r="N51" i="37" a="1"/>
  <c r="N51" i="37" s="1"/>
  <c r="M51" i="37" a="1"/>
  <c r="M51" i="37" s="1"/>
  <c r="L51" i="37" a="1"/>
  <c r="L51" i="37" s="1"/>
  <c r="O50" i="37" a="1"/>
  <c r="O50" i="37" s="1"/>
  <c r="N50" i="37" a="1"/>
  <c r="N50" i="37" s="1"/>
  <c r="M50" i="37" a="1"/>
  <c r="M50" i="37" s="1"/>
  <c r="L50" i="37" a="1"/>
  <c r="L50" i="37" s="1"/>
  <c r="O49" i="37" a="1"/>
  <c r="O49" i="37" s="1"/>
  <c r="N49" i="37" a="1"/>
  <c r="N49" i="37" s="1"/>
  <c r="M49" i="37" a="1"/>
  <c r="M49" i="37" s="1"/>
  <c r="L49" i="37" a="1"/>
  <c r="L49" i="37" s="1"/>
  <c r="O48" i="37" a="1"/>
  <c r="O48" i="37" s="1"/>
  <c r="N48" i="37" a="1"/>
  <c r="N48" i="37" s="1"/>
  <c r="M48" i="37" a="1"/>
  <c r="M48" i="37" s="1"/>
  <c r="L48" i="37" a="1"/>
  <c r="L48" i="37" s="1"/>
  <c r="O47" i="37" a="1"/>
  <c r="O47" i="37" s="1"/>
  <c r="N47" i="37" a="1"/>
  <c r="N47" i="37" s="1"/>
  <c r="M47" i="37" a="1"/>
  <c r="M47" i="37" s="1"/>
  <c r="L47" i="37" a="1"/>
  <c r="L47" i="37" s="1"/>
  <c r="O46" i="37" a="1"/>
  <c r="O46" i="37" s="1"/>
  <c r="N46" i="37" a="1"/>
  <c r="N46" i="37" s="1"/>
  <c r="M46" i="37" a="1"/>
  <c r="M46" i="37" s="1"/>
  <c r="L46" i="37" a="1"/>
  <c r="L46" i="37" s="1"/>
  <c r="O45" i="37" a="1"/>
  <c r="O45" i="37" s="1"/>
  <c r="N45" i="37" a="1"/>
  <c r="N45" i="37" s="1"/>
  <c r="M45" i="37" a="1"/>
  <c r="M45" i="37" s="1"/>
  <c r="L45" i="37" a="1"/>
  <c r="L45" i="37" s="1"/>
  <c r="O44" i="37" a="1"/>
  <c r="O44" i="37" s="1"/>
  <c r="N44" i="37" a="1"/>
  <c r="N44" i="37" s="1"/>
  <c r="M44" i="37" a="1"/>
  <c r="M44" i="37" s="1"/>
  <c r="L44" i="37" a="1"/>
  <c r="L44" i="37" s="1"/>
  <c r="O43" i="37" a="1"/>
  <c r="O43" i="37" s="1"/>
  <c r="N43" i="37" a="1"/>
  <c r="N43" i="37" s="1"/>
  <c r="M43" i="37" a="1"/>
  <c r="M43" i="37" s="1"/>
  <c r="L43" i="37" a="1"/>
  <c r="L43" i="37" s="1"/>
  <c r="O42" i="37" a="1"/>
  <c r="O42" i="37" s="1"/>
  <c r="N42" i="37" a="1"/>
  <c r="N42" i="37" s="1"/>
  <c r="M42" i="37" a="1"/>
  <c r="M42" i="37" s="1"/>
  <c r="L42" i="37" a="1"/>
  <c r="L42" i="37" s="1"/>
  <c r="O41" i="37" a="1"/>
  <c r="O41" i="37" s="1"/>
  <c r="N41" i="37" a="1"/>
  <c r="N41" i="37" s="1"/>
  <c r="M41" i="37" a="1"/>
  <c r="M41" i="37" s="1"/>
  <c r="L41" i="37" a="1"/>
  <c r="L41" i="37" s="1"/>
  <c r="O40" i="37" a="1"/>
  <c r="O40" i="37" s="1"/>
  <c r="N40" i="37" a="1"/>
  <c r="N40" i="37" s="1"/>
  <c r="M40" i="37" a="1"/>
  <c r="M40" i="37" s="1"/>
  <c r="L40" i="37" a="1"/>
  <c r="L40" i="37" s="1"/>
  <c r="O39" i="37" a="1"/>
  <c r="O39" i="37" s="1"/>
  <c r="N39" i="37" a="1"/>
  <c r="N39" i="37" s="1"/>
  <c r="M39" i="37" a="1"/>
  <c r="M39" i="37" s="1"/>
  <c r="L39" i="37" a="1"/>
  <c r="L39" i="37" s="1"/>
  <c r="O38" i="37" a="1"/>
  <c r="O38" i="37" s="1"/>
  <c r="N38" i="37" a="1"/>
  <c r="N38" i="37" s="1"/>
  <c r="M38" i="37" a="1"/>
  <c r="M38" i="37" s="1"/>
  <c r="L38" i="37" a="1"/>
  <c r="L38" i="37" s="1"/>
  <c r="O37" i="37" a="1"/>
  <c r="O37" i="37" s="1"/>
  <c r="N37" i="37" a="1"/>
  <c r="N37" i="37" s="1"/>
  <c r="M37" i="37" a="1"/>
  <c r="M37" i="37" s="1"/>
  <c r="B4" i="37" s="1"/>
  <c r="L37" i="37" a="1"/>
  <c r="L37" i="37" s="1"/>
  <c r="B6" i="37" s="1"/>
  <c r="O36" i="37" a="1"/>
  <c r="O36" i="37" s="1"/>
  <c r="N36" i="37" a="1"/>
  <c r="N36" i="37" s="1"/>
  <c r="M36" i="37" a="1"/>
  <c r="M36" i="37" s="1"/>
  <c r="L36" i="37" a="1"/>
  <c r="L36" i="37" s="1"/>
  <c r="O35" i="37" a="1"/>
  <c r="O35" i="37" s="1"/>
  <c r="N35" i="37" a="1"/>
  <c r="N35" i="37" s="1"/>
  <c r="M35" i="37" a="1"/>
  <c r="M35" i="37" s="1"/>
  <c r="L35" i="37" a="1"/>
  <c r="L35" i="37" s="1"/>
  <c r="O34" i="37" a="1"/>
  <c r="O34" i="37" s="1"/>
  <c r="N34" i="37" a="1"/>
  <c r="N34" i="37" s="1"/>
  <c r="M34" i="37" a="1"/>
  <c r="M34" i="37" s="1"/>
  <c r="L34" i="37" a="1"/>
  <c r="L34" i="37" s="1"/>
  <c r="O33" i="37" a="1"/>
  <c r="O33" i="37" s="1"/>
  <c r="N33" i="37" a="1"/>
  <c r="N33" i="37" s="1"/>
  <c r="M33" i="37" a="1"/>
  <c r="M33" i="37" s="1"/>
  <c r="L33" i="37" a="1"/>
  <c r="L33" i="37" s="1"/>
  <c r="O32" i="37" a="1"/>
  <c r="O32" i="37" s="1"/>
  <c r="N32" i="37" a="1"/>
  <c r="N32" i="37" s="1"/>
  <c r="M32" i="37" a="1"/>
  <c r="M32" i="37" s="1"/>
  <c r="L32" i="37" a="1"/>
  <c r="L32" i="37" s="1"/>
  <c r="O31" i="37" a="1"/>
  <c r="O31" i="37" s="1"/>
  <c r="N31" i="37" a="1"/>
  <c r="N31" i="37" s="1"/>
  <c r="M31" i="37" a="1"/>
  <c r="M31" i="37" s="1"/>
  <c r="L31" i="37" a="1"/>
  <c r="L31" i="37" s="1"/>
  <c r="O30" i="37" a="1"/>
  <c r="O30" i="37" s="1"/>
  <c r="N30" i="37" a="1"/>
  <c r="N30" i="37" s="1"/>
  <c r="M30" i="37" a="1"/>
  <c r="M30" i="37" s="1"/>
  <c r="L30" i="37" a="1"/>
  <c r="L30" i="37" s="1"/>
  <c r="O29" i="37" a="1"/>
  <c r="O29" i="37" s="1"/>
  <c r="N29" i="37" a="1"/>
  <c r="N29" i="37" s="1"/>
  <c r="M29" i="37" a="1"/>
  <c r="M29" i="37" s="1"/>
  <c r="L29" i="37" a="1"/>
  <c r="L29" i="37" s="1"/>
  <c r="O28" i="37" a="1"/>
  <c r="O28" i="37" s="1"/>
  <c r="N28" i="37" a="1"/>
  <c r="N28" i="37" s="1"/>
  <c r="M28" i="37" a="1"/>
  <c r="M28" i="37" s="1"/>
  <c r="L28" i="37" a="1"/>
  <c r="L28" i="37" s="1"/>
  <c r="O27" i="37" a="1"/>
  <c r="O27" i="37" s="1"/>
  <c r="N27" i="37" a="1"/>
  <c r="N27" i="37" s="1"/>
  <c r="M27" i="37" a="1"/>
  <c r="M27" i="37" s="1"/>
  <c r="L27" i="37" a="1"/>
  <c r="L27" i="37" s="1"/>
  <c r="O26" i="37" a="1"/>
  <c r="O26" i="37" s="1"/>
  <c r="N26" i="37" a="1"/>
  <c r="N26" i="37" s="1"/>
  <c r="M26" i="37" a="1"/>
  <c r="M26" i="37" s="1"/>
  <c r="L26" i="37" a="1"/>
  <c r="L26" i="37" s="1"/>
  <c r="O25" i="37" a="1"/>
  <c r="O25" i="37" s="1"/>
  <c r="N25" i="37" a="1"/>
  <c r="N25" i="37" s="1"/>
  <c r="M25" i="37" a="1"/>
  <c r="M25" i="37" s="1"/>
  <c r="L25" i="37" a="1"/>
  <c r="L25" i="37" s="1"/>
  <c r="O24" i="37" a="1"/>
  <c r="O24" i="37" s="1"/>
  <c r="N24" i="37" a="1"/>
  <c r="N24" i="37" s="1"/>
  <c r="M24" i="37" a="1"/>
  <c r="M24" i="37" s="1"/>
  <c r="L24" i="37" a="1"/>
  <c r="L24" i="37" s="1"/>
  <c r="O23" i="37" a="1"/>
  <c r="O23" i="37" s="1"/>
  <c r="N23" i="37" a="1"/>
  <c r="N23" i="37" s="1"/>
  <c r="M23" i="37" a="1"/>
  <c r="M23" i="37" s="1"/>
  <c r="L23" i="37" a="1"/>
  <c r="L23" i="37" s="1"/>
  <c r="O22" i="37" a="1"/>
  <c r="O22" i="37" s="1"/>
  <c r="N22" i="37" a="1"/>
  <c r="N22" i="37" s="1"/>
  <c r="M22" i="37" a="1"/>
  <c r="M22" i="37" s="1"/>
  <c r="L22" i="37" a="1"/>
  <c r="L22" i="37" s="1"/>
  <c r="O21" i="37" a="1"/>
  <c r="O21" i="37" s="1"/>
  <c r="N21" i="37" a="1"/>
  <c r="N21" i="37" s="1"/>
  <c r="M21" i="37" a="1"/>
  <c r="M21" i="37" s="1"/>
  <c r="L21" i="37" a="1"/>
  <c r="L21" i="37" s="1"/>
  <c r="O20" i="37" a="1"/>
  <c r="O20" i="37" s="1"/>
  <c r="N20" i="37" a="1"/>
  <c r="N20" i="37" s="1"/>
  <c r="M20" i="37" a="1"/>
  <c r="M20" i="37" s="1"/>
  <c r="L20" i="37" a="1"/>
  <c r="L20" i="37" s="1"/>
  <c r="O19" i="37" a="1"/>
  <c r="O19" i="37" s="1"/>
  <c r="N19" i="37" a="1"/>
  <c r="N19" i="37" s="1"/>
  <c r="M19" i="37" a="1"/>
  <c r="M19" i="37" s="1"/>
  <c r="L19" i="37" a="1"/>
  <c r="L19" i="37" s="1"/>
  <c r="O18" i="37" a="1"/>
  <c r="O18" i="37" s="1"/>
  <c r="N18" i="37" a="1"/>
  <c r="N18" i="37" s="1"/>
  <c r="M18" i="37" a="1"/>
  <c r="M18" i="37" s="1"/>
  <c r="L18" i="37" a="1"/>
  <c r="L18" i="37" s="1"/>
  <c r="O17" i="37" a="1"/>
  <c r="O17" i="37" s="1"/>
  <c r="N17" i="37" a="1"/>
  <c r="N17" i="37" s="1"/>
  <c r="M17" i="37" a="1"/>
  <c r="M17" i="37" s="1"/>
  <c r="L17" i="37" a="1"/>
  <c r="L17" i="37" s="1"/>
  <c r="O16" i="37" a="1"/>
  <c r="O16" i="37" s="1"/>
  <c r="N16" i="37" a="1"/>
  <c r="N16" i="37" s="1"/>
  <c r="M16" i="37" a="1"/>
  <c r="M16" i="37" s="1"/>
  <c r="L16" i="37" a="1"/>
  <c r="L16" i="37" s="1"/>
  <c r="O15" i="37" a="1"/>
  <c r="O15" i="37" s="1"/>
  <c r="N15" i="37" a="1"/>
  <c r="N15" i="37" s="1"/>
  <c r="M15" i="37" a="1"/>
  <c r="M15" i="37" s="1"/>
  <c r="O14" i="37" a="1"/>
  <c r="O14" i="37" s="1"/>
  <c r="N14" i="37" a="1"/>
  <c r="N14" i="37" s="1"/>
  <c r="M14" i="37" a="1"/>
  <c r="M14" i="37" s="1"/>
  <c r="L14" i="37" a="1"/>
  <c r="L14" i="37" s="1"/>
  <c r="O13" i="37" a="1"/>
  <c r="O13" i="37" s="1"/>
  <c r="N13" i="37" a="1"/>
  <c r="N13" i="37" s="1"/>
  <c r="M13" i="37" a="1"/>
  <c r="M13" i="37" s="1"/>
  <c r="L13" i="37" a="1"/>
  <c r="L13" i="37" s="1"/>
  <c r="O12" i="37" a="1"/>
  <c r="O12" i="37" s="1"/>
  <c r="N12" i="37" a="1"/>
  <c r="N12" i="37" s="1"/>
  <c r="M12" i="37" a="1"/>
  <c r="M12" i="37" s="1"/>
  <c r="L12" i="37" a="1"/>
  <c r="L12" i="37" s="1"/>
  <c r="O11" i="37" a="1"/>
  <c r="O11" i="37" s="1"/>
  <c r="N11" i="37" a="1"/>
  <c r="N11" i="37" s="1"/>
  <c r="M11" i="37" a="1"/>
  <c r="M11" i="37" s="1"/>
  <c r="L11" i="37" a="1"/>
  <c r="L11" i="37" s="1"/>
  <c r="V10" i="37" a="1"/>
  <c r="V10" i="37" s="1"/>
  <c r="U10" i="37" a="1"/>
  <c r="U10" i="37" s="1"/>
  <c r="T10" i="37" a="1"/>
  <c r="T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G30" i="37" l="1"/>
  <c r="B2" i="37"/>
  <c r="D21" i="37"/>
  <c r="D19" i="37"/>
  <c r="AD1" i="31" l="1"/>
  <c r="CS110" i="37" l="1"/>
  <c r="CS109" i="37"/>
  <c r="CS108" i="37"/>
  <c r="CS107" i="37"/>
  <c r="CS106" i="37"/>
  <c r="CS105" i="37"/>
  <c r="CS104" i="37"/>
  <c r="CS103" i="37"/>
  <c r="CS102" i="37"/>
  <c r="CS101" i="37"/>
  <c r="CS100" i="37"/>
  <c r="CS99" i="37"/>
  <c r="CS98" i="37"/>
  <c r="CS97" i="37"/>
  <c r="CS96" i="37"/>
  <c r="CS95" i="37"/>
  <c r="CS94" i="37"/>
  <c r="CS93" i="37"/>
  <c r="CS92" i="37"/>
  <c r="CS91" i="37"/>
  <c r="CS90" i="37"/>
  <c r="CS89" i="37"/>
  <c r="CS88" i="37"/>
  <c r="CS87" i="37"/>
  <c r="CS86" i="37"/>
  <c r="CS85" i="37"/>
  <c r="CS84" i="37"/>
  <c r="CS83" i="37"/>
  <c r="CS82" i="37"/>
  <c r="CS81" i="37"/>
  <c r="CS80" i="37"/>
  <c r="CS79" i="37"/>
  <c r="CS78" i="37"/>
  <c r="CS77" i="37"/>
  <c r="CS76" i="37"/>
  <c r="CS75" i="37"/>
  <c r="CS74" i="37"/>
  <c r="CS73" i="37"/>
  <c r="CS72" i="37"/>
  <c r="CS71" i="37"/>
  <c r="CS70" i="37"/>
  <c r="CS69" i="37"/>
  <c r="CS68" i="37"/>
  <c r="CS67" i="37"/>
  <c r="CS66" i="37"/>
  <c r="CS65" i="37"/>
  <c r="CS64" i="37"/>
  <c r="CS63" i="37"/>
  <c r="CS62" i="37"/>
  <c r="CS61" i="37"/>
  <c r="CS60" i="37"/>
  <c r="CS59" i="37"/>
  <c r="CS58" i="37"/>
  <c r="CS57" i="37"/>
  <c r="CS56" i="37"/>
  <c r="CS55" i="37"/>
  <c r="CS54" i="37"/>
  <c r="CS53" i="37"/>
  <c r="CS52" i="37"/>
  <c r="CS51" i="37"/>
  <c r="CS50" i="37"/>
  <c r="CS49" i="37"/>
  <c r="CS48" i="37"/>
  <c r="CS47" i="37"/>
  <c r="CS46" i="37"/>
  <c r="CS45" i="37"/>
  <c r="CS44" i="37"/>
  <c r="CS43" i="37"/>
  <c r="CS42" i="37"/>
  <c r="CS41" i="37"/>
  <c r="CS40" i="37"/>
  <c r="CS39" i="37"/>
  <c r="CS38" i="37"/>
  <c r="CS37" i="37"/>
  <c r="CS36" i="37"/>
  <c r="CS33" i="37"/>
  <c r="CS34" i="37"/>
  <c r="CS35" i="37"/>
  <c r="CS17" i="37"/>
  <c r="CS16" i="37"/>
  <c r="CS18" i="37"/>
  <c r="CS15" i="37"/>
  <c r="CS14" i="37"/>
  <c r="CS13" i="37"/>
  <c r="CS12" i="37"/>
  <c r="CS11" i="37"/>
  <c r="CS30" i="37"/>
  <c r="CS29" i="37"/>
  <c r="CS28" i="37"/>
  <c r="CS27" i="37"/>
  <c r="CS26" i="37"/>
  <c r="CS25" i="37"/>
  <c r="CS24" i="37"/>
  <c r="CS20" i="37"/>
  <c r="CS19" i="37"/>
  <c r="CS10" i="37"/>
  <c r="CS22" i="37"/>
  <c r="CS21" i="37"/>
  <c r="CS23" i="37"/>
  <c r="F54" i="44" l="1"/>
  <c r="D27" i="37" l="1"/>
  <c r="D26" i="37"/>
  <c r="D24" i="37"/>
  <c r="D25" i="37"/>
  <c r="DA110" i="37" l="1"/>
  <c r="DA109" i="37"/>
  <c r="DA108" i="37"/>
  <c r="DA107" i="37"/>
  <c r="DA106" i="37"/>
  <c r="DA105" i="37"/>
  <c r="DA104" i="37"/>
  <c r="DA103" i="37"/>
  <c r="DA102" i="37"/>
  <c r="DA101" i="37"/>
  <c r="DA100" i="37"/>
  <c r="DA99" i="37"/>
  <c r="DA98" i="37"/>
  <c r="DA97" i="37"/>
  <c r="DA96" i="37"/>
  <c r="DA95" i="37"/>
  <c r="DA94" i="37"/>
  <c r="DA93" i="37"/>
  <c r="DA92" i="37"/>
  <c r="DA91" i="37"/>
  <c r="DA90" i="37"/>
  <c r="DA89" i="37"/>
  <c r="DA88" i="37"/>
  <c r="DA87" i="37"/>
  <c r="DA86" i="37"/>
  <c r="DA85" i="37"/>
  <c r="DA84" i="37"/>
  <c r="DA83" i="37"/>
  <c r="DA82" i="37"/>
  <c r="DA81" i="37"/>
  <c r="DA80" i="37"/>
  <c r="DA79" i="37"/>
  <c r="DA78" i="37"/>
  <c r="DA77" i="37"/>
  <c r="DA76" i="37"/>
  <c r="DA75" i="37"/>
  <c r="DA74" i="37"/>
  <c r="DA73" i="37"/>
  <c r="DA72" i="37"/>
  <c r="DA71" i="37"/>
  <c r="DA70" i="37"/>
  <c r="DA69" i="37"/>
  <c r="DA68" i="37"/>
  <c r="DA67" i="37"/>
  <c r="DA66" i="37"/>
  <c r="DA65" i="37"/>
  <c r="DA64" i="37"/>
  <c r="DA63" i="37"/>
  <c r="DA62" i="37"/>
  <c r="DA61" i="37"/>
  <c r="DA60" i="37"/>
  <c r="DA59" i="37"/>
  <c r="DA58" i="37"/>
  <c r="DA57" i="37"/>
  <c r="DA56" i="37"/>
  <c r="DA55" i="37"/>
  <c r="DA54" i="37"/>
  <c r="DA53" i="37"/>
  <c r="DA52" i="37"/>
  <c r="DA51" i="37"/>
  <c r="DA50" i="37"/>
  <c r="DA49" i="37"/>
  <c r="DA48" i="37"/>
  <c r="DA47" i="37"/>
  <c r="DA46" i="37"/>
  <c r="DA45" i="37"/>
  <c r="DA44" i="37"/>
  <c r="DA43" i="37"/>
  <c r="DA42" i="37"/>
  <c r="DA40" i="37"/>
  <c r="DA39" i="37"/>
  <c r="DA38" i="37"/>
  <c r="I52" i="30" l="1"/>
  <c r="M52" i="30"/>
  <c r="CX16" i="37" l="1"/>
  <c r="CX13" i="37" l="1"/>
  <c r="CX12" i="37"/>
  <c r="CX11" i="37"/>
  <c r="CX10" i="37"/>
  <c r="C58" i="51" l="1"/>
  <c r="C112" i="51" s="1"/>
  <c r="D85" i="48" s="1"/>
  <c r="A58" i="51"/>
  <c r="A112" i="51" s="1"/>
  <c r="G20" i="37" l="1"/>
  <c r="G24" i="37"/>
  <c r="G28" i="37"/>
  <c r="G12" i="37"/>
  <c r="G22" i="37"/>
  <c r="G26" i="37"/>
  <c r="G18" i="37"/>
  <c r="G14" i="37"/>
  <c r="G23" i="37"/>
  <c r="G27" i="37"/>
  <c r="B7" i="37"/>
  <c r="Z1" i="30"/>
  <c r="G10" i="37" l="1"/>
  <c r="AV1" i="35" l="1"/>
  <c r="C69" i="49" l="1"/>
  <c r="F69" i="49" s="1"/>
  <c r="H71" i="49" s="1"/>
  <c r="A69" i="49"/>
  <c r="F124" i="49"/>
  <c r="H126" i="49" s="1"/>
  <c r="I110" i="49" a="1"/>
  <c r="I110" i="49" s="1"/>
  <c r="H110" i="49" a="1"/>
  <c r="H110" i="49" s="1"/>
  <c r="G110" i="49" a="1"/>
  <c r="G110" i="49" s="1"/>
  <c r="B110" i="49" a="1"/>
  <c r="B110" i="49" s="1"/>
  <c r="A110" i="49" a="1"/>
  <c r="A110" i="49" s="1"/>
  <c r="I109" i="49" a="1"/>
  <c r="I109" i="49" s="1"/>
  <c r="H109" i="49" a="1"/>
  <c r="H109" i="49" s="1"/>
  <c r="G109" i="49" a="1"/>
  <c r="G109" i="49" s="1"/>
  <c r="B109" i="49" a="1"/>
  <c r="B109" i="49" s="1"/>
  <c r="A109" i="49" a="1"/>
  <c r="A109" i="49" s="1"/>
  <c r="I108" i="49" a="1"/>
  <c r="I108" i="49" s="1"/>
  <c r="H108" i="49" a="1"/>
  <c r="H108" i="49" s="1"/>
  <c r="G108" i="49" a="1"/>
  <c r="G108" i="49" s="1"/>
  <c r="B108" i="49" a="1"/>
  <c r="B108" i="49" s="1"/>
  <c r="A108" i="49" a="1"/>
  <c r="A108" i="49" s="1"/>
  <c r="I107" i="49" a="1"/>
  <c r="I107" i="49" s="1"/>
  <c r="H107" i="49" a="1"/>
  <c r="H107" i="49" s="1"/>
  <c r="G107" i="49" a="1"/>
  <c r="G107" i="49" s="1"/>
  <c r="B107" i="49" a="1"/>
  <c r="B107" i="49" s="1"/>
  <c r="A107" i="49" a="1"/>
  <c r="A107" i="49" s="1"/>
  <c r="I106" i="49" a="1"/>
  <c r="I106" i="49" s="1"/>
  <c r="H106" i="49" a="1"/>
  <c r="H106" i="49" s="1"/>
  <c r="G106" i="49" a="1"/>
  <c r="G106" i="49" s="1"/>
  <c r="B106" i="49" a="1"/>
  <c r="B106" i="49" s="1"/>
  <c r="A106" i="49" a="1"/>
  <c r="A106" i="49" s="1"/>
  <c r="I105" i="49" a="1"/>
  <c r="I105" i="49" s="1"/>
  <c r="H105" i="49" a="1"/>
  <c r="H105" i="49" s="1"/>
  <c r="G105" i="49" a="1"/>
  <c r="G105" i="49" s="1"/>
  <c r="B105" i="49" a="1"/>
  <c r="B105" i="49" s="1"/>
  <c r="A105" i="49" a="1"/>
  <c r="A105" i="49" s="1"/>
  <c r="I104" i="49" a="1"/>
  <c r="I104" i="49" s="1"/>
  <c r="H104" i="49" a="1"/>
  <c r="H104" i="49" s="1"/>
  <c r="G104" i="49" a="1"/>
  <c r="G104" i="49" s="1"/>
  <c r="B104" i="49" a="1"/>
  <c r="B104" i="49" s="1"/>
  <c r="A104" i="49" a="1"/>
  <c r="A104" i="49" s="1"/>
  <c r="I103" i="49" a="1"/>
  <c r="I103" i="49" s="1"/>
  <c r="H103" i="49" a="1"/>
  <c r="H103" i="49" s="1"/>
  <c r="G103" i="49" a="1"/>
  <c r="G103" i="49" s="1"/>
  <c r="A103" i="49" a="1"/>
  <c r="A103" i="49" s="1"/>
  <c r="F103" i="49" s="1"/>
  <c r="I102" i="49" a="1"/>
  <c r="I102" i="49" s="1"/>
  <c r="H102" i="49" a="1"/>
  <c r="H102" i="49" s="1"/>
  <c r="G102" i="49" a="1"/>
  <c r="G102" i="49" s="1"/>
  <c r="B102" i="49" a="1"/>
  <c r="B102" i="49" s="1"/>
  <c r="A102" i="49" a="1"/>
  <c r="A102" i="49" s="1"/>
  <c r="I101" i="49" a="1"/>
  <c r="I101" i="49" s="1"/>
  <c r="H101" i="49" a="1"/>
  <c r="H101" i="49" s="1"/>
  <c r="G101" i="49" a="1"/>
  <c r="G101" i="49" s="1"/>
  <c r="B101" i="49" a="1"/>
  <c r="B101" i="49" s="1"/>
  <c r="A101" i="49" a="1"/>
  <c r="A101" i="49" s="1"/>
  <c r="F101" i="49" s="1"/>
  <c r="I100" i="49" a="1"/>
  <c r="I100" i="49" s="1"/>
  <c r="H100" i="49" a="1"/>
  <c r="H100" i="49" s="1"/>
  <c r="G100" i="49" a="1"/>
  <c r="G100" i="49" s="1"/>
  <c r="B100" i="49" a="1"/>
  <c r="B100" i="49" s="1"/>
  <c r="A100" i="49" a="1"/>
  <c r="A100" i="49" s="1"/>
  <c r="I99" i="49" a="1"/>
  <c r="I99" i="49" s="1"/>
  <c r="H99" i="49" a="1"/>
  <c r="H99" i="49" s="1"/>
  <c r="G99" i="49" a="1"/>
  <c r="G99" i="49" s="1"/>
  <c r="B99" i="49" a="1"/>
  <c r="B99" i="49" s="1"/>
  <c r="A99" i="49" a="1"/>
  <c r="A99" i="49" s="1"/>
  <c r="I98" i="49" a="1"/>
  <c r="I98" i="49" s="1"/>
  <c r="H98" i="49" a="1"/>
  <c r="H98" i="49" s="1"/>
  <c r="G98" i="49" a="1"/>
  <c r="G98" i="49" s="1"/>
  <c r="B98" i="49" a="1"/>
  <c r="B98" i="49" s="1"/>
  <c r="A98" i="49" a="1"/>
  <c r="A98" i="49" s="1"/>
  <c r="I97" i="49" a="1"/>
  <c r="I97" i="49" s="1"/>
  <c r="H97" i="49" a="1"/>
  <c r="H97" i="49" s="1"/>
  <c r="G97" i="49" a="1"/>
  <c r="G97" i="49" s="1"/>
  <c r="B97" i="49" a="1"/>
  <c r="B97" i="49" s="1"/>
  <c r="A97" i="49" a="1"/>
  <c r="A97" i="49" s="1"/>
  <c r="I96" i="49" a="1"/>
  <c r="I96" i="49" s="1"/>
  <c r="H96" i="49" a="1"/>
  <c r="H96" i="49" s="1"/>
  <c r="G96" i="49" a="1"/>
  <c r="G96" i="49" s="1"/>
  <c r="B96" i="49" a="1"/>
  <c r="B96" i="49" s="1"/>
  <c r="A96" i="49" a="1"/>
  <c r="A96" i="49" s="1"/>
  <c r="I95" i="49" a="1"/>
  <c r="I95" i="49" s="1"/>
  <c r="H95" i="49" a="1"/>
  <c r="H95" i="49" s="1"/>
  <c r="G95" i="49" a="1"/>
  <c r="G95" i="49" s="1"/>
  <c r="B95" i="49" a="1"/>
  <c r="B95" i="49" s="1"/>
  <c r="A95" i="49" a="1"/>
  <c r="A95" i="49" s="1"/>
  <c r="I94" i="49" a="1"/>
  <c r="I94" i="49" s="1"/>
  <c r="H94" i="49" a="1"/>
  <c r="H94" i="49" s="1"/>
  <c r="G94" i="49" a="1"/>
  <c r="G94" i="49" s="1"/>
  <c r="B94" i="49" a="1"/>
  <c r="B94" i="49" s="1"/>
  <c r="A94" i="49" a="1"/>
  <c r="A94" i="49" s="1"/>
  <c r="I93" i="49" a="1"/>
  <c r="I93" i="49" s="1"/>
  <c r="H93" i="49" a="1"/>
  <c r="H93" i="49" s="1"/>
  <c r="G93" i="49" a="1"/>
  <c r="G93" i="49" s="1"/>
  <c r="B93" i="49" a="1"/>
  <c r="B93" i="49" s="1"/>
  <c r="A93" i="49" a="1"/>
  <c r="A93" i="49" s="1"/>
  <c r="I92" i="49" a="1"/>
  <c r="I92" i="49" s="1"/>
  <c r="H92" i="49" a="1"/>
  <c r="H92" i="49" s="1"/>
  <c r="G92" i="49" a="1"/>
  <c r="G92" i="49" s="1"/>
  <c r="B92" i="49" a="1"/>
  <c r="B92" i="49" s="1"/>
  <c r="A92" i="49" a="1"/>
  <c r="A92" i="49" s="1"/>
  <c r="I91" i="49" a="1"/>
  <c r="I91" i="49" s="1"/>
  <c r="H91" i="49" a="1"/>
  <c r="H91" i="49" s="1"/>
  <c r="G91" i="49" a="1"/>
  <c r="G91" i="49" s="1"/>
  <c r="B91" i="49" a="1"/>
  <c r="B91" i="49" s="1"/>
  <c r="A91" i="49" a="1"/>
  <c r="A91" i="49" s="1"/>
  <c r="F91" i="49" s="1"/>
  <c r="I90" i="49" a="1"/>
  <c r="I90" i="49" s="1"/>
  <c r="H90" i="49" a="1"/>
  <c r="H90" i="49" s="1"/>
  <c r="G90" i="49" a="1"/>
  <c r="G90" i="49" s="1"/>
  <c r="B90" i="49" a="1"/>
  <c r="B90" i="49" s="1"/>
  <c r="A90" i="49" a="1"/>
  <c r="A90" i="49" s="1"/>
  <c r="I89" i="49" a="1"/>
  <c r="I89" i="49" s="1"/>
  <c r="H89" i="49" a="1"/>
  <c r="H89" i="49" s="1"/>
  <c r="G89" i="49" a="1"/>
  <c r="G89" i="49" s="1"/>
  <c r="B89" i="49" a="1"/>
  <c r="B89" i="49" s="1"/>
  <c r="A89" i="49" a="1"/>
  <c r="A89" i="49" s="1"/>
  <c r="F89" i="49" s="1"/>
  <c r="I88" i="49" a="1"/>
  <c r="I88" i="49" s="1"/>
  <c r="H88" i="49" a="1"/>
  <c r="H88" i="49" s="1"/>
  <c r="G88" i="49" a="1"/>
  <c r="G88" i="49" s="1"/>
  <c r="B88" i="49" a="1"/>
  <c r="B88" i="49" s="1"/>
  <c r="A88" i="49" a="1"/>
  <c r="A88" i="49" s="1"/>
  <c r="I87" i="49" a="1"/>
  <c r="I87" i="49" s="1"/>
  <c r="H87" i="49" a="1"/>
  <c r="H87" i="49" s="1"/>
  <c r="G87" i="49" a="1"/>
  <c r="G87" i="49" s="1"/>
  <c r="B87" i="49" a="1"/>
  <c r="B87" i="49" s="1"/>
  <c r="A87" i="49" a="1"/>
  <c r="A87" i="49" s="1"/>
  <c r="I86" i="49" a="1"/>
  <c r="I86" i="49" s="1"/>
  <c r="H86" i="49" a="1"/>
  <c r="H86" i="49" s="1"/>
  <c r="G86" i="49" a="1"/>
  <c r="G86" i="49" s="1"/>
  <c r="B86" i="49" a="1"/>
  <c r="B86" i="49" s="1"/>
  <c r="A86" i="49" a="1"/>
  <c r="A86" i="49" s="1"/>
  <c r="I85" i="49" a="1"/>
  <c r="I85" i="49" s="1"/>
  <c r="H85" i="49" a="1"/>
  <c r="H85" i="49" s="1"/>
  <c r="G85" i="49" a="1"/>
  <c r="G85" i="49" s="1"/>
  <c r="B85" i="49" a="1"/>
  <c r="B85" i="49" s="1"/>
  <c r="A85" i="49" a="1"/>
  <c r="A85" i="49" s="1"/>
  <c r="K85" i="49" s="1"/>
  <c r="I84" i="49" a="1"/>
  <c r="I84" i="49" s="1"/>
  <c r="H84" i="49" a="1"/>
  <c r="H84" i="49" s="1"/>
  <c r="G84" i="49" a="1"/>
  <c r="G84" i="49" s="1"/>
  <c r="B84" i="49" a="1"/>
  <c r="B84" i="49" s="1"/>
  <c r="A84" i="49" a="1"/>
  <c r="A84" i="49" s="1"/>
  <c r="I83" i="49" a="1"/>
  <c r="I83" i="49" s="1"/>
  <c r="H83" i="49" a="1"/>
  <c r="H83" i="49" s="1"/>
  <c r="G83" i="49" a="1"/>
  <c r="G83" i="49" s="1"/>
  <c r="B83" i="49" a="1"/>
  <c r="B83" i="49" s="1"/>
  <c r="A83" i="49" a="1"/>
  <c r="A83" i="49" s="1"/>
  <c r="I82" i="49" a="1"/>
  <c r="I82" i="49" s="1"/>
  <c r="H82" i="49" a="1"/>
  <c r="H82" i="49" s="1"/>
  <c r="G82" i="49" a="1"/>
  <c r="G82" i="49" s="1"/>
  <c r="B82" i="49" a="1"/>
  <c r="B82" i="49" s="1"/>
  <c r="A82" i="49" a="1"/>
  <c r="A82" i="49" s="1"/>
  <c r="K82" i="49" s="1"/>
  <c r="I81" i="49" a="1"/>
  <c r="I81" i="49" s="1"/>
  <c r="H81" i="49" a="1"/>
  <c r="H81" i="49" s="1"/>
  <c r="G81" i="49" a="1"/>
  <c r="G81" i="49" s="1"/>
  <c r="B81" i="49" a="1"/>
  <c r="B81" i="49" s="1"/>
  <c r="A81" i="49" a="1"/>
  <c r="A81" i="49" s="1"/>
  <c r="I80" i="49" a="1"/>
  <c r="I80" i="49" s="1"/>
  <c r="H80" i="49" a="1"/>
  <c r="H80" i="49" s="1"/>
  <c r="G80" i="49" a="1"/>
  <c r="G80" i="49" s="1"/>
  <c r="B80" i="49" a="1"/>
  <c r="B80" i="49" s="1"/>
  <c r="A80" i="49" a="1"/>
  <c r="A80" i="49" s="1"/>
  <c r="I79" i="49" a="1"/>
  <c r="I79" i="49" s="1"/>
  <c r="H79" i="49" a="1"/>
  <c r="H79" i="49" s="1"/>
  <c r="G79" i="49" a="1"/>
  <c r="G79" i="49" s="1"/>
  <c r="B79" i="49" a="1"/>
  <c r="B79" i="49" s="1"/>
  <c r="A79" i="49" a="1"/>
  <c r="A79" i="49" s="1"/>
  <c r="F79" i="49" s="1"/>
  <c r="I78" i="49" a="1"/>
  <c r="I78" i="49" s="1"/>
  <c r="H78" i="49" a="1"/>
  <c r="H78" i="49" s="1"/>
  <c r="G78" i="49" a="1"/>
  <c r="G78" i="49" s="1"/>
  <c r="B78" i="49" a="1"/>
  <c r="B78" i="49" s="1"/>
  <c r="A78" i="49" a="1"/>
  <c r="A78" i="49" s="1"/>
  <c r="I77" i="49" a="1"/>
  <c r="I77" i="49" s="1"/>
  <c r="H77" i="49" a="1"/>
  <c r="H77" i="49" s="1"/>
  <c r="G77" i="49" a="1"/>
  <c r="G77" i="49" s="1"/>
  <c r="B77" i="49" a="1"/>
  <c r="B77" i="49" s="1"/>
  <c r="A77" i="49" a="1"/>
  <c r="A77" i="49" s="1"/>
  <c r="F77" i="49" s="1"/>
  <c r="I76" i="49" a="1"/>
  <c r="I76" i="49" s="1"/>
  <c r="H76" i="49" a="1"/>
  <c r="H76" i="49" s="1"/>
  <c r="G76" i="49" a="1"/>
  <c r="G76" i="49" s="1"/>
  <c r="B76" i="49" a="1"/>
  <c r="B76" i="49" s="1"/>
  <c r="A76" i="49" a="1"/>
  <c r="A76" i="49" s="1"/>
  <c r="I75" i="49" a="1"/>
  <c r="I75" i="49" s="1"/>
  <c r="H75" i="49" a="1"/>
  <c r="H75" i="49" s="1"/>
  <c r="G75" i="49" a="1"/>
  <c r="G75" i="49" s="1"/>
  <c r="B75" i="49" a="1"/>
  <c r="B75" i="49" s="1"/>
  <c r="A75" i="49" a="1"/>
  <c r="A75" i="49" s="1"/>
  <c r="H55" i="49" a="1"/>
  <c r="H55" i="49" s="1"/>
  <c r="G55" i="49" a="1"/>
  <c r="G55" i="49" s="1"/>
  <c r="B55" i="49" a="1"/>
  <c r="B55" i="49" s="1"/>
  <c r="A55" i="49" a="1"/>
  <c r="A55" i="49" s="1"/>
  <c r="H54" i="49" a="1"/>
  <c r="H54" i="49" s="1"/>
  <c r="G54" i="49" a="1"/>
  <c r="G54" i="49" s="1"/>
  <c r="B54" i="49" a="1"/>
  <c r="B54" i="49" s="1"/>
  <c r="A54" i="49" a="1"/>
  <c r="A54" i="49" s="1"/>
  <c r="H53" i="49" a="1"/>
  <c r="H53" i="49" s="1"/>
  <c r="G53" i="49" a="1"/>
  <c r="G53" i="49" s="1"/>
  <c r="B53" i="49" a="1"/>
  <c r="B53" i="49" s="1"/>
  <c r="A53" i="49" a="1"/>
  <c r="A53" i="49" s="1"/>
  <c r="H52" i="49" a="1"/>
  <c r="H52" i="49" s="1"/>
  <c r="G52" i="49" a="1"/>
  <c r="G52" i="49" s="1"/>
  <c r="B52" i="49" a="1"/>
  <c r="B52" i="49" s="1"/>
  <c r="A52" i="49" a="1"/>
  <c r="A52" i="49" s="1"/>
  <c r="H51" i="49" a="1"/>
  <c r="H51" i="49" s="1"/>
  <c r="G51" i="49" a="1"/>
  <c r="G51" i="49" s="1"/>
  <c r="B51" i="49" a="1"/>
  <c r="B51" i="49" s="1"/>
  <c r="A51" i="49" a="1"/>
  <c r="A51" i="49" s="1"/>
  <c r="H50" i="49" a="1"/>
  <c r="H50" i="49" s="1"/>
  <c r="G50" i="49" a="1"/>
  <c r="G50" i="49" s="1"/>
  <c r="B50" i="49" a="1"/>
  <c r="B50" i="49" s="1"/>
  <c r="A50" i="49" a="1"/>
  <c r="A50" i="49" s="1"/>
  <c r="H49" i="49" a="1"/>
  <c r="H49" i="49" s="1"/>
  <c r="G49" i="49" a="1"/>
  <c r="G49" i="49" s="1"/>
  <c r="B49" i="49" a="1"/>
  <c r="B49" i="49" s="1"/>
  <c r="A49" i="49" a="1"/>
  <c r="A49" i="49" s="1"/>
  <c r="H48" i="49" a="1"/>
  <c r="H48" i="49" s="1"/>
  <c r="G48" i="49" a="1"/>
  <c r="G48" i="49" s="1"/>
  <c r="B48" i="49" a="1"/>
  <c r="B48" i="49" s="1"/>
  <c r="A48" i="49" a="1"/>
  <c r="A48" i="49" s="1"/>
  <c r="H47" i="49" a="1"/>
  <c r="H47" i="49" s="1"/>
  <c r="G47" i="49" a="1"/>
  <c r="G47" i="49" s="1"/>
  <c r="B47" i="49" a="1"/>
  <c r="B47" i="49" s="1"/>
  <c r="A47" i="49" a="1"/>
  <c r="A47" i="49" s="1"/>
  <c r="H46" i="49" a="1"/>
  <c r="H46" i="49" s="1"/>
  <c r="G46" i="49" a="1"/>
  <c r="G46" i="49" s="1"/>
  <c r="B46" i="49" a="1"/>
  <c r="B46" i="49" s="1"/>
  <c r="A46" i="49" a="1"/>
  <c r="A46" i="49" s="1"/>
  <c r="L46" i="49" s="1"/>
  <c r="H39" i="49" a="1"/>
  <c r="H39" i="49" s="1"/>
  <c r="G39" i="49" a="1"/>
  <c r="G39" i="49" s="1"/>
  <c r="B39" i="49" a="1"/>
  <c r="B39" i="49" s="1"/>
  <c r="A39" i="49" a="1"/>
  <c r="A39" i="49" s="1"/>
  <c r="H38" i="49" a="1"/>
  <c r="H38" i="49" s="1"/>
  <c r="G38" i="49" a="1"/>
  <c r="G38" i="49" s="1"/>
  <c r="B38" i="49" a="1"/>
  <c r="B38" i="49" s="1"/>
  <c r="A38" i="49" a="1"/>
  <c r="A38" i="49" s="1"/>
  <c r="H37" i="49" a="1"/>
  <c r="H37" i="49" s="1"/>
  <c r="G37" i="49" a="1"/>
  <c r="G37" i="49" s="1"/>
  <c r="B37" i="49" a="1"/>
  <c r="B37" i="49" s="1"/>
  <c r="A37" i="49" a="1"/>
  <c r="A37" i="49" s="1"/>
  <c r="H36" i="49" a="1"/>
  <c r="H36" i="49" s="1"/>
  <c r="G36" i="49" a="1"/>
  <c r="G36" i="49" s="1"/>
  <c r="B36" i="49" a="1"/>
  <c r="B36" i="49" s="1"/>
  <c r="A36" i="49" a="1"/>
  <c r="A36" i="49" s="1"/>
  <c r="H35" i="49" a="1"/>
  <c r="H35" i="49" s="1"/>
  <c r="G35" i="49" a="1"/>
  <c r="G35" i="49" s="1"/>
  <c r="B35" i="49" a="1"/>
  <c r="B35" i="49" s="1"/>
  <c r="A35" i="49" a="1"/>
  <c r="A35" i="49" s="1"/>
  <c r="H34" i="49" a="1"/>
  <c r="H34" i="49" s="1"/>
  <c r="G34" i="49" a="1"/>
  <c r="G34" i="49" s="1"/>
  <c r="B34" i="49" a="1"/>
  <c r="B34" i="49" s="1"/>
  <c r="A34" i="49" a="1"/>
  <c r="A34" i="49" s="1"/>
  <c r="H33" i="49" a="1"/>
  <c r="H33" i="49" s="1"/>
  <c r="G33" i="49" a="1"/>
  <c r="G33" i="49" s="1"/>
  <c r="B33" i="49" a="1"/>
  <c r="B33" i="49" s="1"/>
  <c r="A33" i="49" a="1"/>
  <c r="A33" i="49" s="1"/>
  <c r="H32" i="49" a="1"/>
  <c r="H32" i="49" s="1"/>
  <c r="G32" i="49" a="1"/>
  <c r="G32" i="49" s="1"/>
  <c r="B32" i="49" a="1"/>
  <c r="B32" i="49" s="1"/>
  <c r="A32" i="49" a="1"/>
  <c r="A32" i="49" s="1"/>
  <c r="H31" i="49" a="1"/>
  <c r="H31" i="49" s="1"/>
  <c r="G31" i="49" a="1"/>
  <c r="G31" i="49" s="1"/>
  <c r="B31" i="49" a="1"/>
  <c r="B31" i="49" s="1"/>
  <c r="A31" i="49" a="1"/>
  <c r="A31" i="49" s="1"/>
  <c r="H30" i="49" a="1"/>
  <c r="H30" i="49" s="1"/>
  <c r="G30" i="49" a="1"/>
  <c r="G30" i="49" s="1"/>
  <c r="B30" i="49" a="1"/>
  <c r="B30" i="49" s="1"/>
  <c r="A30" i="49" a="1"/>
  <c r="A30" i="49" s="1"/>
  <c r="H29" i="49" a="1"/>
  <c r="H29" i="49" s="1"/>
  <c r="G29" i="49" a="1"/>
  <c r="G29" i="49" s="1"/>
  <c r="B29" i="49" a="1"/>
  <c r="B29" i="49" s="1"/>
  <c r="A29" i="49" a="1"/>
  <c r="A29" i="49" s="1"/>
  <c r="H28" i="49" a="1"/>
  <c r="H28" i="49" s="1"/>
  <c r="G28" i="49" a="1"/>
  <c r="G28" i="49" s="1"/>
  <c r="B28" i="49" a="1"/>
  <c r="B28" i="49" s="1"/>
  <c r="A28" i="49" a="1"/>
  <c r="A28" i="49" s="1"/>
  <c r="H27" i="49" a="1"/>
  <c r="H27" i="49" s="1"/>
  <c r="G27" i="49" a="1"/>
  <c r="G27" i="49" s="1"/>
  <c r="B27" i="49" a="1"/>
  <c r="B27" i="49" s="1"/>
  <c r="A27" i="49" a="1"/>
  <c r="A27" i="49" s="1"/>
  <c r="H26" i="49" a="1"/>
  <c r="H26" i="49" s="1"/>
  <c r="G26" i="49" a="1"/>
  <c r="G26" i="49" s="1"/>
  <c r="B26" i="49" a="1"/>
  <c r="B26" i="49" s="1"/>
  <c r="A26" i="49" a="1"/>
  <c r="A26" i="49" s="1"/>
  <c r="H25" i="49" a="1"/>
  <c r="H25" i="49" s="1"/>
  <c r="G25" i="49" a="1"/>
  <c r="G25" i="49" s="1"/>
  <c r="B25" i="49" a="1"/>
  <c r="B25" i="49" s="1"/>
  <c r="A25" i="49" a="1"/>
  <c r="A25" i="49" s="1"/>
  <c r="H24" i="49" a="1"/>
  <c r="H24" i="49" s="1"/>
  <c r="G24" i="49" a="1"/>
  <c r="G24" i="49" s="1"/>
  <c r="B24" i="49" a="1"/>
  <c r="B24" i="49" s="1"/>
  <c r="A24" i="49" a="1"/>
  <c r="A24" i="49" s="1"/>
  <c r="H23" i="49" a="1"/>
  <c r="H23" i="49" s="1"/>
  <c r="G23" i="49" a="1"/>
  <c r="G23" i="49" s="1"/>
  <c r="B23" i="49" a="1"/>
  <c r="B23" i="49" s="1"/>
  <c r="A23" i="49" a="1"/>
  <c r="A23" i="49" s="1"/>
  <c r="H22" i="49" a="1"/>
  <c r="H22" i="49" s="1"/>
  <c r="G22" i="49" a="1"/>
  <c r="G22" i="49" s="1"/>
  <c r="B22" i="49" a="1"/>
  <c r="B22" i="49" s="1"/>
  <c r="A22" i="49" a="1"/>
  <c r="A22" i="49" s="1"/>
  <c r="H21" i="49" a="1"/>
  <c r="H21" i="49" s="1"/>
  <c r="G21" i="49" a="1"/>
  <c r="G21" i="49" s="1"/>
  <c r="B21" i="49" a="1"/>
  <c r="B21" i="49" s="1"/>
  <c r="A21" i="49" a="1"/>
  <c r="A21" i="49" s="1"/>
  <c r="H20" i="49" a="1"/>
  <c r="H20" i="49" s="1"/>
  <c r="G20" i="49" a="1"/>
  <c r="G20" i="49" s="1"/>
  <c r="B20" i="49" a="1"/>
  <c r="B20" i="49" s="1"/>
  <c r="A20" i="49" a="1"/>
  <c r="A20" i="49" s="1"/>
  <c r="H19" i="49" a="1"/>
  <c r="H19" i="49" s="1"/>
  <c r="G19" i="49" a="1"/>
  <c r="G19" i="49" s="1"/>
  <c r="B19" i="49" a="1"/>
  <c r="B19" i="49" s="1"/>
  <c r="A19" i="49" a="1"/>
  <c r="A19" i="49" s="1"/>
  <c r="H18" i="49" a="1"/>
  <c r="H18" i="49" s="1"/>
  <c r="G18" i="49" a="1"/>
  <c r="G18" i="49" s="1"/>
  <c r="B18" i="49" a="1"/>
  <c r="B18" i="49" s="1"/>
  <c r="A18" i="49" a="1"/>
  <c r="A18" i="49" s="1"/>
  <c r="H17" i="49" a="1"/>
  <c r="H17" i="49" s="1"/>
  <c r="G17" i="49" a="1"/>
  <c r="G17" i="49" s="1"/>
  <c r="B17" i="49" a="1"/>
  <c r="B17" i="49" s="1"/>
  <c r="A17" i="49" a="1"/>
  <c r="A17" i="49" s="1"/>
  <c r="H16" i="49" a="1"/>
  <c r="H16" i="49" s="1"/>
  <c r="G16" i="49" a="1"/>
  <c r="G16" i="49" s="1"/>
  <c r="B16" i="49" a="1"/>
  <c r="B16" i="49" s="1"/>
  <c r="A16" i="49" a="1"/>
  <c r="A16" i="49" s="1"/>
  <c r="H15" i="49" a="1"/>
  <c r="H15" i="49" s="1"/>
  <c r="G15" i="49" a="1"/>
  <c r="G15" i="49" s="1"/>
  <c r="B15" i="49" a="1"/>
  <c r="B15" i="49" s="1"/>
  <c r="A15" i="49" a="1"/>
  <c r="A15" i="49" s="1"/>
  <c r="H14" i="49" a="1"/>
  <c r="H14" i="49" s="1"/>
  <c r="G14" i="49" a="1"/>
  <c r="G14" i="49" s="1"/>
  <c r="B14" i="49" a="1"/>
  <c r="B14" i="49" s="1"/>
  <c r="A14" i="49" a="1"/>
  <c r="A14" i="49" s="1"/>
  <c r="F61" i="48"/>
  <c r="H63" i="48" s="1"/>
  <c r="A61" i="48"/>
  <c r="F108" i="48"/>
  <c r="H110" i="48" s="1"/>
  <c r="K94" i="49" l="1"/>
  <c r="K106" i="49"/>
  <c r="K99" i="49"/>
  <c r="K54" i="49"/>
  <c r="L14" i="49"/>
  <c r="K46" i="49"/>
  <c r="F46" i="49"/>
  <c r="L28" i="49"/>
  <c r="F28" i="49"/>
  <c r="L35" i="49"/>
  <c r="F35" i="49"/>
  <c r="L23" i="49"/>
  <c r="F23" i="49"/>
  <c r="K87" i="49"/>
  <c r="F87" i="49"/>
  <c r="L53" i="49"/>
  <c r="K53" i="49"/>
  <c r="F53" i="49"/>
  <c r="F99" i="49"/>
  <c r="K28" i="49"/>
  <c r="K14" i="49"/>
  <c r="L81" i="49"/>
  <c r="F81" i="49"/>
  <c r="K81" i="49"/>
  <c r="L93" i="49"/>
  <c r="F93" i="49"/>
  <c r="K93" i="49"/>
  <c r="K107" i="49"/>
  <c r="L107" i="49"/>
  <c r="F107" i="49"/>
  <c r="K109" i="49"/>
  <c r="L109" i="49"/>
  <c r="F109" i="49"/>
  <c r="K86" i="49"/>
  <c r="L86" i="49"/>
  <c r="F86" i="49"/>
  <c r="K98" i="49"/>
  <c r="L98" i="49"/>
  <c r="F98" i="49"/>
  <c r="L105" i="49"/>
  <c r="F105" i="49"/>
  <c r="K105" i="49"/>
  <c r="K75" i="49"/>
  <c r="L75" i="49"/>
  <c r="F75" i="49"/>
  <c r="K84" i="49"/>
  <c r="L84" i="49"/>
  <c r="F84" i="49"/>
  <c r="K96" i="49"/>
  <c r="L96" i="49"/>
  <c r="F96" i="49"/>
  <c r="K110" i="49"/>
  <c r="L110" i="49"/>
  <c r="F110" i="49"/>
  <c r="F78" i="49"/>
  <c r="K78" i="49"/>
  <c r="L78" i="49"/>
  <c r="F80" i="49"/>
  <c r="K80" i="49"/>
  <c r="L80" i="49"/>
  <c r="F92" i="49"/>
  <c r="L92" i="49"/>
  <c r="K92" i="49"/>
  <c r="K108" i="49"/>
  <c r="L108" i="49"/>
  <c r="F108" i="49"/>
  <c r="F100" i="49"/>
  <c r="K100" i="49"/>
  <c r="L100" i="49"/>
  <c r="F90" i="49"/>
  <c r="K90" i="49"/>
  <c r="L90" i="49"/>
  <c r="F76" i="49"/>
  <c r="K76" i="49"/>
  <c r="L76" i="49"/>
  <c r="K95" i="49"/>
  <c r="L95" i="49"/>
  <c r="F95" i="49"/>
  <c r="K97" i="49"/>
  <c r="L97" i="49"/>
  <c r="F97" i="49"/>
  <c r="K83" i="49"/>
  <c r="L83" i="49"/>
  <c r="F83" i="49"/>
  <c r="F88" i="49"/>
  <c r="K88" i="49"/>
  <c r="L88" i="49"/>
  <c r="F102" i="49"/>
  <c r="K102" i="49"/>
  <c r="L102" i="49"/>
  <c r="F104" i="49"/>
  <c r="L104" i="49"/>
  <c r="K104" i="49"/>
  <c r="L79" i="49"/>
  <c r="L91" i="49"/>
  <c r="L103" i="49"/>
  <c r="K79" i="49"/>
  <c r="K91" i="49"/>
  <c r="K103" i="49"/>
  <c r="L77" i="49"/>
  <c r="F85" i="49"/>
  <c r="L89" i="49"/>
  <c r="L101" i="49"/>
  <c r="K77" i="49"/>
  <c r="K89" i="49"/>
  <c r="K101" i="49"/>
  <c r="L87" i="49"/>
  <c r="L99" i="49"/>
  <c r="F82" i="49"/>
  <c r="F94" i="49"/>
  <c r="F106" i="49"/>
  <c r="L85" i="49"/>
  <c r="L82" i="49"/>
  <c r="L94" i="49"/>
  <c r="L106" i="49"/>
  <c r="F30" i="49"/>
  <c r="K30" i="49"/>
  <c r="L30" i="49"/>
  <c r="K35" i="49"/>
  <c r="K24" i="49"/>
  <c r="F16" i="49"/>
  <c r="K16" i="49"/>
  <c r="L16" i="49"/>
  <c r="F18" i="49"/>
  <c r="K18" i="49"/>
  <c r="L18" i="49"/>
  <c r="L20" i="49"/>
  <c r="F20" i="49"/>
  <c r="K20" i="49"/>
  <c r="K39" i="49"/>
  <c r="L39" i="49"/>
  <c r="F39" i="49"/>
  <c r="K34" i="49"/>
  <c r="L34" i="49"/>
  <c r="F34" i="49"/>
  <c r="K22" i="49"/>
  <c r="L22" i="49"/>
  <c r="F22" i="49"/>
  <c r="K26" i="49"/>
  <c r="L26" i="49"/>
  <c r="F26" i="49"/>
  <c r="K37" i="49"/>
  <c r="L37" i="49"/>
  <c r="F37" i="49"/>
  <c r="L50" i="49"/>
  <c r="F50" i="49"/>
  <c r="K50" i="49"/>
  <c r="K52" i="49"/>
  <c r="L52" i="49"/>
  <c r="F52" i="49"/>
  <c r="F48" i="49"/>
  <c r="K48" i="49"/>
  <c r="L48" i="49"/>
  <c r="K55" i="49"/>
  <c r="L55" i="49"/>
  <c r="F55" i="49"/>
  <c r="K23" i="49"/>
  <c r="F47" i="49"/>
  <c r="K47" i="49"/>
  <c r="L47" i="49"/>
  <c r="F29" i="49"/>
  <c r="K29" i="49"/>
  <c r="L29" i="49"/>
  <c r="F31" i="49"/>
  <c r="K31" i="49"/>
  <c r="L31" i="49"/>
  <c r="K33" i="49"/>
  <c r="L33" i="49"/>
  <c r="F33" i="49"/>
  <c r="L32" i="49"/>
  <c r="F32" i="49"/>
  <c r="K32" i="49"/>
  <c r="K15" i="49"/>
  <c r="L15" i="49"/>
  <c r="F15" i="49"/>
  <c r="F17" i="49"/>
  <c r="K17" i="49"/>
  <c r="L17" i="49"/>
  <c r="F19" i="49"/>
  <c r="K19" i="49"/>
  <c r="L19" i="49"/>
  <c r="K25" i="49"/>
  <c r="L25" i="49"/>
  <c r="F25" i="49"/>
  <c r="K27" i="49"/>
  <c r="L27" i="49"/>
  <c r="F27" i="49"/>
  <c r="K36" i="49"/>
  <c r="K21" i="49"/>
  <c r="L21" i="49"/>
  <c r="F21" i="49"/>
  <c r="K38" i="49"/>
  <c r="L38" i="49"/>
  <c r="F38" i="49"/>
  <c r="F49" i="49"/>
  <c r="K49" i="49"/>
  <c r="L49" i="49"/>
  <c r="K51" i="49"/>
  <c r="L51" i="49"/>
  <c r="F51" i="49"/>
  <c r="F14" i="49"/>
  <c r="F24" i="49"/>
  <c r="F36" i="49"/>
  <c r="F54" i="49"/>
  <c r="L24" i="49"/>
  <c r="L36" i="49"/>
  <c r="L54" i="49"/>
  <c r="E67" i="49" l="1"/>
  <c r="H122" i="49" s="1"/>
  <c r="H67" i="49"/>
  <c r="H73" i="49" s="1"/>
  <c r="H59" i="48"/>
  <c r="H61" i="48" s="1"/>
  <c r="D124" i="49" l="1"/>
  <c r="H112" i="48"/>
  <c r="D69" i="49"/>
  <c r="H69" i="49"/>
  <c r="D61" i="48"/>
  <c r="H65" i="48"/>
  <c r="H124" i="49" l="1"/>
  <c r="H128" i="49"/>
  <c r="D108" i="48"/>
  <c r="H108" i="48"/>
  <c r="F63" i="45" l="1"/>
  <c r="H65" i="45" s="1"/>
  <c r="H56" i="44"/>
  <c r="I55" i="49" l="1" a="1"/>
  <c r="I55" i="49" s="1"/>
  <c r="I54" i="49" a="1"/>
  <c r="I54" i="49" s="1"/>
  <c r="I53" i="49" a="1"/>
  <c r="I53" i="49" s="1"/>
  <c r="I52" i="49" a="1"/>
  <c r="I52" i="49" s="1"/>
  <c r="I51" i="49" a="1"/>
  <c r="I51" i="49" s="1"/>
  <c r="I50" i="49" a="1"/>
  <c r="I50" i="49" s="1"/>
  <c r="I49" i="49" a="1"/>
  <c r="I49" i="49" s="1"/>
  <c r="I48" i="49" a="1"/>
  <c r="I48" i="49" s="1"/>
  <c r="I38" i="49" a="1"/>
  <c r="I38" i="49" s="1"/>
  <c r="I47" i="49" a="1"/>
  <c r="I47" i="49" s="1"/>
  <c r="I46" i="49" a="1"/>
  <c r="I46" i="49" s="1"/>
  <c r="I39" i="49" a="1"/>
  <c r="I39" i="49" s="1"/>
  <c r="I17" i="49" a="1"/>
  <c r="I17" i="49" s="1"/>
  <c r="I37" i="49" a="1"/>
  <c r="I37" i="49" s="1"/>
  <c r="I29" i="49" a="1"/>
  <c r="I29" i="49" s="1"/>
  <c r="I36" i="49" a="1"/>
  <c r="I36" i="49" s="1"/>
  <c r="I28" i="49" a="1"/>
  <c r="I28" i="49" s="1"/>
  <c r="I23" i="49" a="1"/>
  <c r="I23" i="49" s="1"/>
  <c r="I27" i="49" a="1"/>
  <c r="I27" i="49" s="1"/>
  <c r="I26" i="49" a="1"/>
  <c r="I26" i="49" s="1"/>
  <c r="I34" i="49" a="1"/>
  <c r="I34" i="49" s="1"/>
  <c r="I24" i="49" a="1"/>
  <c r="I24" i="49" s="1"/>
  <c r="I21" i="49" a="1"/>
  <c r="I21" i="49" s="1"/>
  <c r="I33" i="49" a="1"/>
  <c r="I33" i="49" s="1"/>
  <c r="I15" i="49" a="1"/>
  <c r="I15" i="49" s="1"/>
  <c r="I25" i="49" a="1"/>
  <c r="I25" i="49" s="1"/>
  <c r="I20" i="49" a="1"/>
  <c r="I20" i="49" s="1"/>
  <c r="I32" i="49" a="1"/>
  <c r="I32" i="49" s="1"/>
  <c r="I16" i="49" a="1"/>
  <c r="I16" i="49" s="1"/>
  <c r="I35" i="49" a="1"/>
  <c r="I35" i="49" s="1"/>
  <c r="I19" i="49" a="1"/>
  <c r="I19" i="49" s="1"/>
  <c r="I31" i="49" a="1"/>
  <c r="I31" i="49" s="1"/>
  <c r="I14" i="49" a="1"/>
  <c r="I14" i="49" s="1"/>
  <c r="I22" i="49" a="1"/>
  <c r="I22" i="49" s="1"/>
  <c r="I18" i="49" a="1"/>
  <c r="I18" i="49" s="1"/>
  <c r="I30" i="49" a="1"/>
  <c r="I30" i="49" s="1"/>
  <c r="CX15" i="37"/>
  <c r="CX14" i="37"/>
  <c r="CX17" i="37"/>
  <c r="H61" i="45" l="1"/>
  <c r="H67" i="45" s="1"/>
  <c r="H52" i="44"/>
  <c r="CX25" i="37"/>
  <c r="D63" i="45" l="1"/>
  <c r="H63" i="45"/>
  <c r="D54" i="44"/>
  <c r="H54" i="44"/>
  <c r="H58" i="44"/>
  <c r="BX9" i="37" l="1"/>
  <c r="BX11" i="37"/>
  <c r="CX32" i="37" s="1"/>
  <c r="CX29" i="37" l="1"/>
  <c r="CX31" i="37"/>
  <c r="CX30" i="37"/>
  <c r="BX13" i="37"/>
  <c r="BX15" i="37"/>
  <c r="CT25" i="37" s="1"/>
  <c r="AA32" i="37" a="1"/>
  <c r="AA32" i="37" s="1"/>
  <c r="W32" i="37" a="1"/>
  <c r="W32" i="37" s="1"/>
  <c r="Z32" i="37" a="1"/>
  <c r="Z32" i="37" s="1"/>
  <c r="B103" i="49" a="1"/>
  <c r="B103" i="49" s="1"/>
  <c r="CT14" i="37" l="1"/>
  <c r="CT13" i="37"/>
  <c r="CT24" i="37"/>
  <c r="CT12" i="37"/>
  <c r="CT23" i="37"/>
  <c r="CT11" i="37"/>
  <c r="CT22" i="37"/>
  <c r="CT10" i="37"/>
  <c r="CT21" i="37"/>
  <c r="CT20" i="37"/>
  <c r="CT19" i="37"/>
  <c r="CT18" i="37"/>
  <c r="CT17" i="37"/>
  <c r="CT16" i="37"/>
  <c r="CT15" i="37"/>
  <c r="CQ16" i="37"/>
  <c r="CR16" i="37" s="1"/>
  <c r="CQ68" i="37"/>
  <c r="CR68" i="37" s="1"/>
  <c r="CQ56" i="37"/>
  <c r="CR56" i="37" s="1"/>
  <c r="CQ44" i="37"/>
  <c r="CR44" i="37" s="1"/>
  <c r="CQ67" i="37"/>
  <c r="CR67" i="37" s="1"/>
  <c r="CQ55" i="37"/>
  <c r="CR55" i="37" s="1"/>
  <c r="CQ43" i="37"/>
  <c r="CR43" i="37" s="1"/>
  <c r="CQ66" i="37"/>
  <c r="CR66" i="37" s="1"/>
  <c r="CQ54" i="37"/>
  <c r="CR54" i="37" s="1"/>
  <c r="CQ42" i="37"/>
  <c r="CR42" i="37" s="1"/>
  <c r="CQ77" i="37"/>
  <c r="CR77" i="37" s="1"/>
  <c r="CQ65" i="37"/>
  <c r="CR65" i="37" s="1"/>
  <c r="CQ53" i="37"/>
  <c r="CR53" i="37" s="1"/>
  <c r="CQ41" i="37"/>
  <c r="CR41" i="37" s="1"/>
  <c r="CQ71" i="37"/>
  <c r="CR71" i="37" s="1"/>
  <c r="CQ47" i="37"/>
  <c r="CR47" i="37" s="1"/>
  <c r="CQ76" i="37"/>
  <c r="CR76" i="37" s="1"/>
  <c r="CQ64" i="37"/>
  <c r="CR64" i="37" s="1"/>
  <c r="CQ52" i="37"/>
  <c r="CR52" i="37" s="1"/>
  <c r="CQ40" i="37"/>
  <c r="CR40" i="37" s="1"/>
  <c r="CQ59" i="37"/>
  <c r="CR59" i="37" s="1"/>
  <c r="CQ75" i="37"/>
  <c r="CR75" i="37" s="1"/>
  <c r="CQ63" i="37"/>
  <c r="CR63" i="37" s="1"/>
  <c r="CQ51" i="37"/>
  <c r="CR51" i="37" s="1"/>
  <c r="CQ39" i="37"/>
  <c r="CR39" i="37" s="1"/>
  <c r="CQ74" i="37"/>
  <c r="CR74" i="37" s="1"/>
  <c r="CQ62" i="37"/>
  <c r="CR62" i="37" s="1"/>
  <c r="CQ50" i="37"/>
  <c r="CR50" i="37" s="1"/>
  <c r="CQ38" i="37"/>
  <c r="CR38" i="37" s="1"/>
  <c r="CQ73" i="37"/>
  <c r="CR73" i="37" s="1"/>
  <c r="CQ61" i="37"/>
  <c r="CR61" i="37" s="1"/>
  <c r="CQ49" i="37"/>
  <c r="CR49" i="37" s="1"/>
  <c r="CQ72" i="37"/>
  <c r="CR72" i="37" s="1"/>
  <c r="CQ60" i="37"/>
  <c r="CR60" i="37" s="1"/>
  <c r="CQ48" i="37"/>
  <c r="CR48" i="37" s="1"/>
  <c r="CQ70" i="37"/>
  <c r="CR70" i="37" s="1"/>
  <c r="CQ58" i="37"/>
  <c r="CR58" i="37" s="1"/>
  <c r="CQ46" i="37"/>
  <c r="CR46" i="37" s="1"/>
  <c r="CQ69" i="37"/>
  <c r="CR69" i="37" s="1"/>
  <c r="CQ57" i="37"/>
  <c r="CR57" i="37" s="1"/>
  <c r="CQ45" i="37"/>
  <c r="CR45" i="37" s="1"/>
  <c r="CQ37" i="37"/>
  <c r="CR37" i="37" s="1"/>
  <c r="CQ33" i="37"/>
  <c r="CR33" i="37" s="1"/>
  <c r="CQ35" i="37"/>
  <c r="CR35" i="37" s="1"/>
  <c r="CQ34" i="37"/>
  <c r="CR34" i="37" s="1"/>
  <c r="CQ36" i="37"/>
  <c r="CR36" i="37" s="1"/>
  <c r="CQ20" i="37"/>
  <c r="CQ22" i="37"/>
  <c r="CQ31" i="37"/>
  <c r="CR31" i="37" s="1"/>
  <c r="CQ21" i="37"/>
  <c r="CQ12" i="37"/>
  <c r="CQ10" i="37"/>
  <c r="CQ32" i="37"/>
  <c r="CR32" i="37" s="1"/>
  <c r="CQ24" i="37"/>
  <c r="CQ28" i="37"/>
  <c r="CR28" i="37" s="1"/>
  <c r="CQ29" i="37"/>
  <c r="CR29" i="37" s="1"/>
  <c r="CQ30" i="37"/>
  <c r="CR30" i="37" s="1"/>
  <c r="CQ25" i="37"/>
  <c r="CR25" i="37" s="1"/>
  <c r="CQ13" i="37"/>
  <c r="CQ17" i="37"/>
  <c r="CQ14" i="37"/>
  <c r="CQ19" i="37"/>
  <c r="CQ18" i="37"/>
  <c r="CQ15" i="37"/>
  <c r="CQ23" i="37"/>
  <c r="CQ11" i="37"/>
  <c r="CQ26" i="37"/>
  <c r="CR26" i="37" s="1"/>
  <c r="CQ27" i="37"/>
  <c r="CR27" i="37" s="1"/>
  <c r="CZ11" i="37"/>
  <c r="CR12" i="37" l="1"/>
  <c r="CR19" i="37"/>
  <c r="CR21" i="37"/>
  <c r="CR18" i="37"/>
  <c r="CR17" i="37"/>
  <c r="CR14" i="37"/>
  <c r="CR20" i="37"/>
  <c r="CR11" i="37"/>
  <c r="CR22" i="37"/>
  <c r="CR23" i="37"/>
  <c r="CR13" i="37"/>
  <c r="CR24" i="37"/>
  <c r="CR15" i="37"/>
  <c r="CR10" i="37"/>
  <c r="CZ15" i="37"/>
  <c r="CX18" i="37"/>
  <c r="CZ12" i="37" l="1"/>
  <c r="CZ14" i="37" l="1"/>
  <c r="AA1" i="33"/>
  <c r="A60" i="51" l="1"/>
  <c r="A114" i="51" s="1"/>
  <c r="D83" i="48" s="1"/>
  <c r="CX24" i="37"/>
  <c r="A60" i="32" l="1"/>
  <c r="D26" i="44" s="1"/>
  <c r="A58" i="32"/>
  <c r="D48" i="45" l="1"/>
  <c r="C58" i="32"/>
  <c r="D28" i="44" s="1"/>
  <c r="D50" i="45" l="1"/>
  <c r="CX2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E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E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E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E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E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E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E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E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E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E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E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E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E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E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E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E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E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E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E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E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E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E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E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E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E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E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E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E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E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E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E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E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E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E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E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E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E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E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E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E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E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E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E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E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E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E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O9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9" authorId="1" shapeId="0" xr:uid="{00000000-0006-0000-0F00-000002000000}">
      <text>
        <r>
          <rPr>
            <b/>
            <sz val="9"/>
            <color indexed="81"/>
            <rFont val="Tahoma"/>
            <charset val="1"/>
          </rPr>
          <t>Stephane Ducci:</t>
        </r>
        <r>
          <rPr>
            <sz val="9"/>
            <color indexed="81"/>
            <rFont val="Tahoma"/>
            <charset val="1"/>
          </rPr>
          <t xml:space="preserve">
Per la merce spedita senza fattura l'invoice date indica la data di spedizione.</t>
        </r>
      </text>
    </comment>
    <comment ref="S9" authorId="1" shapeId="0" xr:uid="{00000000-0006-0000-0F00-000003000000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charset val="1"/>
          </rPr>
          <t xml:space="preserve"> = La  merce per questa spedizione è già stata preparata e quindi seppur risulta tra l'available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charset val="1"/>
          </rPr>
          <t xml:space="preserve"> = La merce per questa spedizione non è ancora stata preparata. Andrà verificato se c'è merce sufficiente disponibile in magazzino.
GOODS SENT = La merce è stata spedita quindi risulta uscita dal magazzino.</t>
        </r>
      </text>
    </comment>
    <comment ref="CT9" authorId="1" shapeId="0" xr:uid="{00000000-0006-0000-0F00-000004000000}">
      <text>
        <r>
          <rPr>
            <b/>
            <sz val="9"/>
            <color indexed="81"/>
            <rFont val="Tahoma"/>
            <charset val="1"/>
          </rPr>
          <t>STOCK LEFT AFTER THE ORDER.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W22" authorId="0" shapeId="0" xr:uid="{00000000-0006-0000-0F00-000005000000}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<sst xmlns="http://schemas.openxmlformats.org/spreadsheetml/2006/main" count="3872" uniqueCount="1220">
  <si>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</si>
  <si>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</si>
  <si>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</si>
  <si>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</si>
  <si>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</si>
  <si>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</si>
  <si>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</si>
  <si>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</si>
  <si>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</si>
  <si>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</si>
  <si>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</si>
  <si>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</si>
  <si>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</si>
  <si>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</si>
  <si>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</si>
  <si>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</si>
  <si>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</si>
  <si>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size3</t>
  </si>
  <si>
    <t>product1_weight</t>
  </si>
  <si>
    <t>product2_weight</t>
  </si>
  <si>
    <t>product3_weight</t>
  </si>
  <si>
    <t>product4_weight</t>
  </si>
  <si>
    <t>country_of_origin</t>
  </si>
  <si>
    <t>cbm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</si>
  <si>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</si>
  <si>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</si>
  <si>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</si>
  <si>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</si>
  <si>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</si>
  <si>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</si>
  <si>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</si>
  <si>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</si>
  <si>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</si>
  <si>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</si>
  <si>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</si>
  <si>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</si>
  <si>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</si>
  <si>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</si>
  <si>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</si>
  <si>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</si>
  <si>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</si>
  <si>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</si>
  <si>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</si>
  <si>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</si>
  <si>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</si>
  <si>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</si>
  <si>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</si>
  <si>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</si>
  <si>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</si>
  <si>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</si>
  <si>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</si>
  <si>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</si>
  <si>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</si>
  <si>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</si>
  <si>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</si>
  <si>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</si>
  <si>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</si>
  <si>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</si>
  <si>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</si>
  <si>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</si>
  <si>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</si>
  <si>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</si>
  <si>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</si>
  <si>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</si>
  <si>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</si>
  <si>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</si>
  <si>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</si>
  <si>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</si>
  <si>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</si>
  <si>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</si>
  <si>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</si>
  <si>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</si>
  <si>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</si>
  <si>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</si>
  <si>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</si>
  <si>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</si>
  <si>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</si>
  <si>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</si>
  <si>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</si>
  <si>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</si>
  <si>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</si>
  <si>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</si>
  <si>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</si>
  <si>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</si>
  <si>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</si>
  <si>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</si>
  <si>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</si>
  <si>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</si>
  <si>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</si>
  <si>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</si>
  <si>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</si>
  <si>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</si>
  <si>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</si>
  <si>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</si>
  <si>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</si>
  <si>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</si>
  <si>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</si>
  <si>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</si>
  <si>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</si>
  <si>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</si>
  <si>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</si>
  <si>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</si>
  <si>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</si>
  <si>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</si>
  <si>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</si>
  <si>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</si>
  <si>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</si>
  <si>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</si>
  <si>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</si>
  <si>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</si>
  <si>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</si>
  <si>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</si>
  <si>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</si>
  <si>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</si>
  <si>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</si>
  <si>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</si>
  <si>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</si>
  <si>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</si>
  <si>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</si>
  <si>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</si>
  <si>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</si>
  <si>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</si>
  <si>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</si>
  <si>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</si>
  <si>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</si>
  <si>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</si>
  <si>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</si>
  <si>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</si>
  <si>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</si>
  <si>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</si>
  <si>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</si>
  <si>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</si>
  <si>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</si>
  <si>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</si>
  <si>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</si>
  <si>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</si>
  <si>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</si>
  <si>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</si>
  <si>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</si>
  <si>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</si>
  <si>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</si>
  <si>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</si>
  <si>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</si>
  <si>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</si>
  <si>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</si>
  <si>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</si>
  <si>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</si>
  <si>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</si>
  <si>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</si>
  <si>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</si>
  <si>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</si>
  <si>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</si>
  <si>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</si>
  <si>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</si>
  <si>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</si>
  <si>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</si>
  <si>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</si>
  <si>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</si>
  <si>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</si>
  <si>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</si>
  <si>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</si>
  <si>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</si>
  <si>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</si>
  <si>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</si>
  <si>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</si>
  <si>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</si>
  <si>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</si>
  <si>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</si>
  <si>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</si>
  <si>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</si>
  <si>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</si>
  <si>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</si>
  <si>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</si>
  <si>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</si>
  <si>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</si>
  <si>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</si>
  <si>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</si>
  <si>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</si>
  <si>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</si>
  <si>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</si>
  <si>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</si>
  <si>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</si>
  <si>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</si>
  <si>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</si>
  <si>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</si>
  <si>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</si>
  <si>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</si>
  <si>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</si>
  <si>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</si>
  <si>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</si>
  <si>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</si>
  <si>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</si>
  <si>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</si>
  <si>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</si>
  <si>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</si>
  <si>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</si>
  <si>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</si>
  <si>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</si>
  <si>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</si>
  <si>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</si>
  <si>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</si>
  <si>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</si>
  <si>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</si>
  <si>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</si>
  <si>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</si>
  <si>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</si>
  <si>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</si>
  <si>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</si>
  <si>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</si>
  <si>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</si>
  <si>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</si>
  <si>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</si>
  <si>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</si>
  <si>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</si>
  <si>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</si>
  <si>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</si>
  <si>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</si>
  <si>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</si>
  <si>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</si>
  <si>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</si>
  <si>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</si>
  <si>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</si>
  <si>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</si>
  <si>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</si>
  <si>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</si>
  <si>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</si>
  <si>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</si>
  <si>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</si>
  <si>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</si>
  <si>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</si>
  <si>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</si>
  <si>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</si>
  <si>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</si>
  <si>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</si>
  <si>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</si>
  <si>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</si>
  <si>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</si>
  <si>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</si>
  <si>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</si>
  <si>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</si>
  <si>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</si>
  <si>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</si>
  <si>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</si>
  <si>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</si>
  <si>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</si>
  <si>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</si>
  <si>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</si>
  <si>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</si>
  <si>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</si>
  <si>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</si>
  <si>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AUTOSTRADA A1 BUCURESTI PITESTI KM13</t>
  </si>
  <si>
    <t>CLADIREA BUCH 6, UNIT F, RAMPA 1, 2, 3</t>
  </si>
  <si>
    <t>CTPARK BUCHAREST 6, SAT DRAGOMIRESTI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</si>
  <si>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</si>
  <si>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</si>
  <si>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</si>
  <si>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</si>
  <si>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</si>
  <si>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</si>
  <si>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</si>
  <si>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</si>
  <si>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</si>
  <si>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</si>
  <si>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</si>
  <si>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</si>
  <si>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</si>
  <si>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</si>
  <si>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</si>
  <si>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</si>
  <si>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</si>
  <si>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</si>
  <si>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</si>
  <si>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</si>
  <si>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</si>
  <si>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</si>
  <si>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</si>
  <si>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</si>
  <si>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</si>
  <si>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</si>
  <si>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</si>
  <si>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</si>
  <si>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</si>
  <si>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</si>
  <si>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</si>
  <si>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</si>
  <si>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</si>
  <si>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</si>
  <si>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</si>
  <si>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</si>
  <si>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</si>
  <si>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</si>
  <si>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</si>
  <si>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</si>
  <si>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</si>
  <si>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</si>
  <si>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</si>
  <si>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</si>
  <si>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</si>
  <si>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</si>
  <si>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</si>
  <si>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</si>
  <si>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</si>
  <si>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</si>
  <si>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</si>
  <si>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</si>
  <si>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</si>
  <si>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</si>
  <si>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</si>
  <si>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</si>
  <si>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</si>
  <si>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</si>
  <si>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</si>
  <si>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</si>
  <si>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</si>
  <si>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</si>
  <si>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</si>
  <si>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</si>
  <si>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</si>
  <si>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</si>
  <si>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</si>
  <si>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</si>
  <si>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</si>
  <si>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</si>
  <si>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</si>
  <si>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</si>
  <si>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</si>
  <si>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</si>
  <si>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</si>
  <si>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</si>
  <si>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</si>
  <si>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</si>
  <si>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</si>
  <si>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</si>
  <si>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</si>
  <si>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</si>
  <si>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</si>
  <si>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</si>
  <si>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</si>
  <si>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</si>
  <si>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</si>
  <si>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</si>
  <si>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</si>
  <si>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</si>
  <si>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</si>
  <si>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</si>
  <si>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</si>
  <si>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</si>
  <si>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</si>
  <si>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</si>
  <si>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</si>
  <si>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</si>
  <si>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</si>
  <si>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</si>
  <si>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</si>
  <si>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</si>
  <si>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</si>
  <si>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</si>
  <si>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</si>
  <si>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</si>
  <si>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</si>
  <si>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</si>
  <si>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</si>
  <si>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</si>
  <si>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</si>
  <si>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</si>
  <si>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</si>
  <si>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</si>
  <si>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</si>
  <si>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</si>
  <si>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</si>
  <si>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</si>
  <si>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</si>
  <si>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</si>
  <si>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</si>
  <si>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</si>
  <si>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</si>
  <si>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</si>
  <si>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</si>
  <si>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</si>
  <si>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</si>
  <si>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</si>
  <si>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</si>
  <si>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</si>
  <si>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</si>
  <si>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</si>
  <si>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</si>
  <si>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</si>
  <si>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</si>
  <si>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</si>
  <si>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</si>
  <si>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</si>
  <si>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</si>
  <si>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</si>
  <si>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</si>
  <si>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</si>
  <si>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</si>
  <si>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</si>
  <si>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other_cost_desc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</si>
  <si>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</si>
  <si>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</si>
  <si>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</si>
  <si>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</si>
  <si>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</si>
  <si>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</si>
  <si>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</si>
  <si>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ARTICOLO</t>
  </si>
  <si>
    <t>DESCRIZIONE</t>
  </si>
  <si>
    <t>U.M.</t>
  </si>
  <si>
    <t>ESISTENZA</t>
  </si>
  <si>
    <t>COSTO UNITARIO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</si>
  <si>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</si>
  <si>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</si>
  <si>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</si>
  <si>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</si>
  <si>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</si>
  <si>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</si>
  <si>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</si>
  <si>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</si>
  <si>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</si>
  <si>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</si>
  <si>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</si>
  <si>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</si>
  <si>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</si>
  <si>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</si>
  <si>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</si>
  <si>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</si>
  <si>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</si>
  <si>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</si>
  <si>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</si>
  <si>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</si>
  <si>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</si>
  <si>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</si>
  <si>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</si>
  <si>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</si>
  <si>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</si>
  <si>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</si>
  <si>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</si>
  <si>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</si>
  <si>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</si>
  <si>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</si>
  <si>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</si>
  <si>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</si>
  <si>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</si>
  <si>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</si>
  <si>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</si>
  <si>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</si>
  <si>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</si>
  <si>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</si>
  <si>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</si>
  <si>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</si>
  <si>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</si>
  <si>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</si>
  <si>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</si>
  <si>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</si>
  <si>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</si>
  <si>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</si>
  <si>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</si>
  <si>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</si>
  <si>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</si>
  <si>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</si>
  <si>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</si>
  <si>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</si>
  <si>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</si>
  <si>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</si>
  <si>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</si>
  <si>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</si>
  <si>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</si>
  <si>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</si>
  <si>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</si>
  <si>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</si>
  <si>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</si>
  <si>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</si>
  <si>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</si>
  <si>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</si>
  <si>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</si>
  <si>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</si>
  <si>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</si>
  <si>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</si>
  <si>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</si>
  <si>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</si>
  <si>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</si>
  <si>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</si>
  <si>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</si>
  <si>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</si>
  <si>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</si>
  <si>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</si>
  <si>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</si>
  <si>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</si>
  <si>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</si>
  <si>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</si>
  <si>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</si>
  <si>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</si>
  <si>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</si>
  <si>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</si>
  <si>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COUNTRY OF DESTINATION</t>
  </si>
  <si>
    <t>PACKING LIST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</si>
  <si>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</si>
  <si>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</si>
  <si>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</si>
  <si>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</si>
  <si>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</si>
  <si>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</si>
  <si>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</si>
  <si>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</si>
  <si>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</si>
  <si>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</si>
  <si>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</si>
  <si>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</si>
  <si>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</si>
  <si>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</si>
  <si>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</si>
  <si>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</si>
  <si>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</si>
  <si>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</si>
  <si>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</si>
  <si>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</si>
  <si>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</si>
  <si>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</si>
  <si>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</si>
  <si>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</si>
  <si>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</si>
  <si>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</si>
  <si>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</si>
  <si>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</si>
  <si>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</si>
  <si>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</si>
  <si>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</si>
  <si>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</si>
  <si>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</si>
  <si>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</si>
  <si>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</si>
  <si>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</si>
  <si>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</si>
  <si>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</si>
  <si>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</si>
  <si>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</si>
  <si>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</si>
  <si>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</si>
  <si>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</si>
  <si>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</si>
  <si>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</si>
  <si>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</si>
  <si>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</si>
  <si>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</si>
  <si>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</si>
  <si>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</si>
  <si>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</si>
  <si>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</si>
  <si>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</si>
  <si>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</si>
  <si>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</si>
  <si>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</si>
  <si>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</si>
  <si>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</si>
  <si>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</si>
  <si>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</si>
  <si>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</si>
  <si>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</si>
  <si>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</si>
  <si>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</si>
  <si>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</si>
  <si>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</si>
  <si>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</si>
  <si>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</si>
  <si>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</si>
  <si>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</si>
  <si>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</si>
  <si>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</si>
  <si>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</si>
  <si>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</si>
  <si>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</si>
  <si>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</si>
  <si>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</si>
  <si>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</si>
  <si>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</si>
  <si>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</si>
  <si>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</si>
  <si>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</si>
  <si>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</si>
  <si>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</si>
  <si>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</si>
  <si>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</si>
  <si>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</si>
  <si>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</si>
  <si>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</si>
  <si>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</si>
  <si>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</si>
  <si>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</si>
  <si>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</si>
  <si>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</si>
  <si>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Invoice No.</t>
  </si>
  <si>
    <t>Payment 
Account:</t>
  </si>
  <si>
    <t>tot units</t>
  </si>
  <si>
    <t>tot disc units</t>
  </si>
  <si>
    <t>exp profit</t>
  </si>
  <si>
    <t>tot FOC</t>
  </si>
  <si>
    <t>FOC ratio</t>
  </si>
  <si>
    <t>Payment Type:</t>
  </si>
  <si>
    <t>tot FOC cost</t>
  </si>
  <si>
    <t>VAT No:</t>
  </si>
  <si>
    <t>Logistic Sum Up</t>
  </si>
  <si>
    <t>Legal HQ:</t>
  </si>
  <si>
    <t>tot cartons</t>
  </si>
  <si>
    <t>net weight</t>
  </si>
  <si>
    <t>gross weight</t>
  </si>
  <si>
    <t>Logistic HQ: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</si>
  <si>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</si>
  <si>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</si>
  <si>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</si>
  <si>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</si>
  <si>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</si>
  <si>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</si>
  <si>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</si>
  <si>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</si>
  <si>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</si>
  <si>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</si>
  <si>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</si>
  <si>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</si>
  <si>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</si>
  <si>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</si>
  <si>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Customer Details</t>
  </si>
  <si>
    <t>Data folder location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</si>
  <si>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</si>
  <si>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</si>
  <si>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</si>
  <si>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</si>
  <si>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</si>
  <si>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</si>
  <si>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</si>
  <si>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</si>
  <si>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</si>
  <si>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</si>
  <si>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</si>
  <si>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</si>
  <si>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</si>
  <si>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</si>
  <si>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</si>
  <si>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</si>
  <si>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</si>
  <si>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</si>
  <si>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</si>
  <si>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</si>
  <si>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</si>
  <si>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</si>
  <si>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</si>
  <si>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</si>
  <si>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</si>
  <si>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</si>
  <si>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</si>
  <si>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</si>
  <si>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</si>
  <si>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</si>
  <si>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</si>
  <si>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</si>
  <si>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</si>
  <si>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</si>
  <si>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</si>
  <si>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</si>
  <si>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</si>
  <si>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</si>
  <si>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</si>
  <si>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</si>
  <si>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</si>
  <si>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</si>
  <si>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</si>
  <si>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</si>
  <si>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</si>
  <si>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</si>
  <si>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</si>
  <si>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</si>
  <si>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</si>
  <si>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</si>
  <si>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</si>
  <si>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</si>
  <si>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</si>
  <si>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</si>
  <si>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</si>
  <si>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</si>
  <si>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</si>
  <si>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</si>
  <si>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</si>
  <si>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</si>
  <si>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</si>
  <si>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</si>
  <si>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</si>
  <si>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</si>
  <si>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</si>
  <si>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</si>
  <si>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 xml:space="preserve">      50% AGAINST PROFORMA - 50% BEFORE COLLECTION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</si>
  <si>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</si>
  <si>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</si>
  <si>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</si>
  <si>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</si>
  <si>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</si>
  <si>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</si>
  <si>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</si>
  <si>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</si>
  <si>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</si>
  <si>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</si>
  <si>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</si>
  <si>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</si>
  <si>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NOOS</t>
  </si>
  <si>
    <t>SALE</t>
  </si>
  <si>
    <t>MODE OF SHIPMENT</t>
  </si>
  <si>
    <t>TOTAL NUMBER OF UNITS PAG.1</t>
  </si>
  <si>
    <t>TOTAL NUMBER OF CARTONS PAG.1</t>
  </si>
  <si>
    <t>TOTAL NET WEIGHT PAG.1</t>
  </si>
  <si>
    <t>TOTAL GROSS WEIGHT PAG.1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</si>
  <si>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</si>
  <si>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</si>
  <si>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</si>
  <si>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</si>
  <si>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</si>
  <si>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</si>
  <si>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</si>
  <si>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</si>
  <si>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</si>
  <si>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</si>
  <si>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</si>
  <si>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</si>
  <si>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</si>
  <si>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</si>
  <si>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</si>
  <si>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</si>
  <si>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</si>
  <si>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</si>
  <si>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</si>
  <si>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</si>
  <si>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</si>
  <si>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</si>
  <si>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</si>
  <si>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</si>
  <si>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</si>
  <si>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</si>
  <si>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</si>
  <si>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</si>
  <si>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</si>
  <si>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</si>
  <si>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</si>
  <si>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</si>
  <si>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</si>
  <si>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</si>
  <si>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</si>
  <si>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</si>
  <si>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</si>
  <si>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</si>
  <si>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</si>
  <si>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</si>
  <si>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</si>
  <si>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</si>
  <si>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</si>
  <si>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</si>
  <si>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</si>
  <si>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</si>
  <si>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</si>
  <si>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</si>
  <si>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</si>
  <si>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</si>
  <si>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</si>
  <si>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</si>
  <si>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BLUE OCEAN UK</t>
  </si>
  <si>
    <t>BLUE OCEAN DE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</si>
  <si>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</si>
  <si>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</si>
  <si>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</si>
  <si>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</si>
  <si>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</si>
  <si>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</si>
  <si>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</si>
  <si>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</si>
  <si>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</si>
  <si>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</si>
  <si>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</si>
  <si>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</si>
  <si>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</si>
  <si>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</si>
  <si>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</si>
  <si>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</si>
  <si>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</si>
  <si>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</si>
  <si>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</si>
  <si>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</si>
  <si>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</si>
  <si>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</si>
  <si>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</si>
  <si>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</si>
  <si>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</si>
  <si>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</si>
  <si>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</si>
  <si>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</si>
  <si>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</si>
  <si>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</si>
  <si>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</si>
  <si>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</si>
  <si>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</si>
  <si>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</si>
  <si>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</si>
  <si>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</si>
  <si>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</si>
  <si>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</si>
  <si>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</si>
  <si>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</si>
  <si>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</si>
  <si>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</si>
  <si>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</si>
  <si>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</si>
  <si>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</si>
  <si>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</si>
  <si>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</si>
  <si>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</si>
  <si>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</si>
  <si>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</si>
  <si>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vessel_name</t>
  </si>
  <si>
    <t>container_no</t>
  </si>
  <si>
    <t>container_type</t>
  </si>
  <si>
    <t>seal_no</t>
  </si>
  <si>
    <t>Order Type</t>
  </si>
  <si>
    <t>MBE</t>
  </si>
  <si>
    <t>NO PALLET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</si>
  <si>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</si>
  <si>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</si>
  <si>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</si>
  <si>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</si>
  <si>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</si>
  <si>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</si>
  <si>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</si>
  <si>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</si>
  <si>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</si>
  <si>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</si>
  <si>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</si>
  <si>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</si>
  <si>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</si>
  <si>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</si>
  <si>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</si>
  <si>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</si>
  <si>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</si>
  <si>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</si>
  <si>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</si>
  <si>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</si>
  <si>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</si>
  <si>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</si>
  <si>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</si>
  <si>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</si>
  <si>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</si>
  <si>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</si>
  <si>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</si>
  <si>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</si>
  <si>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</si>
  <si>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</si>
  <si>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</si>
  <si>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</si>
  <si>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</si>
  <si>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</si>
  <si>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</si>
  <si>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</si>
  <si>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</si>
  <si>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</si>
  <si>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</si>
  <si>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</si>
  <si>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</si>
  <si>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</si>
  <si>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</si>
  <si>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</si>
  <si>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</si>
  <si>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</si>
  <si>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</si>
  <si>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</si>
  <si>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</si>
  <si>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</si>
  <si>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</si>
  <si>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</si>
  <si>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</si>
  <si>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</si>
  <si>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</si>
  <si>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</si>
  <si>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</si>
  <si>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</si>
  <si>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</si>
  <si>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</si>
  <si>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</si>
  <si>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</si>
  <si>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</si>
  <si>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</si>
  <si>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</si>
  <si>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</si>
  <si>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</si>
  <si>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</si>
  <si>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</si>
  <si>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</si>
  <si>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</si>
  <si>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</si>
  <si>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</si>
  <si>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</si>
  <si>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</si>
  <si>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</si>
  <si>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CARLET - SPAIN</t>
  </si>
  <si>
    <t>Filter By Sex</t>
  </si>
  <si>
    <t>Flter By Size</t>
  </si>
  <si>
    <t>Warehouse Stock</t>
  </si>
  <si>
    <t>SKU</t>
  </si>
  <si>
    <t>BHPC TROPHY DEO 300ML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</si>
  <si>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</si>
  <si>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</si>
  <si>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</si>
  <si>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</si>
  <si>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</si>
  <si>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</si>
  <si>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</si>
  <si>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</si>
  <si>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</si>
  <si>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</si>
  <si>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</si>
  <si>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</si>
  <si>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</si>
  <si>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</si>
  <si>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</si>
  <si>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</si>
  <si>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</si>
  <si>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SANTIAGO - CHILE</t>
  </si>
  <si>
    <t>60 DAYS DATE OF INVOICE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</si>
  <si>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</si>
  <si>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</si>
  <si>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</si>
  <si>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</si>
  <si>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</si>
  <si>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</si>
  <si>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</si>
  <si>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</si>
  <si>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</si>
  <si>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box_per_europallet</t>
  </si>
  <si>
    <t>8320000 SANTIAGO, CHILE</t>
  </si>
  <si>
    <t>inv_amount</t>
  </si>
  <si>
    <t>price</t>
  </si>
  <si>
    <t>cost</t>
  </si>
  <si>
    <t>tot_invoice</t>
  </si>
  <si>
    <t># of full price ref</t>
  </si>
  <si>
    <t># of disc price ref</t>
  </si>
  <si>
    <t># of foc ref</t>
  </si>
  <si>
    <t>Descending</t>
  </si>
  <si>
    <t>PREPARING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</si>
  <si>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</si>
  <si>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</si>
  <si>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</si>
  <si>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</si>
  <si>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</si>
  <si>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</si>
  <si>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</si>
  <si>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</si>
  <si>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</si>
  <si>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</si>
  <si>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</si>
  <si>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</si>
  <si>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</si>
  <si>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</si>
  <si>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</si>
  <si>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</si>
  <si>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</si>
  <si>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</si>
  <si>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</si>
  <si>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</si>
  <si>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</si>
  <si>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</si>
  <si>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</si>
  <si>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</si>
  <si>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</si>
  <si>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</si>
  <si>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</si>
  <si>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</si>
  <si>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</si>
  <si>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</si>
  <si>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</si>
  <si>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</si>
  <si>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</si>
  <si>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</si>
  <si>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</si>
  <si>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</si>
  <si>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30 DAYS DATE OF INVOICE</t>
  </si>
  <si>
    <t>60 DAYS DATE OF DELIVERY</t>
  </si>
  <si>
    <t>Filter By Invoice Year</t>
  </si>
  <si>
    <t>AGAINST SHIPPING DOCS</t>
  </si>
  <si>
    <t>Max height 120cm</t>
  </si>
  <si>
    <t>Max height 105cm</t>
  </si>
  <si>
    <t>120 DAYS DATE OF INVOICE</t>
  </si>
  <si>
    <t>DAT LOGISTICS</t>
  </si>
  <si>
    <t>90 DAYS DATE OF INVOICE</t>
  </si>
  <si>
    <t>Pick-Up Date</t>
  </si>
  <si>
    <t>Pick-Up Agent</t>
  </si>
  <si>
    <t>VAT NO</t>
  </si>
  <si>
    <t>ADDRESS LINE 1</t>
  </si>
  <si>
    <t>ADDRESS LINE 2</t>
  </si>
  <si>
    <t>ADDRESS LINE 3</t>
  </si>
  <si>
    <t>ADDRESS LINE 4</t>
  </si>
  <si>
    <t>FERCAM</t>
  </si>
  <si>
    <t>CARRIER_CODE</t>
  </si>
  <si>
    <t>CARRIER_NAME</t>
  </si>
  <si>
    <t>DAT LOGISTICS S.P.ZOO</t>
  </si>
  <si>
    <t>PL 66-530 DREZDENKO</t>
  </si>
  <si>
    <t>PIERWSZEJ BRYGADY 26</t>
  </si>
  <si>
    <t>ITALIANA CARGO</t>
  </si>
  <si>
    <t>EURO LOGISTICA</t>
  </si>
  <si>
    <t>VIA SPATARO 34</t>
  </si>
  <si>
    <t>16136 GENOVA</t>
  </si>
  <si>
    <t>VIA ALDO MORO 54</t>
  </si>
  <si>
    <t>24024 LALLIO (BG)</t>
  </si>
  <si>
    <t>TEL</t>
  </si>
  <si>
    <t>+39035335474</t>
  </si>
  <si>
    <t>EURO LOGISTICA LIGURE S.R.L.</t>
  </si>
  <si>
    <t>+390108352900</t>
  </si>
  <si>
    <t>01964650350</t>
  </si>
  <si>
    <t>01313820993</t>
  </si>
  <si>
    <t>TEL2</t>
  </si>
  <si>
    <t>+3901313820993</t>
  </si>
  <si>
    <t>FERCAM S.P.A</t>
  </si>
  <si>
    <t>00098090210</t>
  </si>
  <si>
    <t>pickup_date</t>
  </si>
  <si>
    <t>Expected</t>
  </si>
  <si>
    <t>Real</t>
  </si>
  <si>
    <t>DUBAI - UNITED ARAB EMIRATES</t>
  </si>
  <si>
    <t>BARTOLINI</t>
  </si>
  <si>
    <t>DHL</t>
  </si>
  <si>
    <t>VIA FRATELLI CANEPA 8</t>
  </si>
  <si>
    <t>16010 SERRA RICCO' (GE)</t>
  </si>
  <si>
    <t>DSV</t>
  </si>
  <si>
    <t>DSV S.p.A.</t>
  </si>
  <si>
    <t>VIA DE MARINI 1</t>
  </si>
  <si>
    <t>16149 GENOVA</t>
  </si>
  <si>
    <t>ITALIA</t>
  </si>
  <si>
    <t>ZONA LIBRE - PANAMA</t>
  </si>
  <si>
    <t>ZINGALI</t>
  </si>
  <si>
    <t>VIALE DUEMILA 2</t>
  </si>
  <si>
    <t>27020 BORGO SAN SIRO (PV)</t>
  </si>
  <si>
    <t>ZINGALI S.R.L</t>
  </si>
  <si>
    <t>MAREXPORT</t>
  </si>
  <si>
    <t>SIFTE BERTI</t>
  </si>
  <si>
    <t>SIFTE BERTI S.P.A</t>
  </si>
  <si>
    <t>16126 GENOVA</t>
  </si>
  <si>
    <t>PIAZZALE DEI TRAGHETTI IQBAL MASIH 25</t>
  </si>
  <si>
    <t>MAREXPORT S.R.L.</t>
  </si>
  <si>
    <t>BRT S.P.A.</t>
  </si>
  <si>
    <t>LE BUREAU S.R.L.</t>
  </si>
  <si>
    <t>DHL EXPRESS (ITALY) S.R.L.</t>
  </si>
  <si>
    <t>BOX PROFUMI</t>
  </si>
  <si>
    <t>BOX DEO</t>
  </si>
  <si>
    <t>BOX BM</t>
  </si>
  <si>
    <t>Product Category</t>
  </si>
  <si>
    <t>MASSTIGE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</si>
  <si>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</si>
  <si>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</si>
  <si>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</si>
  <si>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</si>
  <si>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</si>
  <si>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</si>
  <si>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BEVERLY HILLS POLO CLUB EDP / EDT / GIFT SETS</t>
  </si>
  <si>
    <t>max_height</t>
  </si>
  <si>
    <t>labor_hours</t>
  </si>
  <si>
    <t>labor_cost</t>
  </si>
  <si>
    <t>production_id</t>
  </si>
  <si>
    <t>prod_destroyed1</t>
  </si>
  <si>
    <t>prod_destroyed2</t>
  </si>
  <si>
    <t>prod_destroyed3</t>
  </si>
  <si>
    <t>prod_destroyed4</t>
  </si>
  <si>
    <t>prod_destroyed5</t>
  </si>
  <si>
    <t>prod_build</t>
  </si>
  <si>
    <t>PER CATEGORIA</t>
  </si>
  <si>
    <t>CONSOLIDATO</t>
  </si>
  <si>
    <t>PER SKU</t>
  </si>
  <si>
    <t>ORDINE PRODOTTI NEI DOCS</t>
  </si>
  <si>
    <t>HEALTH &amp; BEAUTY LOGISTICS O/B</t>
  </si>
  <si>
    <t>A&amp;A DISTRIBUTION ANSWER</t>
  </si>
  <si>
    <t>Polígono Industrial La Torrecilla Chica, 6</t>
  </si>
  <si>
    <t xml:space="preserve">45220 Yeles, Toledo </t>
  </si>
  <si>
    <t>TOLEDO - SPAIN</t>
  </si>
  <si>
    <t>H. COS Global Beauty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</si>
  <si>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</si>
  <si>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</si>
  <si>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</si>
  <si>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</si>
  <si>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</si>
  <si>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PALLETTIZING METHOD</t>
  </si>
  <si>
    <t>counter</t>
  </si>
  <si>
    <t>DIMITRIE CANTEMIR 1</t>
  </si>
  <si>
    <t>B2 BUILING, 3RD ENTRANCE4TH FLOOR</t>
  </si>
  <si>
    <t>BUCHAREST - ROMANIA</t>
  </si>
  <si>
    <t>DUBAI - GRV</t>
  </si>
  <si>
    <t>GRV INTERNATIONAL FZE</t>
  </si>
  <si>
    <t>LOB 4 UNIT 4G07</t>
  </si>
  <si>
    <t>JEBEL ALI, DUBAI - UAE</t>
  </si>
  <si>
    <t>ESB SERVICE GROUP</t>
  </si>
  <si>
    <t>RL FORS OÜ/CO ESB SERVICE GROUP</t>
  </si>
  <si>
    <t>PÄRNU MNT 142</t>
  </si>
  <si>
    <t xml:space="preserve">TALLINN 11317 </t>
  </si>
  <si>
    <t>MAKE UP INC.</t>
  </si>
  <si>
    <t>THE PLACE 8F</t>
  </si>
  <si>
    <t>1-13-18 NISHI SHINSAIBASHI CHUO-KU</t>
  </si>
  <si>
    <t>OSAKA 542-0086</t>
  </si>
  <si>
    <t>MÖRTH &amp; MÖRTH GmbH</t>
  </si>
  <si>
    <t>WEIGHT</t>
  </si>
  <si>
    <t>PERFUMES WITH 50ML BOTTLE</t>
  </si>
  <si>
    <t>PERFUMES WITH 100ML BOTTLE</t>
  </si>
  <si>
    <t>DEOS WITH 150ML CAN</t>
  </si>
  <si>
    <t>DEOS WITH 175ML CAN</t>
  </si>
  <si>
    <t>DEOS WITH 300ML CAN</t>
  </si>
  <si>
    <t>BODY MIST WITH 200ML BOTTLE</t>
  </si>
  <si>
    <t>box_per_eurolayer</t>
  </si>
  <si>
    <t>layer_per_europallet</t>
  </si>
  <si>
    <t>size1</t>
  </si>
  <si>
    <t>size2</t>
  </si>
  <si>
    <t>BOX</t>
  </si>
  <si>
    <t>TRAY</t>
  </si>
  <si>
    <t>DESCRIPTION</t>
  </si>
  <si>
    <t>PERF</t>
  </si>
  <si>
    <t>DEO</t>
  </si>
  <si>
    <t>HS CODE</t>
  </si>
  <si>
    <t>EAN CODE</t>
  </si>
  <si>
    <t>NET 
WEIGHT</t>
  </si>
  <si>
    <t>GROSS 
WEIGHT</t>
  </si>
  <si>
    <t>OVERPACK USED</t>
  </si>
  <si>
    <t>DISCOUNTED PRODUCTS</t>
  </si>
  <si>
    <t>50% AGAINST PROFORMA - 50% BEFORE COLLECTION</t>
  </si>
  <si>
    <t>CIUDAD DEL ESTE - PARAGUAY</t>
  </si>
  <si>
    <t xml:space="preserve">VAT. NO.: </t>
  </si>
  <si>
    <t>AREA COMERCIAL, ZONA LIBRE, PANAMA</t>
  </si>
  <si>
    <t>P.O.BOX 6971, AMMAN 11118 JORDAN</t>
  </si>
  <si>
    <t>1053 LES BERGES DU LAC, TUNIS - TUNISIE</t>
  </si>
  <si>
    <t>place_discharge</t>
  </si>
  <si>
    <t>port_of_loading</t>
  </si>
  <si>
    <t>RUC.: 80005486-5</t>
  </si>
  <si>
    <t>VAT. NO.: R.U.T. : 78.146.900-9</t>
  </si>
  <si>
    <t>7000 - CIUDAD DEL ESTE - PARAGUAY</t>
  </si>
  <si>
    <t>CHINA</t>
  </si>
  <si>
    <t>90041091</t>
  </si>
  <si>
    <t>42023900</t>
  </si>
  <si>
    <t>30% AGAINST PROFORMA 70% 60 DAYS DATE OF INVOICE</t>
  </si>
  <si>
    <t>Total Net (kg)</t>
  </si>
  <si>
    <t>other_cost</t>
  </si>
  <si>
    <t>Notes:</t>
  </si>
  <si>
    <t>CONTEGGI</t>
  </si>
  <si>
    <t>profumi50</t>
  </si>
  <si>
    <t>profumi100</t>
  </si>
  <si>
    <t>deo150</t>
  </si>
  <si>
    <t>deo175</t>
  </si>
  <si>
    <t>deo250</t>
  </si>
  <si>
    <t>deo300</t>
  </si>
  <si>
    <t>bm200</t>
  </si>
  <si>
    <t>shipping_address1</t>
  </si>
  <si>
    <t>shipping_address2</t>
  </si>
  <si>
    <t>shipping_address3</t>
  </si>
  <si>
    <t>shipping_address4</t>
  </si>
  <si>
    <t>qty_to_produce</t>
  </si>
  <si>
    <t>produced</t>
  </si>
  <si>
    <t>production_no</t>
  </si>
  <si>
    <t>LOADED REF:</t>
  </si>
  <si>
    <t>Order Status</t>
  </si>
  <si>
    <t>lock_goods</t>
  </si>
  <si>
    <t>YEAR INITIAL 
STOCK</t>
  </si>
  <si>
    <t>MOVEMENTS 
YTD</t>
  </si>
  <si>
    <t>ACTUAL 
STOCK</t>
  </si>
  <si>
    <t>LOCKED 
STOCK</t>
  </si>
  <si>
    <t>AVAILABLE 
STOCK</t>
  </si>
  <si>
    <t>NON
LOCKED ORDERS</t>
  </si>
  <si>
    <t>FILTRI</t>
  </si>
  <si>
    <t>availability</t>
  </si>
  <si>
    <t>100x120x(h)</t>
  </si>
  <si>
    <t>Warehouse</t>
  </si>
  <si>
    <t>Goods Produced</t>
  </si>
  <si>
    <t>Production No</t>
  </si>
  <si>
    <t>X3TRFM</t>
  </si>
  <si>
    <t>ENVASADO XIOMARA SLU</t>
  </si>
  <si>
    <t>YONTEM KOZMETIK</t>
  </si>
  <si>
    <t>YONTEM KOZMETIK A.S.</t>
  </si>
  <si>
    <t>ALLIANZ TOWER</t>
  </si>
  <si>
    <t xml:space="preserve">KÜÇÜKBAKKALKÖY MAHALLESI KAYıŞDAĞı CADDESI NO:1 </t>
  </si>
  <si>
    <t>ATAŞEHIR / İSTANBUL</t>
  </si>
  <si>
    <t>ISTAMBUL - TURKEY</t>
  </si>
  <si>
    <t>ATAŞEHIR / İSTANBUL, TURKEY</t>
  </si>
  <si>
    <t>Contact person:  Mert Doğutürk_x000D_
Mobile: +90 (530) 349 96 57</t>
  </si>
  <si>
    <t>Per la stesura del DGN bisogna seguire delle regole particolari._x000D_
Vedere i vecchi DGN._x000D_
_x000D_
Sui cartoni contenenti testers bisogna attaccare un adesivo F.O.C.</t>
  </si>
  <si>
    <t>SOLVENT</t>
  </si>
  <si>
    <t>CZECH REP.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</si>
  <si>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</si>
  <si>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</si>
  <si>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</si>
  <si>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</si>
  <si>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</si>
  <si>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</si>
  <si>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BY SEA</t>
  </si>
  <si>
    <t>Goods Locked</t>
  </si>
  <si>
    <t>tot invoice</t>
  </si>
  <si>
    <t>tot cost</t>
  </si>
  <si>
    <t>UN 1266 PERFUMERY PRODUCTS, CLASS 3, III, (23°C)</t>
  </si>
  <si>
    <t>LIMITED QUANTITY, EMS: F- E, S-D</t>
  </si>
  <si>
    <t>P.O.BOX 6971</t>
  </si>
  <si>
    <t>AMMAN 11118 JORDAN</t>
  </si>
  <si>
    <t>AMMAN - JORDAN</t>
  </si>
  <si>
    <t>BHPC TRAY 3PCS GIFT BOX MEN 50ML</t>
  </si>
  <si>
    <t>X2TRFM</t>
  </si>
  <si>
    <t>X2TRFW</t>
  </si>
  <si>
    <t>BHPC TRAY 3PCS GIFT BOX WOMEN 50ML</t>
  </si>
  <si>
    <t>3PCS GIFT SET OUTER CARTON</t>
  </si>
  <si>
    <t>2PCS GIFTSET OUTER CARTON</t>
  </si>
  <si>
    <t>X3GSCT</t>
  </si>
  <si>
    <t>X2GSCT</t>
  </si>
  <si>
    <t>CT</t>
  </si>
  <si>
    <t>X07008</t>
  </si>
  <si>
    <t>X07009</t>
  </si>
  <si>
    <t>X07010</t>
  </si>
  <si>
    <t>X07011</t>
  </si>
  <si>
    <t>X07028</t>
  </si>
  <si>
    <t>X07029</t>
  </si>
  <si>
    <t>X07030</t>
  </si>
  <si>
    <t>X07031</t>
  </si>
  <si>
    <t>BHPC 3PCS GIFT BOX MEN NO.1 50ML</t>
  </si>
  <si>
    <t>BHPC 3PCS GIFT BOX MEN NO.9 50ML</t>
  </si>
  <si>
    <t>BHPC 3PCS GIFT BOX MEN NO.8 50ML</t>
  </si>
  <si>
    <t>BHPC 3PCS GIFT BOX MEN NO.2 50ML</t>
  </si>
  <si>
    <t>BHPC 3PCS GIFT BOX WOMEN NO.1 50ML</t>
  </si>
  <si>
    <t>BHPC 3PCS GIFT BOX WOMEN NO.9 50ML</t>
  </si>
  <si>
    <t>BHPC 3PCS GIFT BOX WOMEN NO.8 50ML</t>
  </si>
  <si>
    <t>BHPC 3PCS GIFT BOX WOMEN NO.2 50ML</t>
  </si>
  <si>
    <t>PACKING MATERIAL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</si>
</sst>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#,##0.00\ &quot;€&quot;"/>
    <numFmt numFmtId="170" formatCode="0.0"/>
    <numFmt numFmtId="171" formatCode="0.000"/>
    <numFmt numFmtId="172" formatCode="_ * #,##0.00_ ;_ * \-#,##0.00_ ;_ * &quot;-&quot;??_ ;_ @_ "/>
    <numFmt numFmtId="173" formatCode="_ &quot;€&quot;\ * #,##0.00_ ;_ &quot;€&quot;\ * \-#,##0.00_ ;_ &quot;€&quot;\ * &quot;-&quot;??_ ;_ @_ "/>
    <numFmt numFmtId="174" formatCode="_(&quot;€&quot;* #,##0.00_);_(&quot;€&quot;* \(#,##0.00\);_(&quot;€&quot;* &quot;-&quot;??_);_(@_)"/>
    <numFmt numFmtId="175" formatCode="_-[$€]\ * #,##0.00_-;_-[$€]\ * #,##0.00\-;_-[$€]\ * &quot;-&quot;??_-;_-@_-"/>
    <numFmt numFmtId="176" formatCode="dd/mm/yy;@"/>
    <numFmt numFmtId="177" formatCode="\€\ #,##0.00_)"/>
    <numFmt numFmtId="178" formatCode="0\ &quot;Kg.&quot;"/>
    <numFmt numFmtId="179" formatCode="[$$-F0000]\ #,##0.00_)"/>
    <numFmt numFmtId="180" formatCode="[$$-F0000]#,##0.00;[Red]\-[$$-F0000]#,##0.00"/>
    <numFmt numFmtId="181" formatCode="\€#,##0.00;[Red]\-\€#,##0.00"/>
    <numFmt numFmtId="182" formatCode="0.00\ &quot;m³&quot;"/>
    <numFmt numFmtId="183" formatCode="0.0000"/>
    <numFmt numFmtId="184" formatCode="_-* #,##0.00\ [$€-410]_-;\-* #,##0.00\ [$€-410]_-;_-* &quot;-&quot;??\ [$€-410]_-;_-@_-"/>
    <numFmt numFmtId="185" formatCode="0;\-0;\-;@"/>
    <numFmt numFmtId="186" formatCode="#,##0.0\ &quot;Kg.&quot;"/>
    <numFmt numFmtId="187" formatCode="_-[$€-130000]* #,##0.00_-;\-[$€-130000]* #,##0.00_-;_-[$€-130000]* &quot;-&quot;??_-;_-@_-"/>
    <numFmt numFmtId="188" formatCode="#,##0.000\ &quot;€&quot;"/>
    <numFmt numFmtId="189" formatCode="&quot;€&quot;#,##0.00"/>
  </numFmts>
  <fonts count="7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11"/>
      <color theme="1"/>
      <name val="Calibri"/>
      <scheme val="minor"/>
    </font>
    <font>
      <b/>
      <sz val="11"/>
      <color theme="5" tint="0.39997558519241921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indexed="17"/>
      <name val="Tahoma"/>
      <family val="2"/>
    </font>
    <font>
      <b/>
      <sz val="10"/>
      <color theme="1"/>
      <name val="Calibri"/>
      <family val="2"/>
      <scheme val="minor"/>
    </font>
    <font>
      <sz val="6"/>
      <color theme="1"/>
      <name val="Calibri"/>
      <scheme val="minor"/>
    </font>
    <font>
      <b/>
      <sz val="8"/>
      <color theme="1"/>
      <name val="Calibri"/>
      <family val="2"/>
      <scheme val="minor"/>
    </font>
    <font>
      <sz val="10"/>
      <name val="Arial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352">
    <xf numFmtId="0" fontId="0" fillId="0" borderId="0"/>
    <xf numFmtId="43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4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8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5" fillId="0" borderId="0"/>
    <xf numFmtId="165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94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1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1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69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69" fontId="0" fillId="0" borderId="0" xfId="0" applyNumberFormat="1"/>
    <xf numFmtId="169" fontId="2" fillId="0" borderId="0" xfId="0" applyNumberFormat="1" applyFon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4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4" borderId="0" xfId="0" applyFill="1"/>
    <xf numFmtId="0" fontId="0" fillId="35" borderId="32" xfId="0" applyFill="1" applyBorder="1"/>
    <xf numFmtId="0" fontId="0" fillId="35" borderId="33" xfId="0" applyFill="1" applyBorder="1"/>
    <xf numFmtId="0" fontId="0" fillId="35" borderId="0" xfId="0" applyFill="1"/>
    <xf numFmtId="0" fontId="0" fillId="35" borderId="35" xfId="0" applyFill="1" applyBorder="1"/>
    <xf numFmtId="0" fontId="0" fillId="35" borderId="37" xfId="0" applyFill="1" applyBorder="1"/>
    <xf numFmtId="0" fontId="0" fillId="35" borderId="38" xfId="0" applyFill="1" applyBorder="1"/>
    <xf numFmtId="0" fontId="0" fillId="35" borderId="34" xfId="0" applyFill="1" applyBorder="1" applyAlignment="1">
      <alignment horizontal="right"/>
    </xf>
    <xf numFmtId="0" fontId="2" fillId="35" borderId="40" xfId="0" applyFont="1" applyFill="1" applyBorder="1" applyAlignment="1">
      <alignment horizontal="center"/>
    </xf>
    <xf numFmtId="0" fontId="2" fillId="35" borderId="41" xfId="0" applyFont="1" applyFill="1" applyBorder="1" applyAlignment="1">
      <alignment horizontal="center"/>
    </xf>
    <xf numFmtId="0" fontId="0" fillId="35" borderId="36" xfId="0" applyFill="1" applyBorder="1" applyAlignment="1">
      <alignment horizontal="right"/>
    </xf>
    <xf numFmtId="0" fontId="0" fillId="35" borderId="0" xfId="0" applyFill="1" applyAlignment="1">
      <alignment horizontal="right"/>
    </xf>
    <xf numFmtId="0" fontId="41" fillId="35" borderId="31" xfId="0" applyFont="1" applyFill="1" applyBorder="1"/>
    <xf numFmtId="0" fontId="41" fillId="35" borderId="34" xfId="0" applyFont="1" applyFill="1" applyBorder="1" applyAlignment="1">
      <alignment horizontal="right"/>
    </xf>
    <xf numFmtId="0" fontId="41" fillId="35" borderId="34" xfId="0" applyFont="1" applyFill="1" applyBorder="1" applyAlignment="1">
      <alignment vertical="center"/>
    </xf>
    <xf numFmtId="0" fontId="41" fillId="35" borderId="34" xfId="0" applyFont="1" applyFill="1" applyBorder="1" applyAlignment="1">
      <alignment vertical="top" wrapText="1"/>
    </xf>
    <xf numFmtId="0" fontId="41" fillId="35" borderId="34" xfId="0" applyFont="1" applyFill="1" applyBorder="1" applyAlignment="1">
      <alignment horizontal="right" vertical="top"/>
    </xf>
    <xf numFmtId="0" fontId="41" fillId="35" borderId="34" xfId="0" applyFont="1" applyFill="1" applyBorder="1" applyAlignment="1">
      <alignment vertical="top"/>
    </xf>
    <xf numFmtId="0" fontId="40" fillId="35" borderId="34" xfId="0" applyFont="1" applyFill="1" applyBorder="1" applyAlignment="1">
      <alignment horizontal="right"/>
    </xf>
    <xf numFmtId="0" fontId="40" fillId="35" borderId="36" xfId="0" applyFont="1" applyFill="1" applyBorder="1"/>
    <xf numFmtId="0" fontId="0" fillId="35" borderId="32" xfId="0" applyFill="1" applyBorder="1" applyAlignment="1">
      <alignment horizontal="left"/>
    </xf>
    <xf numFmtId="0" fontId="0" fillId="35" borderId="0" xfId="0" applyFill="1" applyAlignment="1">
      <alignment horizontal="left"/>
    </xf>
    <xf numFmtId="0" fontId="2" fillId="35" borderId="39" xfId="0" applyFont="1" applyFill="1" applyBorder="1" applyAlignment="1">
      <alignment horizontal="center" vertical="center"/>
    </xf>
    <xf numFmtId="0" fontId="2" fillId="35" borderId="40" xfId="0" applyFont="1" applyFill="1" applyBorder="1" applyAlignment="1">
      <alignment horizontal="center" vertical="center"/>
    </xf>
    <xf numFmtId="169" fontId="2" fillId="35" borderId="40" xfId="0" applyNumberFormat="1" applyFont="1" applyFill="1" applyBorder="1" applyAlignment="1">
      <alignment horizontal="center" vertical="center"/>
    </xf>
    <xf numFmtId="169" fontId="2" fillId="35" borderId="41" xfId="0" applyNumberFormat="1" applyFont="1" applyFill="1" applyBorder="1" applyAlignment="1">
      <alignment horizontal="center" vertical="center"/>
    </xf>
    <xf numFmtId="0" fontId="0" fillId="35" borderId="36" xfId="0" applyFill="1" applyBorder="1"/>
    <xf numFmtId="0" fontId="0" fillId="35" borderId="31" xfId="0" applyFill="1" applyBorder="1"/>
    <xf numFmtId="1" fontId="0" fillId="0" borderId="0" xfId="0" applyNumberFormat="1"/>
    <xf numFmtId="0" fontId="2" fillId="35" borderId="45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5" borderId="37" xfId="0" applyFill="1" applyBorder="1" applyAlignment="1">
      <alignment horizontal="right"/>
    </xf>
    <xf numFmtId="0" fontId="0" fillId="35" borderId="0" xfId="0" applyFill="1" applyAlignment="1">
      <alignment horizontal="right" vertical="center"/>
    </xf>
    <xf numFmtId="0" fontId="0" fillId="35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1" fontId="2" fillId="35" borderId="40" xfId="0" applyNumberFormat="1" applyFont="1" applyFill="1" applyBorder="1" applyAlignment="1">
      <alignment horizontal="center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25" xfId="2" applyFont="1" applyBorder="1" applyAlignment="1">
      <alignment horizontal="left" vertical="top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6" xfId="2" applyFont="1" applyBorder="1" applyAlignment="1">
      <alignment horizontal="center" vertical="center" wrapText="1"/>
    </xf>
    <xf numFmtId="0" fontId="22" fillId="0" borderId="46" xfId="2" applyFont="1" applyBorder="1" applyAlignment="1">
      <alignment horizontal="center" vertical="center"/>
    </xf>
    <xf numFmtId="180" fontId="15" fillId="0" borderId="0" xfId="2" applyNumberFormat="1" applyAlignment="1">
      <alignment vertical="center"/>
    </xf>
    <xf numFmtId="180" fontId="15" fillId="0" borderId="0" xfId="2" applyNumberFormat="1" applyAlignment="1">
      <alignment horizontal="right" vertical="center"/>
    </xf>
    <xf numFmtId="180" fontId="15" fillId="0" borderId="0" xfId="2" applyNumberFormat="1" applyAlignment="1">
      <alignment horizontal="center" vertical="center"/>
    </xf>
    <xf numFmtId="181" fontId="15" fillId="0" borderId="0" xfId="2" applyNumberFormat="1" applyAlignment="1">
      <alignment vertical="center"/>
    </xf>
    <xf numFmtId="181" fontId="15" fillId="0" borderId="0" xfId="2" applyNumberFormat="1" applyAlignment="1">
      <alignment horizontal="right" vertical="center"/>
    </xf>
    <xf numFmtId="0" fontId="22" fillId="0" borderId="18" xfId="2" applyFont="1" applyBorder="1" applyAlignment="1">
      <alignment vertical="top"/>
    </xf>
    <xf numFmtId="0" fontId="22" fillId="0" borderId="19" xfId="2" applyFont="1" applyBorder="1" applyAlignment="1">
      <alignment vertical="top"/>
    </xf>
    <xf numFmtId="14" fontId="0" fillId="34" borderId="0" xfId="0" applyNumberFormat="1" applyFill="1" applyAlignment="1">
      <alignment horizontal="center"/>
    </xf>
    <xf numFmtId="14" fontId="2" fillId="35" borderId="40" xfId="0" applyNumberFormat="1" applyFont="1" applyFill="1" applyBorder="1" applyAlignment="1">
      <alignment horizontal="center"/>
    </xf>
    <xf numFmtId="0" fontId="0" fillId="36" borderId="29" xfId="0" applyFill="1" applyBorder="1" applyProtection="1">
      <protection locked="0"/>
    </xf>
    <xf numFmtId="14" fontId="0" fillId="36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6" borderId="29" xfId="0" applyNumberFormat="1" applyFill="1" applyBorder="1" applyAlignment="1" applyProtection="1">
      <alignment horizontal="center"/>
      <protection locked="0"/>
    </xf>
    <xf numFmtId="183" fontId="2" fillId="0" borderId="0" xfId="0" applyNumberFormat="1" applyFont="1" applyAlignment="1">
      <alignment horizontal="center" vertical="center" wrapText="1"/>
    </xf>
    <xf numFmtId="183" fontId="0" fillId="0" borderId="0" xfId="0" applyNumberFormat="1" applyAlignment="1">
      <alignment horizontal="center"/>
    </xf>
    <xf numFmtId="183" fontId="0" fillId="0" borderId="0" xfId="0" applyNumberFormat="1" applyAlignment="1">
      <alignment horizontal="center" vertical="center"/>
    </xf>
    <xf numFmtId="14" fontId="46" fillId="0" borderId="0" xfId="0" applyNumberFormat="1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shrinkToFit="1"/>
    </xf>
    <xf numFmtId="0" fontId="51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2" fillId="0" borderId="0" xfId="2" applyFont="1"/>
    <xf numFmtId="1" fontId="52" fillId="0" borderId="0" xfId="6" applyNumberFormat="1" applyFont="1" applyAlignment="1">
      <alignment horizontal="center" vertical="center" wrapText="1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20" xfId="2" applyFont="1" applyBorder="1" applyAlignment="1">
      <alignment vertical="top"/>
    </xf>
    <xf numFmtId="0" fontId="22" fillId="0" borderId="47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7" fillId="0" borderId="14" xfId="2" applyFont="1" applyBorder="1" applyAlignment="1">
      <alignment horizontal="left" vertical="center"/>
    </xf>
    <xf numFmtId="0" fontId="37" fillId="0" borderId="0" xfId="2" applyFont="1" applyAlignment="1">
      <alignment vertical="center"/>
    </xf>
    <xf numFmtId="0" fontId="37" fillId="0" borderId="0" xfId="2" applyFont="1" applyAlignment="1">
      <alignment horizontal="right" vertical="center"/>
    </xf>
    <xf numFmtId="0" fontId="37" fillId="0" borderId="21" xfId="2" applyFont="1" applyBorder="1" applyAlignment="1">
      <alignment vertical="center"/>
    </xf>
    <xf numFmtId="0" fontId="37" fillId="0" borderId="26" xfId="2" applyFont="1" applyBorder="1" applyAlignment="1">
      <alignment horizontal="center" vertical="center"/>
    </xf>
    <xf numFmtId="1" fontId="37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0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15" fillId="0" borderId="20" xfId="2" applyBorder="1" applyAlignment="1">
      <alignment horizontal="left" vertical="center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7" fillId="0" borderId="18" xfId="2" applyFont="1" applyBorder="1" applyAlignment="1">
      <alignment vertical="center"/>
    </xf>
    <xf numFmtId="0" fontId="37" fillId="0" borderId="14" xfId="2" applyFont="1" applyBorder="1" applyAlignment="1">
      <alignment vertical="center"/>
    </xf>
    <xf numFmtId="0" fontId="52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2" fillId="0" borderId="0" xfId="2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53" fillId="0" borderId="0" xfId="2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170" fontId="15" fillId="0" borderId="0" xfId="2" applyNumberFormat="1" applyAlignment="1">
      <alignment vertical="center"/>
    </xf>
    <xf numFmtId="170" fontId="37" fillId="0" borderId="26" xfId="2" applyNumberFormat="1" applyFont="1" applyBorder="1" applyAlignment="1">
      <alignment horizontal="center" vertical="center"/>
    </xf>
    <xf numFmtId="170" fontId="24" fillId="0" borderId="26" xfId="2" applyNumberFormat="1" applyFont="1" applyBorder="1" applyAlignment="1">
      <alignment horizontal="left" vertical="center"/>
    </xf>
    <xf numFmtId="170" fontId="24" fillId="0" borderId="14" xfId="3" applyNumberFormat="1" applyFont="1" applyFill="1" applyBorder="1" applyAlignment="1" applyProtection="1">
      <alignment horizontal="center" vertical="center"/>
    </xf>
    <xf numFmtId="170" fontId="24" fillId="0" borderId="26" xfId="2" applyNumberFormat="1" applyFont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3" borderId="29" xfId="344" applyNumberFormat="1" applyFont="1" applyFill="1" applyBorder="1" applyAlignment="1">
      <alignment horizontal="right" vertical="center"/>
    </xf>
    <xf numFmtId="177" fontId="2" fillId="0" borderId="29" xfId="0" applyNumberFormat="1" applyFont="1" applyBorder="1" applyAlignment="1">
      <alignment vertical="center"/>
    </xf>
    <xf numFmtId="177" fontId="2" fillId="0" borderId="29" xfId="0" applyNumberFormat="1" applyFont="1" applyBorder="1"/>
    <xf numFmtId="182" fontId="2" fillId="0" borderId="29" xfId="0" applyNumberFormat="1" applyFont="1" applyBorder="1"/>
    <xf numFmtId="0" fontId="2" fillId="0" borderId="29" xfId="0" applyFont="1" applyBorder="1"/>
    <xf numFmtId="0" fontId="16" fillId="0" borderId="0" xfId="2" applyFont="1" applyAlignment="1">
      <alignment horizontal="left" vertical="center" indent="1"/>
    </xf>
    <xf numFmtId="0" fontId="15" fillId="0" borderId="0" xfId="2" applyAlignment="1">
      <alignment horizontal="left" vertical="center" indent="1"/>
    </xf>
    <xf numFmtId="0" fontId="15" fillId="0" borderId="23" xfId="2" applyBorder="1" applyAlignment="1">
      <alignment horizontal="left" vertical="center" indent="1"/>
    </xf>
    <xf numFmtId="0" fontId="22" fillId="0" borderId="0" xfId="2" applyFont="1" applyAlignment="1">
      <alignment vertical="top"/>
    </xf>
    <xf numFmtId="0" fontId="15" fillId="0" borderId="21" xfId="2" applyBorder="1" applyAlignment="1">
      <alignment horizontal="left" vertical="center"/>
    </xf>
    <xf numFmtId="0" fontId="15" fillId="0" borderId="24" xfId="2" applyBorder="1" applyAlignment="1">
      <alignment horizontal="left" vertical="center"/>
    </xf>
    <xf numFmtId="164" fontId="15" fillId="0" borderId="0" xfId="347" applyFont="1" applyFill="1" applyAlignment="1">
      <alignment vertical="center"/>
    </xf>
    <xf numFmtId="0" fontId="0" fillId="18" borderId="29" xfId="0" applyFill="1" applyBorder="1"/>
    <xf numFmtId="0" fontId="0" fillId="18" borderId="0" xfId="0" applyFill="1"/>
    <xf numFmtId="170" fontId="9" fillId="0" borderId="9" xfId="41" applyNumberFormat="1" applyFont="1" applyBorder="1" applyAlignment="1" applyProtection="1">
      <alignment horizontal="center" vertical="center" shrinkToFit="1"/>
      <protection locked="0"/>
    </xf>
    <xf numFmtId="170" fontId="8" fillId="0" borderId="6" xfId="41" applyNumberFormat="1" applyFont="1" applyBorder="1" applyAlignment="1" applyProtection="1">
      <alignment vertical="center" shrinkToFit="1"/>
      <protection locked="0"/>
    </xf>
    <xf numFmtId="170" fontId="9" fillId="0" borderId="11" xfId="41" applyNumberFormat="1" applyFont="1" applyBorder="1" applyAlignment="1" applyProtection="1">
      <alignment horizontal="center" vertical="center" shrinkToFit="1"/>
      <protection locked="0"/>
    </xf>
    <xf numFmtId="170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55" fillId="0" borderId="0" xfId="0" applyFont="1" applyAlignment="1">
      <alignment horizontal="center" vertical="center"/>
    </xf>
    <xf numFmtId="0" fontId="1" fillId="0" borderId="0" xfId="4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4" xfId="0" applyFont="1" applyBorder="1"/>
    <xf numFmtId="0" fontId="1" fillId="0" borderId="0" xfId="0" applyFont="1"/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44" fontId="1" fillId="0" borderId="26" xfId="351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0" fontId="24" fillId="0" borderId="25" xfId="2" applyFont="1" applyBorder="1" applyAlignment="1">
      <alignment horizontal="center" vertical="center" wrapText="1"/>
    </xf>
    <xf numFmtId="44" fontId="24" fillId="0" borderId="25" xfId="351" applyFont="1" applyBorder="1" applyAlignment="1">
      <alignment horizontal="center" vertical="center" wrapText="1"/>
    </xf>
    <xf numFmtId="0" fontId="24" fillId="0" borderId="14" xfId="2" applyFont="1" applyBorder="1" applyAlignment="1">
      <alignment horizontal="center" vertical="center" wrapText="1"/>
    </xf>
    <xf numFmtId="0" fontId="24" fillId="0" borderId="0" xfId="2" applyFont="1" applyAlignment="1">
      <alignment horizontal="center" vertical="center" wrapText="1"/>
    </xf>
    <xf numFmtId="0" fontId="24" fillId="0" borderId="21" xfId="2" applyFont="1" applyBorder="1" applyAlignment="1">
      <alignment horizontal="center" vertical="center" wrapText="1"/>
    </xf>
    <xf numFmtId="0" fontId="24" fillId="0" borderId="26" xfId="2" applyFont="1" applyBorder="1" applyAlignment="1">
      <alignment horizontal="center" vertical="center" wrapText="1"/>
    </xf>
    <xf numFmtId="44" fontId="24" fillId="0" borderId="26" xfId="351" applyFont="1" applyBorder="1" applyAlignment="1">
      <alignment horizontal="center" vertical="center" wrapText="1"/>
    </xf>
    <xf numFmtId="0" fontId="2" fillId="18" borderId="1" xfId="0" applyFont="1" applyFill="1" applyBorder="1" applyAlignment="1">
      <alignment vertical="top" shrinkToFit="1"/>
    </xf>
    <xf numFmtId="0" fontId="2" fillId="18" borderId="15" xfId="0" applyFont="1" applyFill="1" applyBorder="1" applyAlignment="1">
      <alignment vertical="top" shrinkToFit="1"/>
    </xf>
    <xf numFmtId="0" fontId="2" fillId="18" borderId="2" xfId="0" applyFont="1" applyFill="1" applyBorder="1" applyAlignment="1">
      <alignment vertical="top" shrinkToFit="1"/>
    </xf>
    <xf numFmtId="179" fontId="17" fillId="0" borderId="23" xfId="2" applyNumberFormat="1" applyFont="1" applyBorder="1" applyAlignment="1">
      <alignment horizontal="left" vertical="center"/>
    </xf>
    <xf numFmtId="179" fontId="17" fillId="0" borderId="24" xfId="2" applyNumberFormat="1" applyFont="1" applyBorder="1" applyAlignment="1">
      <alignment horizontal="left" vertical="center"/>
    </xf>
    <xf numFmtId="0" fontId="2" fillId="0" borderId="14" xfId="0" applyFont="1" applyBorder="1"/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3" xfId="2" applyFont="1" applyBorder="1" applyAlignment="1">
      <alignment vertical="center"/>
    </xf>
    <xf numFmtId="44" fontId="17" fillId="0" borderId="23" xfId="351" applyFont="1" applyBorder="1" applyAlignment="1">
      <alignment vertical="center"/>
    </xf>
    <xf numFmtId="44" fontId="17" fillId="0" borderId="24" xfId="351" applyFont="1" applyBorder="1" applyAlignment="1">
      <alignment vertical="center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44" fontId="17" fillId="0" borderId="23" xfId="351" applyFont="1" applyBorder="1" applyAlignment="1">
      <alignment horizontal="left" vertical="center"/>
    </xf>
    <xf numFmtId="44" fontId="17" fillId="0" borderId="24" xfId="351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79" fontId="17" fillId="0" borderId="23" xfId="2" applyNumberFormat="1" applyFont="1" applyBorder="1" applyAlignment="1">
      <alignment vertical="center"/>
    </xf>
    <xf numFmtId="179" fontId="17" fillId="0" borderId="24" xfId="2" applyNumberFormat="1" applyFont="1" applyBorder="1" applyAlignment="1">
      <alignment vertical="center"/>
    </xf>
    <xf numFmtId="1" fontId="2" fillId="0" borderId="0" xfId="0" applyNumberFormat="1" applyFont="1" applyAlignment="1">
      <alignment horizontal="left"/>
    </xf>
    <xf numFmtId="0" fontId="57" fillId="0" borderId="19" xfId="2" applyFont="1" applyBorder="1" applyAlignment="1">
      <alignment vertical="top"/>
    </xf>
    <xf numFmtId="0" fontId="16" fillId="0" borderId="20" xfId="2" applyFont="1" applyBorder="1" applyAlignment="1">
      <alignment vertical="center"/>
    </xf>
    <xf numFmtId="0" fontId="16" fillId="0" borderId="21" xfId="2" applyFont="1" applyBorder="1" applyAlignment="1">
      <alignment vertical="center"/>
    </xf>
    <xf numFmtId="0" fontId="16" fillId="0" borderId="18" xfId="2" applyFont="1" applyBorder="1" applyAlignment="1">
      <alignment horizontal="left" vertical="center" indent="3"/>
    </xf>
    <xf numFmtId="0" fontId="16" fillId="0" borderId="14" xfId="2" applyFont="1" applyBorder="1" applyAlignment="1">
      <alignment horizontal="left" vertical="center" indent="3"/>
    </xf>
    <xf numFmtId="0" fontId="15" fillId="0" borderId="14" xfId="2" applyBorder="1" applyAlignment="1">
      <alignment horizontal="left" vertical="center" indent="3"/>
    </xf>
    <xf numFmtId="0" fontId="15" fillId="0" borderId="22" xfId="2" applyBorder="1" applyAlignment="1">
      <alignment horizontal="left" vertical="center" indent="3"/>
    </xf>
    <xf numFmtId="0" fontId="15" fillId="0" borderId="18" xfId="2" applyBorder="1" applyAlignment="1">
      <alignment horizontal="left" vertical="center" indent="3"/>
    </xf>
    <xf numFmtId="186" fontId="2" fillId="0" borderId="29" xfId="0" applyNumberFormat="1" applyFont="1" applyBorder="1"/>
    <xf numFmtId="177" fontId="0" fillId="35" borderId="0" xfId="0" applyNumberFormat="1" applyFill="1" applyAlignment="1">
      <alignment horizontal="right"/>
    </xf>
    <xf numFmtId="0" fontId="16" fillId="0" borderId="0" xfId="2" applyFont="1" applyAlignment="1">
      <alignment horizontal="right" vertical="center" wrapText="1"/>
    </xf>
    <xf numFmtId="49" fontId="15" fillId="0" borderId="0" xfId="2" applyNumberFormat="1" applyAlignment="1">
      <alignment horizontal="center" vertical="center"/>
    </xf>
    <xf numFmtId="171" fontId="2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/>
    </xf>
    <xf numFmtId="0" fontId="2" fillId="0" borderId="0" xfId="41" applyFont="1" applyAlignment="1">
      <alignment horizontal="center" vertical="center" wrapText="1"/>
    </xf>
    <xf numFmtId="0" fontId="0" fillId="0" borderId="0" xfId="0" applyAlignment="1">
      <alignment wrapText="1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61" fillId="0" borderId="25" xfId="2" applyNumberFormat="1" applyFont="1" applyBorder="1" applyAlignment="1">
      <alignment horizontal="center" vertical="center" wrapText="1"/>
    </xf>
    <xf numFmtId="1" fontId="62" fillId="0" borderId="26" xfId="0" applyNumberFormat="1" applyFont="1" applyBorder="1" applyAlignment="1">
      <alignment horizontal="center"/>
    </xf>
    <xf numFmtId="1" fontId="61" fillId="0" borderId="26" xfId="2" applyNumberFormat="1" applyFont="1" applyBorder="1" applyAlignment="1">
      <alignment horizontal="center" vertical="center" wrapText="1"/>
    </xf>
    <xf numFmtId="1" fontId="37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8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187" fontId="24" fillId="0" borderId="25" xfId="351" applyNumberFormat="1" applyFont="1" applyBorder="1" applyAlignment="1">
      <alignment horizontal="center" vertical="center" wrapText="1"/>
    </xf>
    <xf numFmtId="187" fontId="1" fillId="0" borderId="26" xfId="351" applyNumberFormat="1" applyFont="1" applyBorder="1" applyAlignment="1">
      <alignment horizontal="center"/>
    </xf>
    <xf numFmtId="49" fontId="24" fillId="0" borderId="25" xfId="2" applyNumberFormat="1" applyFont="1" applyBorder="1" applyAlignment="1">
      <alignment horizontal="center" vertical="center" wrapText="1"/>
    </xf>
    <xf numFmtId="49" fontId="24" fillId="0" borderId="26" xfId="2" applyNumberFormat="1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50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32" xfId="0" applyFill="1" applyBorder="1" applyAlignment="1">
      <alignment horizontal="left"/>
    </xf>
    <xf numFmtId="0" fontId="0" fillId="18" borderId="32" xfId="0" applyFill="1" applyBorder="1"/>
    <xf numFmtId="0" fontId="0" fillId="18" borderId="33" xfId="0" applyFill="1" applyBorder="1"/>
    <xf numFmtId="0" fontId="0" fillId="18" borderId="35" xfId="0" applyFill="1" applyBorder="1"/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1" xfId="0" applyFill="1" applyBorder="1"/>
    <xf numFmtId="14" fontId="2" fillId="18" borderId="29" xfId="0" applyNumberFormat="1" applyFont="1" applyFill="1" applyBorder="1" applyAlignment="1">
      <alignment horizontal="center" vertical="center"/>
    </xf>
    <xf numFmtId="14" fontId="0" fillId="18" borderId="29" xfId="0" applyNumberFormat="1" applyFill="1" applyBorder="1" applyAlignment="1">
      <alignment horizontal="left" vertical="center"/>
    </xf>
    <xf numFmtId="0" fontId="40" fillId="18" borderId="34" xfId="0" applyFont="1" applyFill="1" applyBorder="1" applyAlignment="1">
      <alignment horizontal="right"/>
    </xf>
    <xf numFmtId="0" fontId="0" fillId="18" borderId="37" xfId="0" applyFill="1" applyBorder="1"/>
    <xf numFmtId="0" fontId="0" fillId="18" borderId="38" xfId="0" applyFill="1" applyBorder="1"/>
    <xf numFmtId="0" fontId="0" fillId="18" borderId="0" xfId="0" applyFill="1" applyAlignment="1">
      <alignment horizontal="center"/>
    </xf>
    <xf numFmtId="0" fontId="39" fillId="18" borderId="0" xfId="0" applyFont="1" applyFill="1"/>
    <xf numFmtId="0" fontId="44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1" fontId="0" fillId="18" borderId="0" xfId="0" applyNumberFormat="1" applyFill="1"/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31" xfId="0" applyFill="1" applyBorder="1" applyAlignment="1">
      <alignment horizontal="right"/>
    </xf>
    <xf numFmtId="14" fontId="0" fillId="18" borderId="32" xfId="0" applyNumberFormat="1" applyFill="1" applyBorder="1"/>
    <xf numFmtId="0" fontId="0" fillId="18" borderId="31" xfId="0" applyFill="1" applyBorder="1"/>
    <xf numFmtId="0" fontId="0" fillId="18" borderId="34" xfId="0" applyFill="1" applyBorder="1"/>
    <xf numFmtId="0" fontId="0" fillId="18" borderId="32" xfId="0" applyFill="1" applyBorder="1" applyAlignment="1">
      <alignment horizontal="center"/>
    </xf>
    <xf numFmtId="0" fontId="0" fillId="18" borderId="34" xfId="0" applyFill="1" applyBorder="1" applyAlignment="1">
      <alignment horizontal="right"/>
    </xf>
    <xf numFmtId="1" fontId="0" fillId="18" borderId="29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29" xfId="0" applyFont="1" applyFill="1" applyBorder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24" fillId="18" borderId="50" xfId="0" applyNumberFormat="1" applyFont="1" applyFill="1" applyBorder="1" applyAlignment="1">
      <alignment horizontal="center" vertical="center"/>
    </xf>
    <xf numFmtId="0" fontId="24" fillId="18" borderId="42" xfId="0" applyFont="1" applyFill="1" applyBorder="1" applyAlignment="1">
      <alignment horizontal="center" vertical="center"/>
    </xf>
    <xf numFmtId="1" fontId="0" fillId="18" borderId="29" xfId="0" applyNumberFormat="1" applyFill="1" applyBorder="1" applyAlignment="1">
      <alignment horizontal="center"/>
    </xf>
    <xf numFmtId="14" fontId="0" fillId="18" borderId="29" xfId="0" applyNumberFormat="1" applyFill="1" applyBorder="1" applyAlignment="1" applyProtection="1">
      <alignment horizontal="center"/>
      <protection locked="0"/>
    </xf>
    <xf numFmtId="14" fontId="2" fillId="18" borderId="29" xfId="0" applyNumberFormat="1" applyFont="1" applyFill="1" applyBorder="1" applyAlignment="1" applyProtection="1">
      <alignment horizontal="center"/>
      <protection locked="0"/>
    </xf>
    <xf numFmtId="177" fontId="0" fillId="18" borderId="29" xfId="0" applyNumberFormat="1" applyFill="1" applyBorder="1" applyAlignment="1">
      <alignment horizontal="left"/>
    </xf>
    <xf numFmtId="177" fontId="0" fillId="18" borderId="29" xfId="0" applyNumberFormat="1" applyFill="1" applyBorder="1" applyAlignment="1" applyProtection="1">
      <alignment horizontal="center" vertical="center"/>
      <protection locked="0"/>
    </xf>
    <xf numFmtId="0" fontId="2" fillId="18" borderId="29" xfId="0" applyFont="1" applyFill="1" applyBorder="1" applyAlignment="1">
      <alignment horizontal="center" vertical="center"/>
    </xf>
    <xf numFmtId="14" fontId="24" fillId="18" borderId="51" xfId="0" applyNumberFormat="1" applyFont="1" applyFill="1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18" borderId="29" xfId="0" applyFill="1" applyBorder="1" applyAlignment="1">
      <alignment horizontal="center" vertical="center"/>
    </xf>
    <xf numFmtId="183" fontId="0" fillId="18" borderId="29" xfId="0" applyNumberFormat="1" applyFill="1" applyBorder="1" applyAlignment="1" applyProtection="1">
      <alignment horizontal="center"/>
      <protection locked="0"/>
    </xf>
    <xf numFmtId="14" fontId="24" fillId="18" borderId="29" xfId="0" applyNumberFormat="1" applyFont="1" applyFill="1" applyBorder="1" applyProtection="1">
      <protection locked="0"/>
    </xf>
    <xf numFmtId="0" fontId="0" fillId="18" borderId="36" xfId="0" applyFill="1" applyBorder="1" applyAlignment="1">
      <alignment horizontal="right"/>
    </xf>
    <xf numFmtId="14" fontId="0" fillId="18" borderId="37" xfId="0" applyNumberFormat="1" applyFill="1" applyBorder="1"/>
    <xf numFmtId="0" fontId="0" fillId="18" borderId="36" xfId="0" applyFill="1" applyBorder="1"/>
    <xf numFmtId="0" fontId="0" fillId="18" borderId="37" xfId="0" applyFill="1" applyBorder="1" applyAlignment="1">
      <alignment horizontal="center"/>
    </xf>
    <xf numFmtId="0" fontId="0" fillId="18" borderId="29" xfId="0" applyFill="1" applyBorder="1" applyAlignment="1" applyProtection="1">
      <alignment horizontal="center" vertical="center"/>
      <protection hidden="1"/>
    </xf>
    <xf numFmtId="177" fontId="0" fillId="18" borderId="29" xfId="0" applyNumberFormat="1" applyFill="1" applyBorder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29" xfId="0" applyNumberFormat="1" applyFill="1" applyBorder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2" fillId="18" borderId="40" xfId="0" applyFont="1" applyFill="1" applyBorder="1"/>
    <xf numFmtId="0" fontId="0" fillId="18" borderId="40" xfId="0" applyFill="1" applyBorder="1"/>
    <xf numFmtId="0" fontId="2" fillId="18" borderId="34" xfId="0" applyFont="1" applyFill="1" applyBorder="1" applyAlignment="1">
      <alignment horizontal="right"/>
    </xf>
    <xf numFmtId="0" fontId="0" fillId="18" borderId="35" xfId="0" applyFill="1" applyBorder="1" applyAlignment="1">
      <alignment vertical="top"/>
    </xf>
    <xf numFmtId="0" fontId="0" fillId="18" borderId="37" xfId="0" applyFill="1" applyBorder="1" applyAlignment="1">
      <alignment horizontal="left"/>
    </xf>
    <xf numFmtId="0" fontId="37" fillId="18" borderId="2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4" xfId="0" applyFont="1" applyFill="1" applyBorder="1" applyAlignment="1" applyProtection="1">
      <alignment horizontal="center" vertical="center"/>
      <protection locked="0" hidden="1"/>
    </xf>
    <xf numFmtId="0" fontId="37" fillId="18" borderId="29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 shrinkToFit="1"/>
    </xf>
    <xf numFmtId="0" fontId="24" fillId="18" borderId="29" xfId="0" applyFont="1" applyFill="1" applyBorder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29" xfId="0" applyFont="1" applyFill="1" applyBorder="1" applyAlignment="1" applyProtection="1">
      <alignment horizontal="center" vertical="center"/>
      <protection locked="0"/>
    </xf>
    <xf numFmtId="178" fontId="24" fillId="18" borderId="29" xfId="0" applyNumberFormat="1" applyFont="1" applyFill="1" applyBorder="1" applyAlignment="1">
      <alignment horizontal="right"/>
    </xf>
    <xf numFmtId="178" fontId="24" fillId="18" borderId="9" xfId="0" applyNumberFormat="1" applyFont="1" applyFill="1" applyBorder="1" applyAlignment="1">
      <alignment horizontal="right"/>
    </xf>
    <xf numFmtId="0" fontId="37" fillId="18" borderId="0" xfId="0" applyFont="1" applyFill="1" applyAlignment="1">
      <alignment vertical="center"/>
    </xf>
    <xf numFmtId="0" fontId="0" fillId="18" borderId="0" xfId="0" applyFill="1" applyAlignment="1">
      <alignment horizontal="right"/>
    </xf>
    <xf numFmtId="182" fontId="24" fillId="18" borderId="29" xfId="0" applyNumberFormat="1" applyFont="1" applyFill="1" applyBorder="1" applyAlignment="1">
      <alignment horizontal="right"/>
    </xf>
    <xf numFmtId="178" fontId="24" fillId="18" borderId="1" xfId="0" applyNumberFormat="1" applyFont="1" applyFill="1" applyBorder="1" applyAlignment="1">
      <alignment horizontal="right"/>
    </xf>
    <xf numFmtId="178" fontId="24" fillId="18" borderId="11" xfId="0" applyNumberFormat="1" applyFont="1" applyFill="1" applyBorder="1" applyAlignment="1">
      <alignment horizontal="right"/>
    </xf>
    <xf numFmtId="0" fontId="37" fillId="18" borderId="0" xfId="0" applyFont="1" applyFill="1" applyAlignment="1">
      <alignment horizontal="left" vertical="center"/>
    </xf>
    <xf numFmtId="0" fontId="37" fillId="18" borderId="29" xfId="0" applyFont="1" applyFill="1" applyBorder="1" applyProtection="1">
      <protection locked="0" hidden="1"/>
    </xf>
    <xf numFmtId="14" fontId="24" fillId="18" borderId="29" xfId="0" applyNumberFormat="1" applyFont="1" applyFill="1" applyBorder="1" applyAlignment="1" applyProtection="1">
      <alignment horizontal="center"/>
      <protection locked="0"/>
    </xf>
    <xf numFmtId="0" fontId="0" fillId="18" borderId="40" xfId="0" applyFill="1" applyBorder="1" applyAlignment="1">
      <alignment horizontal="right"/>
    </xf>
    <xf numFmtId="184" fontId="0" fillId="18" borderId="2" xfId="0" applyNumberFormat="1" applyFill="1" applyBorder="1" applyAlignment="1" applyProtection="1">
      <alignment horizontal="right"/>
      <protection locked="0" hidden="1"/>
    </xf>
    <xf numFmtId="0" fontId="24" fillId="18" borderId="29" xfId="0" applyFont="1" applyFill="1" applyBorder="1" applyProtection="1">
      <protection locked="0" hidden="1"/>
    </xf>
    <xf numFmtId="0" fontId="43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0" fillId="18" borderId="15" xfId="0" applyFill="1" applyBorder="1" applyAlignment="1">
      <alignment horizontal="center" vertical="center"/>
    </xf>
    <xf numFmtId="0" fontId="0" fillId="18" borderId="15" xfId="0" applyFill="1" applyBorder="1"/>
    <xf numFmtId="0" fontId="0" fillId="18" borderId="2" xfId="0" applyFill="1" applyBorder="1"/>
    <xf numFmtId="0" fontId="15" fillId="18" borderId="0" xfId="2" applyFill="1" applyAlignment="1">
      <alignment vertical="center"/>
    </xf>
    <xf numFmtId="169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8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/>
      <protection locked="0" hidden="1"/>
    </xf>
    <xf numFmtId="44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0" fontId="0" fillId="0" borderId="54" xfId="0" applyBorder="1" applyAlignment="1" applyProtection="1">
      <alignment horizontal="center" vertical="center"/>
      <protection locked="0" hidden="1"/>
    </xf>
    <xf numFmtId="0" fontId="0" fillId="0" borderId="55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44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6" xfId="0" applyBorder="1" applyAlignment="1" applyProtection="1">
      <alignment horizontal="center" vertical="center"/>
      <protection locked="0" hidden="1"/>
    </xf>
    <xf numFmtId="0" fontId="0" fillId="0" borderId="57" xfId="0" applyBorder="1" applyAlignment="1" applyProtection="1">
      <alignment horizontal="left"/>
      <protection locked="0" hidden="1"/>
    </xf>
    <xf numFmtId="1" fontId="0" fillId="0" borderId="58" xfId="0" applyNumberFormat="1" applyBorder="1" applyAlignment="1" applyProtection="1">
      <alignment horizontal="center"/>
      <protection locked="0" hidden="1"/>
    </xf>
    <xf numFmtId="0" fontId="0" fillId="0" borderId="58" xfId="0" applyBorder="1" applyAlignment="1" applyProtection="1">
      <alignment horizontal="center"/>
      <protection locked="0" hidden="1"/>
    </xf>
    <xf numFmtId="14" fontId="0" fillId="0" borderId="58" xfId="0" applyNumberFormat="1" applyBorder="1" applyAlignment="1" applyProtection="1">
      <alignment horizontal="center"/>
      <protection locked="0" hidden="1"/>
    </xf>
    <xf numFmtId="14" fontId="24" fillId="0" borderId="58" xfId="0" applyNumberFormat="1" applyFont="1" applyBorder="1" applyAlignment="1" applyProtection="1">
      <alignment horizontal="center" vertical="center"/>
      <protection locked="0" hidden="1"/>
    </xf>
    <xf numFmtId="44" fontId="0" fillId="0" borderId="58" xfId="0" applyNumberFormat="1" applyBorder="1" applyAlignment="1" applyProtection="1">
      <alignment horizontal="center"/>
      <protection locked="0" hidden="1"/>
    </xf>
    <xf numFmtId="0" fontId="0" fillId="0" borderId="58" xfId="0" applyBorder="1" applyAlignment="1" applyProtection="1">
      <alignment horizontal="center" vertical="center"/>
      <protection locked="0" hidden="1"/>
    </xf>
    <xf numFmtId="0" fontId="0" fillId="0" borderId="59" xfId="0" applyBorder="1" applyAlignment="1" applyProtection="1">
      <alignment horizontal="center" vertical="center"/>
      <protection locked="0" hidden="1"/>
    </xf>
    <xf numFmtId="0" fontId="0" fillId="0" borderId="14" xfId="0" applyBorder="1"/>
    <xf numFmtId="0" fontId="2" fillId="0" borderId="0" xfId="0" applyFont="1" applyAlignment="1">
      <alignment horizontal="center" wrapText="1"/>
    </xf>
    <xf numFmtId="1" fontId="24" fillId="0" borderId="58" xfId="0" applyNumberFormat="1" applyFont="1" applyBorder="1" applyAlignment="1" applyProtection="1">
      <alignment horizontal="center"/>
      <protection locked="0" hidden="1"/>
    </xf>
    <xf numFmtId="188" fontId="2" fillId="0" borderId="0" xfId="0" applyNumberFormat="1" applyFont="1" applyAlignment="1">
      <alignment horizontal="center" vertical="center" wrapText="1"/>
    </xf>
    <xf numFmtId="188" fontId="0" fillId="0" borderId="0" xfId="0" applyNumberFormat="1" applyAlignment="1">
      <alignment horizontal="center" vertical="center"/>
    </xf>
    <xf numFmtId="188" fontId="0" fillId="0" borderId="0" xfId="0" applyNumberFormat="1"/>
    <xf numFmtId="0" fontId="63" fillId="0" borderId="0" xfId="0" applyFont="1" applyAlignment="1">
      <alignment horizontal="center" vertical="center" wrapText="1"/>
    </xf>
    <xf numFmtId="0" fontId="0" fillId="36" borderId="60" xfId="0" applyFill="1" applyBorder="1" applyAlignment="1" applyProtection="1">
      <alignment horizontal="center" vertical="center"/>
      <protection locked="0" hidden="1"/>
    </xf>
    <xf numFmtId="0" fontId="1" fillId="35" borderId="61" xfId="0" applyFont="1" applyFill="1" applyBorder="1" applyProtection="1">
      <protection locked="0" hidden="1"/>
    </xf>
    <xf numFmtId="3" fontId="24" fillId="36" borderId="62" xfId="2" applyNumberFormat="1" applyFont="1" applyFill="1" applyBorder="1" applyAlignment="1" applyProtection="1">
      <alignment horizontal="center" vertical="center"/>
      <protection locked="0" hidden="1"/>
    </xf>
    <xf numFmtId="177" fontId="1" fillId="36" borderId="63" xfId="351" applyNumberFormat="1" applyFont="1" applyFill="1" applyBorder="1" applyAlignment="1" applyProtection="1">
      <alignment horizontal="center"/>
      <protection locked="0" hidden="1"/>
    </xf>
    <xf numFmtId="3" fontId="1" fillId="36" borderId="62" xfId="0" applyNumberFormat="1" applyFont="1" applyFill="1" applyBorder="1" applyAlignment="1" applyProtection="1">
      <alignment horizontal="center"/>
      <protection locked="0" hidden="1"/>
    </xf>
    <xf numFmtId="177" fontId="1" fillId="36" borderId="47" xfId="0" applyNumberFormat="1" applyFont="1" applyFill="1" applyBorder="1" applyAlignment="1" applyProtection="1">
      <alignment horizontal="center"/>
      <protection locked="0" hidden="1"/>
    </xf>
    <xf numFmtId="3" fontId="1" fillId="36" borderId="61" xfId="0" applyNumberFormat="1" applyFont="1" applyFill="1" applyBorder="1" applyAlignment="1" applyProtection="1">
      <alignment horizontal="center"/>
      <protection locked="0" hidden="1"/>
    </xf>
    <xf numFmtId="1" fontId="1" fillId="35" borderId="62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9" xfId="0" applyNumberFormat="1" applyFont="1" applyFill="1" applyBorder="1" applyAlignment="1" applyProtection="1">
      <alignment horizontal="center" vertical="center"/>
      <protection locked="0" hidden="1"/>
    </xf>
    <xf numFmtId="2" fontId="1" fillId="35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6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8" xfId="0" applyNumberFormat="1" applyFont="1" applyFill="1" applyBorder="1" applyAlignment="1" applyProtection="1">
      <alignment horizontal="center" vertical="center"/>
      <protection locked="0" hidden="1"/>
    </xf>
    <xf numFmtId="177" fontId="1" fillId="35" borderId="49" xfId="351" applyNumberFormat="1" applyFont="1" applyFill="1" applyBorder="1" applyAlignment="1" applyProtection="1">
      <alignment horizontal="right"/>
      <protection locked="0" hidden="1"/>
    </xf>
    <xf numFmtId="177" fontId="1" fillId="35" borderId="63" xfId="0" applyNumberFormat="1" applyFont="1" applyFill="1" applyBorder="1" applyAlignment="1" applyProtection="1">
      <alignment horizontal="right" vertical="center"/>
      <protection locked="0" hidden="1"/>
    </xf>
    <xf numFmtId="177" fontId="24" fillId="36" borderId="63" xfId="351" applyNumberFormat="1" applyFont="1" applyFill="1" applyBorder="1" applyAlignment="1" applyProtection="1">
      <alignment horizontal="center" vertical="center"/>
      <protection locked="0" hidden="1"/>
    </xf>
    <xf numFmtId="1" fontId="1" fillId="36" borderId="62" xfId="0" applyNumberFormat="1" applyFont="1" applyFill="1" applyBorder="1" applyAlignment="1" applyProtection="1">
      <alignment horizontal="center"/>
      <protection locked="0" hidden="1"/>
    </xf>
    <xf numFmtId="177" fontId="24" fillId="35" borderId="49" xfId="351" applyNumberFormat="1" applyFont="1" applyFill="1" applyBorder="1" applyAlignment="1" applyProtection="1">
      <alignment horizontal="right" vertical="center"/>
      <protection locked="0" hidden="1"/>
    </xf>
    <xf numFmtId="3" fontId="1" fillId="36" borderId="49" xfId="0" applyNumberFormat="1" applyFont="1" applyFill="1" applyBorder="1" applyAlignment="1" applyProtection="1">
      <alignment horizontal="center"/>
      <protection locked="0" hidden="1"/>
    </xf>
    <xf numFmtId="1" fontId="1" fillId="36" borderId="49" xfId="0" applyNumberFormat="1" applyFont="1" applyFill="1" applyBorder="1" applyAlignment="1" applyProtection="1">
      <alignment horizontal="center"/>
      <protection locked="0" hidden="1"/>
    </xf>
    <xf numFmtId="0" fontId="24" fillId="36" borderId="60" xfId="2" applyFont="1" applyFill="1" applyBorder="1" applyAlignment="1" applyProtection="1">
      <alignment horizontal="center" vertical="center"/>
      <protection locked="0" hidden="1"/>
    </xf>
    <xf numFmtId="0" fontId="0" fillId="35" borderId="61" xfId="0" applyFill="1" applyBorder="1" applyProtection="1">
      <protection locked="0" hidden="1"/>
    </xf>
    <xf numFmtId="0" fontId="1" fillId="36" borderId="60" xfId="0" applyFont="1" applyFill="1" applyBorder="1" applyAlignment="1" applyProtection="1">
      <alignment horizontal="center" vertical="center"/>
      <protection locked="0" hidden="1"/>
    </xf>
    <xf numFmtId="1" fontId="1" fillId="36" borderId="49" xfId="0" applyNumberFormat="1" applyFont="1" applyFill="1" applyBorder="1" applyProtection="1">
      <protection locked="0" hidden="1"/>
    </xf>
    <xf numFmtId="177" fontId="1" fillId="36" borderId="47" xfId="0" applyNumberFormat="1" applyFont="1" applyFill="1" applyBorder="1" applyProtection="1">
      <protection locked="0" hidden="1"/>
    </xf>
    <xf numFmtId="3" fontId="1" fillId="36" borderId="61" xfId="0" applyNumberFormat="1" applyFont="1" applyFill="1" applyBorder="1" applyProtection="1">
      <protection locked="0" hidden="1"/>
    </xf>
    <xf numFmtId="1" fontId="1" fillId="36" borderId="62" xfId="0" applyNumberFormat="1" applyFont="1" applyFill="1" applyBorder="1" applyProtection="1">
      <protection locked="0" hidden="1"/>
    </xf>
    <xf numFmtId="177" fontId="1" fillId="36" borderId="63" xfId="0" applyNumberFormat="1" applyFont="1" applyFill="1" applyBorder="1" applyProtection="1">
      <protection locked="0" hidden="1"/>
    </xf>
    <xf numFmtId="177" fontId="1" fillId="35" borderId="62" xfId="351" applyNumberFormat="1" applyFont="1" applyFill="1" applyBorder="1" applyAlignment="1" applyProtection="1">
      <alignment horizontal="right"/>
      <protection locked="0" hidden="1"/>
    </xf>
    <xf numFmtId="0" fontId="1" fillId="36" borderId="64" xfId="0" applyFont="1" applyFill="1" applyBorder="1" applyAlignment="1" applyProtection="1">
      <alignment horizontal="center" vertical="center"/>
      <protection locked="0" hidden="1"/>
    </xf>
    <xf numFmtId="0" fontId="1" fillId="35" borderId="65" xfId="0" applyFont="1" applyFill="1" applyBorder="1" applyProtection="1">
      <protection locked="0" hidden="1"/>
    </xf>
    <xf numFmtId="3" fontId="1" fillId="36" borderId="66" xfId="0" applyNumberFormat="1" applyFont="1" applyFill="1" applyBorder="1" applyAlignment="1" applyProtection="1">
      <alignment horizontal="center"/>
      <protection locked="0" hidden="1"/>
    </xf>
    <xf numFmtId="177" fontId="1" fillId="36" borderId="67" xfId="351" applyNumberFormat="1" applyFont="1" applyFill="1" applyBorder="1" applyAlignment="1" applyProtection="1">
      <alignment horizontal="center"/>
      <protection locked="0" hidden="1"/>
    </xf>
    <xf numFmtId="1" fontId="1" fillId="36" borderId="66" xfId="0" applyNumberFormat="1" applyFont="1" applyFill="1" applyBorder="1" applyProtection="1">
      <protection locked="0" hidden="1"/>
    </xf>
    <xf numFmtId="177" fontId="1" fillId="36" borderId="67" xfId="0" applyNumberFormat="1" applyFont="1" applyFill="1" applyBorder="1" applyProtection="1">
      <protection locked="0" hidden="1"/>
    </xf>
    <xf numFmtId="3" fontId="1" fillId="36" borderId="65" xfId="0" applyNumberFormat="1" applyFont="1" applyFill="1" applyBorder="1" applyProtection="1">
      <protection locked="0" hidden="1"/>
    </xf>
    <xf numFmtId="1" fontId="1" fillId="35" borderId="66" xfId="0" applyNumberFormat="1" applyFont="1" applyFill="1" applyBorder="1" applyAlignment="1" applyProtection="1">
      <alignment horizontal="right"/>
      <protection locked="0" hidden="1"/>
    </xf>
    <xf numFmtId="1" fontId="1" fillId="35" borderId="68" xfId="0" applyNumberFormat="1" applyFont="1" applyFill="1" applyBorder="1" applyAlignment="1" applyProtection="1">
      <alignment horizontal="right"/>
      <protection locked="0" hidden="1"/>
    </xf>
    <xf numFmtId="177" fontId="1" fillId="35" borderId="68" xfId="0" applyNumberFormat="1" applyFont="1" applyFill="1" applyBorder="1" applyAlignment="1" applyProtection="1">
      <alignment horizontal="right"/>
      <protection locked="0" hidden="1"/>
    </xf>
    <xf numFmtId="2" fontId="1" fillId="35" borderId="69" xfId="0" applyNumberFormat="1" applyFont="1" applyFill="1" applyBorder="1" applyAlignment="1" applyProtection="1">
      <alignment horizontal="center"/>
      <protection locked="0" hidden="1"/>
    </xf>
    <xf numFmtId="177" fontId="1" fillId="35" borderId="70" xfId="0" applyNumberFormat="1" applyFont="1" applyFill="1" applyBorder="1" applyAlignment="1" applyProtection="1">
      <alignment horizontal="right"/>
      <protection locked="0" hidden="1"/>
    </xf>
    <xf numFmtId="1" fontId="1" fillId="35" borderId="69" xfId="0" applyNumberFormat="1" applyFont="1" applyFill="1" applyBorder="1" applyAlignment="1" applyProtection="1">
      <alignment horizontal="right"/>
      <protection locked="0" hidden="1"/>
    </xf>
    <xf numFmtId="177" fontId="1" fillId="35" borderId="66" xfId="351" applyNumberFormat="1" applyFont="1" applyFill="1" applyBorder="1" applyAlignment="1" applyProtection="1">
      <alignment horizontal="right"/>
      <protection locked="0" hidden="1"/>
    </xf>
    <xf numFmtId="177" fontId="1" fillId="35" borderId="67" xfId="0" applyNumberFormat="1" applyFont="1" applyFill="1" applyBorder="1" applyAlignment="1" applyProtection="1">
      <alignment horizontal="right" vertical="center"/>
      <protection locked="0" hidden="1"/>
    </xf>
    <xf numFmtId="177" fontId="1" fillId="35" borderId="70" xfId="351" applyNumberFormat="1" applyFont="1" applyFill="1" applyBorder="1" applyAlignment="1" applyProtection="1">
      <alignment horizontal="right"/>
      <protection locked="0" hidden="1"/>
    </xf>
    <xf numFmtId="0" fontId="0" fillId="36" borderId="72" xfId="0" applyFill="1" applyBorder="1" applyAlignment="1" applyProtection="1">
      <alignment horizontal="center" vertical="center"/>
      <protection locked="0" hidden="1"/>
    </xf>
    <xf numFmtId="0" fontId="1" fillId="35" borderId="71" xfId="0" applyFont="1" applyFill="1" applyBorder="1" applyProtection="1">
      <protection locked="0" hidden="1"/>
    </xf>
    <xf numFmtId="3" fontId="24" fillId="36" borderId="73" xfId="2" applyNumberFormat="1" applyFont="1" applyFill="1" applyBorder="1" applyAlignment="1" applyProtection="1">
      <alignment horizontal="center" vertical="center"/>
      <protection locked="0" hidden="1"/>
    </xf>
    <xf numFmtId="177" fontId="1" fillId="36" borderId="74" xfId="351" applyNumberFormat="1" applyFont="1" applyFill="1" applyBorder="1" applyAlignment="1" applyProtection="1">
      <alignment horizontal="center"/>
      <protection locked="0" hidden="1"/>
    </xf>
    <xf numFmtId="177" fontId="1" fillId="36" borderId="22" xfId="0" applyNumberFormat="1" applyFont="1" applyFill="1" applyBorder="1" applyAlignment="1" applyProtection="1">
      <alignment horizontal="center"/>
      <protection locked="0" hidden="1"/>
    </xf>
    <xf numFmtId="3" fontId="1" fillId="36" borderId="71" xfId="0" applyNumberFormat="1" applyFont="1" applyFill="1" applyBorder="1" applyAlignment="1" applyProtection="1">
      <alignment horizontal="center"/>
      <protection locked="0" hidden="1"/>
    </xf>
    <xf numFmtId="1" fontId="1" fillId="35" borderId="7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4" xfId="0" applyNumberFormat="1" applyFont="1" applyFill="1" applyBorder="1" applyAlignment="1" applyProtection="1">
      <alignment horizontal="center" vertical="center"/>
      <protection locked="0" hidden="1"/>
    </xf>
    <xf numFmtId="2" fontId="1" fillId="35" borderId="2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3" xfId="0" applyNumberFormat="1" applyFont="1" applyFill="1" applyBorder="1" applyAlignment="1" applyProtection="1">
      <alignment horizontal="center" vertical="center"/>
      <protection locked="0" hidden="1"/>
    </xf>
    <xf numFmtId="177" fontId="1" fillId="35" borderId="74" xfId="0" applyNumberFormat="1" applyFont="1" applyFill="1" applyBorder="1" applyAlignment="1" applyProtection="1">
      <alignment horizontal="right" vertical="center"/>
      <protection locked="0" hidden="1"/>
    </xf>
    <xf numFmtId="0" fontId="64" fillId="0" borderId="0" xfId="0" applyFont="1" applyAlignment="1">
      <alignment horizontal="center" shrinkToFit="1"/>
    </xf>
    <xf numFmtId="0" fontId="39" fillId="35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0" fillId="37" borderId="31" xfId="0" applyFill="1" applyBorder="1" applyAlignment="1">
      <alignment horizontal="center" vertical="center"/>
    </xf>
    <xf numFmtId="0" fontId="0" fillId="37" borderId="75" xfId="0" applyFill="1" applyBorder="1"/>
    <xf numFmtId="0" fontId="0" fillId="37" borderId="75" xfId="0" applyFill="1" applyBorder="1" applyAlignment="1">
      <alignment horizontal="center"/>
    </xf>
    <xf numFmtId="1" fontId="0" fillId="37" borderId="31" xfId="0" applyNumberFormat="1" applyFill="1" applyBorder="1" applyAlignment="1">
      <alignment horizontal="center"/>
    </xf>
    <xf numFmtId="0" fontId="0" fillId="37" borderId="31" xfId="0" applyFill="1" applyBorder="1" applyAlignment="1">
      <alignment horizontal="center"/>
    </xf>
    <xf numFmtId="1" fontId="0" fillId="37" borderId="76" xfId="0" applyNumberFormat="1" applyFill="1" applyBorder="1" applyAlignment="1">
      <alignment horizontal="center"/>
    </xf>
    <xf numFmtId="0" fontId="0" fillId="38" borderId="77" xfId="0" applyFill="1" applyBorder="1" applyAlignment="1">
      <alignment horizontal="center" vertical="center"/>
    </xf>
    <xf numFmtId="0" fontId="0" fillId="38" borderId="78" xfId="0" applyFill="1" applyBorder="1"/>
    <xf numFmtId="0" fontId="0" fillId="38" borderId="78" xfId="0" applyFill="1" applyBorder="1" applyAlignment="1">
      <alignment horizontal="center"/>
    </xf>
    <xf numFmtId="1" fontId="0" fillId="38" borderId="77" xfId="0" applyNumberFormat="1" applyFill="1" applyBorder="1" applyAlignment="1">
      <alignment horizontal="center"/>
    </xf>
    <xf numFmtId="0" fontId="0" fillId="38" borderId="77" xfId="0" applyFill="1" applyBorder="1" applyAlignment="1">
      <alignment horizontal="center"/>
    </xf>
    <xf numFmtId="1" fontId="0" fillId="38" borderId="79" xfId="0" applyNumberFormat="1" applyFill="1" applyBorder="1" applyAlignment="1">
      <alignment horizontal="center"/>
    </xf>
    <xf numFmtId="0" fontId="0" fillId="37" borderId="77" xfId="0" applyFill="1" applyBorder="1" applyAlignment="1">
      <alignment horizontal="center" vertical="center"/>
    </xf>
    <xf numFmtId="0" fontId="0" fillId="37" borderId="78" xfId="0" applyFill="1" applyBorder="1"/>
    <xf numFmtId="0" fontId="0" fillId="37" borderId="78" xfId="0" applyFill="1" applyBorder="1" applyAlignment="1">
      <alignment horizontal="center"/>
    </xf>
    <xf numFmtId="1" fontId="0" fillId="37" borderId="77" xfId="0" applyNumberFormat="1" applyFill="1" applyBorder="1" applyAlignment="1">
      <alignment horizontal="center"/>
    </xf>
    <xf numFmtId="0" fontId="0" fillId="37" borderId="77" xfId="0" applyFill="1" applyBorder="1" applyAlignment="1">
      <alignment horizontal="center"/>
    </xf>
    <xf numFmtId="1" fontId="0" fillId="37" borderId="79" xfId="0" applyNumberFormat="1" applyFill="1" applyBorder="1" applyAlignment="1">
      <alignment horizontal="center"/>
    </xf>
    <xf numFmtId="0" fontId="0" fillId="37" borderId="80" xfId="0" applyFill="1" applyBorder="1" applyAlignment="1">
      <alignment horizontal="center" vertical="center"/>
    </xf>
    <xf numFmtId="0" fontId="0" fillId="37" borderId="81" xfId="0" applyFill="1" applyBorder="1"/>
    <xf numFmtId="0" fontId="0" fillId="37" borderId="81" xfId="0" applyFill="1" applyBorder="1" applyAlignment="1">
      <alignment horizontal="center"/>
    </xf>
    <xf numFmtId="1" fontId="0" fillId="37" borderId="80" xfId="0" applyNumberFormat="1" applyFill="1" applyBorder="1" applyAlignment="1">
      <alignment horizontal="center"/>
    </xf>
    <xf numFmtId="0" fontId="0" fillId="37" borderId="80" xfId="0" applyFill="1" applyBorder="1" applyAlignment="1">
      <alignment horizontal="center"/>
    </xf>
    <xf numFmtId="1" fontId="0" fillId="37" borderId="82" xfId="0" applyNumberFormat="1" applyFill="1" applyBorder="1" applyAlignment="1">
      <alignment horizontal="center"/>
    </xf>
    <xf numFmtId="0" fontId="50" fillId="0" borderId="2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9" fontId="67" fillId="0" borderId="0" xfId="0" applyNumberFormat="1" applyFont="1" applyAlignment="1">
      <alignment horizontal="left"/>
    </xf>
    <xf numFmtId="0" fontId="66" fillId="18" borderId="31" xfId="0" applyFont="1" applyFill="1" applyBorder="1" applyAlignment="1">
      <alignment horizontal="right"/>
    </xf>
    <xf numFmtId="0" fontId="66" fillId="18" borderId="33" xfId="0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1" fontId="0" fillId="18" borderId="0" xfId="0" applyNumberFormat="1" applyFill="1" applyAlignment="1">
      <alignment horizontal="center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8" xfId="0" applyNumberFormat="1" applyBorder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left" vertical="center"/>
    </xf>
    <xf numFmtId="1" fontId="2" fillId="35" borderId="74" xfId="0" applyNumberFormat="1" applyFont="1" applyFill="1" applyBorder="1" applyAlignment="1" applyProtection="1">
      <alignment horizontal="center" vertical="center"/>
      <protection locked="0" hidden="1"/>
    </xf>
    <xf numFmtId="1" fontId="2" fillId="35" borderId="63" xfId="0" applyNumberFormat="1" applyFont="1" applyFill="1" applyBorder="1" applyAlignment="1" applyProtection="1">
      <alignment horizontal="center" vertical="center"/>
      <protection locked="0" hidden="1"/>
    </xf>
    <xf numFmtId="1" fontId="2" fillId="35" borderId="67" xfId="0" applyNumberFormat="1" applyFont="1" applyFill="1" applyBorder="1" applyAlignment="1" applyProtection="1">
      <alignment horizontal="center" vertical="center"/>
      <protection locked="0" hidden="1"/>
    </xf>
    <xf numFmtId="169" fontId="72" fillId="0" borderId="0" xfId="0" applyNumberFormat="1" applyFont="1" applyAlignment="1">
      <alignment horizontal="left"/>
    </xf>
    <xf numFmtId="0" fontId="73" fillId="0" borderId="0" xfId="0" applyFont="1" applyAlignment="1">
      <alignment horizontal="left" vertical="center"/>
    </xf>
    <xf numFmtId="169" fontId="48" fillId="0" borderId="0" xfId="0" applyNumberFormat="1" applyFont="1" applyAlignment="1">
      <alignment horizontal="left"/>
    </xf>
    <xf numFmtId="0" fontId="0" fillId="18" borderId="14" xfId="0" applyFill="1" applyBorder="1" applyAlignment="1">
      <alignment horizontal="left" vertical="center"/>
    </xf>
    <xf numFmtId="3" fontId="24" fillId="0" borderId="25" xfId="2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/>
    </xf>
    <xf numFmtId="1" fontId="1" fillId="36" borderId="24" xfId="0" applyNumberFormat="1" applyFont="1" applyFill="1" applyBorder="1" applyAlignment="1" applyProtection="1">
      <alignment horizontal="center"/>
      <protection locked="0" hidden="1"/>
    </xf>
    <xf numFmtId="177" fontId="24" fillId="35" borderId="24" xfId="351" applyNumberFormat="1" applyFont="1" applyFill="1" applyBorder="1" applyAlignment="1" applyProtection="1">
      <alignment horizontal="right" vertical="center"/>
      <protection locked="0" hidden="1"/>
    </xf>
    <xf numFmtId="0" fontId="74" fillId="0" borderId="0" xfId="2" applyFont="1" applyAlignment="1">
      <alignment horizontal="center" vertical="center"/>
    </xf>
    <xf numFmtId="1" fontId="74" fillId="0" borderId="0" xfId="2" applyNumberFormat="1" applyFont="1" applyAlignment="1">
      <alignment horizontal="center" vertical="center"/>
    </xf>
    <xf numFmtId="49" fontId="74" fillId="0" borderId="0" xfId="2" applyNumberFormat="1" applyFont="1" applyAlignment="1">
      <alignment horizontal="center" vertical="center"/>
    </xf>
    <xf numFmtId="0" fontId="74" fillId="0" borderId="0" xfId="2" applyFont="1"/>
    <xf numFmtId="0" fontId="74" fillId="0" borderId="0" xfId="2" applyFont="1" applyAlignment="1">
      <alignment horizontal="center"/>
    </xf>
    <xf numFmtId="0" fontId="74" fillId="0" borderId="0" xfId="0" applyFont="1" applyAlignment="1">
      <alignment horizontal="center"/>
    </xf>
    <xf numFmtId="177" fontId="24" fillId="36" borderId="74" xfId="351" applyNumberFormat="1" applyFont="1" applyFill="1" applyBorder="1" applyAlignment="1" applyProtection="1">
      <alignment horizontal="center" vertical="center"/>
      <protection locked="0" hidden="1"/>
    </xf>
    <xf numFmtId="44" fontId="0" fillId="0" borderId="0" xfId="351" applyFont="1"/>
    <xf numFmtId="44" fontId="0" fillId="0" borderId="0" xfId="351" applyFont="1" applyAlignment="1">
      <alignment horizontal="center"/>
    </xf>
    <xf numFmtId="44" fontId="0" fillId="0" borderId="0" xfId="351" applyFont="1" applyBorder="1"/>
    <xf numFmtId="189" fontId="0" fillId="0" borderId="0" xfId="0" applyNumberFormat="1"/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0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0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0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180" fontId="3" fillId="0" borderId="0" xfId="2" applyNumberFormat="1" applyFont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87" fontId="17" fillId="0" borderId="14" xfId="351" applyNumberFormat="1" applyFont="1" applyFill="1" applyBorder="1" applyAlignment="1" applyProtection="1">
      <alignment horizontal="center" vertical="center"/>
    </xf>
    <xf numFmtId="44" fontId="17" fillId="0" borderId="21" xfId="351" applyFont="1" applyFill="1" applyBorder="1" applyAlignment="1" applyProtection="1">
      <alignment horizontal="center" vertical="center"/>
    </xf>
    <xf numFmtId="44" fontId="17" fillId="0" borderId="14" xfId="351" applyFont="1" applyFill="1" applyBorder="1" applyAlignment="1" applyProtection="1">
      <alignment horizontal="center" vertical="center"/>
    </xf>
    <xf numFmtId="44" fontId="17" fillId="0" borderId="22" xfId="351" applyFont="1" applyFill="1" applyBorder="1" applyAlignment="1" applyProtection="1">
      <alignment horizontal="center" vertical="center"/>
    </xf>
    <xf numFmtId="44" fontId="17" fillId="0" borderId="24" xfId="351" applyFont="1" applyFill="1" applyBorder="1" applyAlignment="1" applyProtection="1">
      <alignment horizontal="center" vertical="center"/>
    </xf>
    <xf numFmtId="185" fontId="17" fillId="0" borderId="14" xfId="344" applyNumberFormat="1" applyFont="1" applyFill="1" applyBorder="1" applyAlignment="1">
      <alignment horizontal="center" vertical="center"/>
    </xf>
    <xf numFmtId="185" fontId="17" fillId="0" borderId="21" xfId="344" applyNumberFormat="1" applyFont="1" applyFill="1" applyBorder="1" applyAlignment="1">
      <alignment horizontal="center" vertical="center"/>
    </xf>
    <xf numFmtId="185" fontId="17" fillId="0" borderId="22" xfId="344" applyNumberFormat="1" applyFont="1" applyFill="1" applyBorder="1" applyAlignment="1">
      <alignment horizontal="center" vertical="center"/>
    </xf>
    <xf numFmtId="185" fontId="17" fillId="0" borderId="24" xfId="344" applyNumberFormat="1" applyFont="1" applyFill="1" applyBorder="1" applyAlignment="1">
      <alignment horizontal="center" vertical="center"/>
    </xf>
    <xf numFmtId="180" fontId="22" fillId="0" borderId="18" xfId="2" applyNumberFormat="1" applyFont="1" applyBorder="1" applyAlignment="1">
      <alignment vertical="top"/>
    </xf>
    <xf numFmtId="0" fontId="22" fillId="0" borderId="19" xfId="2" applyFont="1" applyBorder="1" applyAlignment="1">
      <alignment vertical="top"/>
    </xf>
    <xf numFmtId="180" fontId="22" fillId="0" borderId="19" xfId="2" applyNumberFormat="1" applyFont="1" applyBorder="1" applyAlignment="1">
      <alignment vertical="top"/>
    </xf>
    <xf numFmtId="0" fontId="22" fillId="0" borderId="20" xfId="2" applyFont="1" applyBorder="1" applyAlignment="1">
      <alignment vertical="top"/>
    </xf>
    <xf numFmtId="187" fontId="17" fillId="0" borderId="22" xfId="351" applyNumberFormat="1" applyFont="1" applyFill="1" applyBorder="1" applyAlignment="1" applyProtection="1">
      <alignment horizontal="right" vertical="center"/>
    </xf>
    <xf numFmtId="44" fontId="17" fillId="0" borderId="23" xfId="351" applyFont="1" applyFill="1" applyBorder="1" applyAlignment="1" applyProtection="1">
      <alignment horizontal="right" vertical="center"/>
    </xf>
    <xf numFmtId="44" fontId="17" fillId="0" borderId="24" xfId="351" applyFont="1" applyFill="1" applyBorder="1" applyAlignment="1" applyProtection="1">
      <alignment horizontal="right" vertical="center"/>
    </xf>
    <xf numFmtId="0" fontId="22" fillId="0" borderId="19" xfId="2" applyFont="1" applyBorder="1" applyAlignment="1">
      <alignment horizontal="left" vertical="top"/>
    </xf>
    <xf numFmtId="0" fontId="22" fillId="0" borderId="20" xfId="2" applyFont="1" applyBorder="1" applyAlignment="1">
      <alignment horizontal="left" vertical="top"/>
    </xf>
    <xf numFmtId="187" fontId="17" fillId="0" borderId="23" xfId="351" applyNumberFormat="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0" fontId="22" fillId="0" borderId="18" xfId="2" applyFont="1" applyBorder="1" applyAlignment="1">
      <alignment horizontal="left" vertical="top"/>
    </xf>
    <xf numFmtId="180" fontId="22" fillId="0" borderId="19" xfId="2" applyNumberFormat="1" applyFont="1" applyBorder="1" applyAlignment="1">
      <alignment horizontal="left" vertical="top"/>
    </xf>
    <xf numFmtId="0" fontId="57" fillId="0" borderId="19" xfId="2" applyFont="1" applyBorder="1" applyAlignment="1">
      <alignment horizontal="left" vertical="top"/>
    </xf>
    <xf numFmtId="0" fontId="22" fillId="0" borderId="18" xfId="2" applyFont="1" applyBorder="1" applyAlignment="1">
      <alignment vertical="top"/>
    </xf>
    <xf numFmtId="0" fontId="57" fillId="0" borderId="20" xfId="2" applyFont="1" applyBorder="1" applyAlignment="1">
      <alignment horizontal="left" vertical="top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0" fontId="22" fillId="0" borderId="47" xfId="2" applyFont="1" applyBorder="1" applyAlignment="1">
      <alignment horizontal="center" vertical="center" wrapText="1"/>
    </xf>
    <xf numFmtId="0" fontId="0" fillId="0" borderId="48" xfId="0" applyBorder="1"/>
    <xf numFmtId="0" fontId="0" fillId="0" borderId="49" xfId="0" applyBorder="1"/>
    <xf numFmtId="14" fontId="17" fillId="0" borderId="22" xfId="2" applyNumberFormat="1" applyFont="1" applyBorder="1" applyAlignment="1">
      <alignment horizontal="center" vertical="center"/>
    </xf>
    <xf numFmtId="14" fontId="58" fillId="0" borderId="24" xfId="2" applyNumberFormat="1" applyFont="1" applyBorder="1" applyAlignment="1">
      <alignment horizontal="center" vertical="center"/>
    </xf>
    <xf numFmtId="0" fontId="17" fillId="0" borderId="23" xfId="2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181" fontId="22" fillId="0" borderId="18" xfId="2" applyNumberFormat="1" applyFont="1" applyBorder="1" applyAlignment="1">
      <alignment vertical="top"/>
    </xf>
    <xf numFmtId="181" fontId="22" fillId="0" borderId="19" xfId="2" applyNumberFormat="1" applyFont="1" applyBorder="1" applyAlignment="1">
      <alignment vertical="top"/>
    </xf>
    <xf numFmtId="0" fontId="22" fillId="0" borderId="18" xfId="2" applyFont="1" applyBorder="1" applyAlignment="1">
      <alignment horizontal="right" vertical="top"/>
    </xf>
    <xf numFmtId="0" fontId="22" fillId="0" borderId="20" xfId="2" applyFont="1" applyBorder="1" applyAlignment="1">
      <alignment horizontal="right" vertical="top"/>
    </xf>
    <xf numFmtId="181" fontId="22" fillId="0" borderId="18" xfId="2" applyNumberFormat="1" applyFont="1" applyBorder="1" applyAlignment="1">
      <alignment horizontal="left" vertical="top"/>
    </xf>
    <xf numFmtId="181" fontId="22" fillId="0" borderId="19" xfId="2" applyNumberFormat="1" applyFont="1" applyBorder="1" applyAlignment="1">
      <alignment horizontal="left" vertical="top"/>
    </xf>
    <xf numFmtId="0" fontId="17" fillId="0" borderId="22" xfId="2" applyFont="1" applyBorder="1" applyAlignment="1">
      <alignment horizontal="right" vertical="center"/>
    </xf>
    <xf numFmtId="0" fontId="17" fillId="0" borderId="24" xfId="2" applyFont="1" applyBorder="1" applyAlignment="1">
      <alignment horizontal="right" vertical="center"/>
    </xf>
    <xf numFmtId="44" fontId="17" fillId="0" borderId="22" xfId="351" applyFont="1" applyFill="1" applyBorder="1" applyAlignment="1" applyProtection="1">
      <alignment horizontal="left" vertical="center"/>
    </xf>
    <xf numFmtId="44" fontId="17" fillId="0" borderId="23" xfId="351" applyFont="1" applyFill="1" applyBorder="1" applyAlignment="1" applyProtection="1">
      <alignment horizontal="left" vertical="center"/>
    </xf>
    <xf numFmtId="44" fontId="17" fillId="0" borderId="24" xfId="351" applyFont="1" applyFill="1" applyBorder="1" applyAlignment="1" applyProtection="1">
      <alignment horizontal="left" vertical="center"/>
    </xf>
    <xf numFmtId="0" fontId="17" fillId="0" borderId="26" xfId="2" applyFont="1" applyBorder="1" applyAlignment="1">
      <alignment horizontal="center" vertical="center"/>
    </xf>
    <xf numFmtId="0" fontId="17" fillId="0" borderId="27" xfId="2" applyFont="1" applyBorder="1" applyAlignment="1">
      <alignment horizontal="center" vertical="center"/>
    </xf>
    <xf numFmtId="44" fontId="17" fillId="0" borderId="14" xfId="351" applyFont="1" applyFill="1" applyBorder="1" applyAlignment="1" applyProtection="1">
      <alignment horizontal="left" vertical="center"/>
    </xf>
    <xf numFmtId="44" fontId="58" fillId="0" borderId="21" xfId="351" applyFont="1" applyFill="1" applyBorder="1" applyAlignment="1" applyProtection="1">
      <alignment horizontal="left" vertical="center"/>
    </xf>
    <xf numFmtId="44" fontId="17" fillId="0" borderId="21" xfId="351" applyFont="1" applyFill="1" applyBorder="1" applyAlignment="1" applyProtection="1">
      <alignment horizontal="left" vertical="center"/>
    </xf>
    <xf numFmtId="185" fontId="15" fillId="0" borderId="14" xfId="344" applyNumberFormat="1" applyFont="1" applyFill="1" applyBorder="1" applyAlignment="1">
      <alignment horizontal="center" vertical="center"/>
    </xf>
    <xf numFmtId="185" fontId="15" fillId="0" borderId="21" xfId="344" applyNumberFormat="1" applyFont="1" applyFill="1" applyBorder="1" applyAlignment="1">
      <alignment horizontal="center" vertical="center"/>
    </xf>
    <xf numFmtId="185" fontId="15" fillId="0" borderId="22" xfId="344" applyNumberFormat="1" applyFont="1" applyFill="1" applyBorder="1" applyAlignment="1">
      <alignment horizontal="center" vertical="center"/>
    </xf>
    <xf numFmtId="185" fontId="15" fillId="0" borderId="24" xfId="344" applyNumberFormat="1" applyFont="1" applyFill="1" applyBorder="1" applyAlignment="1">
      <alignment horizontal="center" vertical="center"/>
    </xf>
    <xf numFmtId="44" fontId="58" fillId="0" borderId="14" xfId="351" applyFont="1" applyFill="1" applyBorder="1" applyAlignment="1" applyProtection="1">
      <alignment horizontal="left" vertical="center"/>
    </xf>
    <xf numFmtId="181" fontId="3" fillId="0" borderId="0" xfId="2" applyNumberFormat="1" applyFont="1" applyAlignment="1">
      <alignment horizontal="center" vertical="center"/>
    </xf>
    <xf numFmtId="181" fontId="15" fillId="0" borderId="0" xfId="2" applyNumberFormat="1" applyAlignment="1">
      <alignment horizontal="center" vertical="center"/>
    </xf>
    <xf numFmtId="44" fontId="17" fillId="0" borderId="22" xfId="351" applyFont="1" applyFill="1" applyBorder="1" applyAlignment="1" applyProtection="1">
      <alignment horizontal="right" vertical="center"/>
    </xf>
    <xf numFmtId="0" fontId="59" fillId="0" borderId="19" xfId="2" applyFont="1" applyBorder="1" applyAlignment="1">
      <alignment horizontal="center" vertical="center"/>
    </xf>
    <xf numFmtId="181" fontId="3" fillId="0" borderId="19" xfId="2" applyNumberFormat="1" applyFont="1" applyBorder="1" applyAlignment="1">
      <alignment horizontal="center" vertical="center"/>
    </xf>
    <xf numFmtId="0" fontId="59" fillId="0" borderId="23" xfId="2" applyFont="1" applyBorder="1" applyAlignment="1">
      <alignment horizontal="center" vertical="center"/>
    </xf>
    <xf numFmtId="181" fontId="3" fillId="0" borderId="23" xfId="2" applyNumberFormat="1" applyFont="1" applyBorder="1" applyAlignment="1">
      <alignment horizontal="center" vertical="center"/>
    </xf>
    <xf numFmtId="49" fontId="17" fillId="0" borderId="26" xfId="2" applyNumberFormat="1" applyFont="1" applyBorder="1" applyAlignment="1">
      <alignment horizontal="right" vertical="center"/>
    </xf>
    <xf numFmtId="49" fontId="17" fillId="0" borderId="27" xfId="2" applyNumberFormat="1" applyFont="1" applyBorder="1" applyAlignment="1">
      <alignment horizontal="right" vertical="center"/>
    </xf>
    <xf numFmtId="44" fontId="17" fillId="0" borderId="22" xfId="351" applyFont="1" applyBorder="1" applyAlignment="1">
      <alignment horizontal="right" vertical="center"/>
    </xf>
    <xf numFmtId="44" fontId="17" fillId="0" borderId="23" xfId="351" applyFont="1" applyBorder="1" applyAlignment="1">
      <alignment horizontal="right" vertical="center"/>
    </xf>
    <xf numFmtId="44" fontId="17" fillId="0" borderId="24" xfId="351" applyFont="1" applyBorder="1" applyAlignment="1">
      <alignment horizontal="right" vertical="center"/>
    </xf>
    <xf numFmtId="180" fontId="17" fillId="0" borderId="14" xfId="5" applyNumberFormat="1" applyFont="1" applyFill="1" applyBorder="1" applyAlignment="1" applyProtection="1">
      <alignment horizontal="center" vertical="center"/>
    </xf>
    <xf numFmtId="180" fontId="17" fillId="0" borderId="21" xfId="5" applyNumberFormat="1" applyFont="1" applyFill="1" applyBorder="1" applyAlignment="1" applyProtection="1">
      <alignment horizontal="center" vertical="center"/>
    </xf>
    <xf numFmtId="180" fontId="17" fillId="0" borderId="22" xfId="5" applyNumberFormat="1" applyFont="1" applyFill="1" applyBorder="1" applyAlignment="1" applyProtection="1">
      <alignment horizontal="center" vertical="center"/>
    </xf>
    <xf numFmtId="180" fontId="17" fillId="0" borderId="24" xfId="5" applyNumberFormat="1" applyFont="1" applyFill="1" applyBorder="1" applyAlignment="1" applyProtection="1">
      <alignment horizontal="center" vertical="center"/>
    </xf>
    <xf numFmtId="0" fontId="22" fillId="0" borderId="0" xfId="2" applyFont="1" applyAlignment="1">
      <alignment vertical="top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48" xfId="2" applyFont="1" applyBorder="1" applyAlignment="1">
      <alignment horizontal="center" vertical="center" wrapText="1"/>
    </xf>
    <xf numFmtId="0" fontId="22" fillId="0" borderId="49" xfId="2" applyFont="1" applyBorder="1" applyAlignment="1">
      <alignment horizontal="center" vertical="center" wrapText="1"/>
    </xf>
    <xf numFmtId="0" fontId="15" fillId="0" borderId="22" xfId="40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186" fontId="15" fillId="0" borderId="22" xfId="40" applyNumberFormat="1" applyBorder="1" applyAlignment="1">
      <alignment horizontal="center" vertical="center"/>
    </xf>
    <xf numFmtId="186" fontId="15" fillId="0" borderId="24" xfId="40" applyNumberFormat="1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178" fontId="15" fillId="0" borderId="22" xfId="40" applyNumberFormat="1" applyBorder="1" applyAlignment="1">
      <alignment horizontal="center" vertical="center"/>
    </xf>
    <xf numFmtId="178" fontId="15" fillId="0" borderId="24" xfId="40" applyNumberFormat="1" applyBorder="1" applyAlignment="1">
      <alignment horizontal="center" vertic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2" fillId="18" borderId="3" xfId="0" applyFont="1" applyFill="1" applyBorder="1" applyAlignment="1" applyProtection="1">
      <alignment horizontal="left" vertical="center"/>
      <protection hidden="1"/>
    </xf>
    <xf numFmtId="0" fontId="2" fillId="18" borderId="4" xfId="0" applyFont="1" applyFill="1" applyBorder="1" applyAlignment="1" applyProtection="1">
      <alignment horizontal="left" vertical="center"/>
      <protection hidden="1"/>
    </xf>
    <xf numFmtId="0" fontId="2" fillId="18" borderId="5" xfId="0" applyFont="1" applyFill="1" applyBorder="1" applyAlignment="1" applyProtection="1">
      <alignment horizontal="left" vertical="center"/>
      <protection hidden="1"/>
    </xf>
    <xf numFmtId="0" fontId="0" fillId="18" borderId="3" xfId="0" applyFill="1" applyBorder="1" applyAlignment="1" applyProtection="1">
      <alignment horizontal="left" vertical="center"/>
      <protection locked="0"/>
    </xf>
    <xf numFmtId="0" fontId="0" fillId="18" borderId="4" xfId="0" applyFill="1" applyBorder="1" applyAlignment="1" applyProtection="1">
      <alignment horizontal="left" vertical="center"/>
      <protection locked="0"/>
    </xf>
    <xf numFmtId="0" fontId="0" fillId="18" borderId="5" xfId="0" applyFill="1" applyBorder="1" applyAlignment="1" applyProtection="1">
      <alignment horizontal="left" vertical="center"/>
      <protection locked="0"/>
    </xf>
    <xf numFmtId="0" fontId="49" fillId="18" borderId="6" xfId="0" applyFont="1" applyFill="1" applyBorder="1" applyAlignment="1" applyProtection="1">
      <alignment horizontal="justify" vertical="top" wrapText="1"/>
      <protection locked="0"/>
    </xf>
    <xf numFmtId="0" fontId="49" fillId="18" borderId="7" xfId="0" applyFont="1" applyFill="1" applyBorder="1" applyAlignment="1" applyProtection="1">
      <alignment horizontal="justify" vertical="top" wrapText="1"/>
      <protection locked="0"/>
    </xf>
    <xf numFmtId="0" fontId="49" fillId="18" borderId="8" xfId="0" applyFont="1" applyFill="1" applyBorder="1" applyAlignment="1" applyProtection="1">
      <alignment horizontal="justify" vertical="top" wrapText="1"/>
      <protection locked="0"/>
    </xf>
    <xf numFmtId="0" fontId="49" fillId="18" borderId="11" xfId="0" applyFont="1" applyFill="1" applyBorder="1" applyAlignment="1" applyProtection="1">
      <alignment horizontal="justify" vertical="top" wrapText="1"/>
      <protection locked="0"/>
    </xf>
    <xf numFmtId="0" fontId="49" fillId="18" borderId="12" xfId="0" applyFont="1" applyFill="1" applyBorder="1" applyAlignment="1" applyProtection="1">
      <alignment horizontal="justify" vertical="top" wrapText="1"/>
      <protection locked="0"/>
    </xf>
    <xf numFmtId="0" fontId="49" fillId="18" borderId="13" xfId="0" applyFont="1" applyFill="1" applyBorder="1" applyAlignment="1" applyProtection="1">
      <alignment horizontal="justify" vertical="top" wrapText="1"/>
      <protection locked="0"/>
    </xf>
    <xf numFmtId="0" fontId="0" fillId="18" borderId="15" xfId="0" applyFill="1" applyBorder="1" applyAlignment="1">
      <alignment horizontal="center" vertical="center" wrapText="1"/>
    </xf>
    <xf numFmtId="0" fontId="0" fillId="18" borderId="15" xfId="0" applyFill="1" applyBorder="1" applyAlignment="1">
      <alignment horizontal="center" vertical="center"/>
    </xf>
    <xf numFmtId="0" fontId="2" fillId="18" borderId="6" xfId="0" applyFont="1" applyFill="1" applyBorder="1" applyAlignment="1" applyProtection="1">
      <alignment horizontal="left" vertical="center" shrinkToFit="1"/>
      <protection hidden="1"/>
    </xf>
    <xf numFmtId="0" fontId="2" fillId="18" borderId="7" xfId="0" applyFont="1" applyFill="1" applyBorder="1" applyAlignment="1" applyProtection="1">
      <alignment horizontal="left" vertical="center" shrinkToFit="1"/>
      <protection hidden="1"/>
    </xf>
    <xf numFmtId="0" fontId="2" fillId="18" borderId="8" xfId="0" applyFont="1" applyFill="1" applyBorder="1" applyAlignment="1" applyProtection="1">
      <alignment horizontal="left" vertical="center" shrinkToFit="1"/>
      <protection hidden="1"/>
    </xf>
    <xf numFmtId="0" fontId="2" fillId="18" borderId="9" xfId="0" applyFont="1" applyFill="1" applyBorder="1" applyAlignment="1" applyProtection="1">
      <alignment horizontal="left" vertical="center"/>
      <protection hidden="1"/>
    </xf>
    <xf numFmtId="0" fontId="2" fillId="18" borderId="0" xfId="0" applyFont="1" applyFill="1" applyAlignment="1" applyProtection="1">
      <alignment horizontal="left" vertical="center"/>
      <protection hidden="1"/>
    </xf>
    <xf numFmtId="0" fontId="2" fillId="18" borderId="10" xfId="0" applyFont="1" applyFill="1" applyBorder="1" applyAlignment="1" applyProtection="1">
      <alignment horizontal="left" vertical="center"/>
      <protection hidden="1"/>
    </xf>
    <xf numFmtId="0" fontId="37" fillId="35" borderId="32" xfId="0" applyFont="1" applyFill="1" applyBorder="1" applyAlignment="1">
      <alignment horizontal="center" vertical="center" wrapText="1"/>
    </xf>
    <xf numFmtId="0" fontId="37" fillId="35" borderId="37" xfId="0" applyFont="1" applyFill="1" applyBorder="1" applyAlignment="1">
      <alignment horizontal="center" vertical="center" wrapText="1"/>
    </xf>
    <xf numFmtId="0" fontId="37" fillId="35" borderId="33" xfId="0" applyFont="1" applyFill="1" applyBorder="1" applyAlignment="1">
      <alignment horizontal="center" vertical="center" wrapText="1"/>
    </xf>
    <xf numFmtId="0" fontId="37" fillId="35" borderId="38" xfId="0" applyFont="1" applyFill="1" applyBorder="1" applyAlignment="1">
      <alignment horizontal="center" vertical="center" wrapText="1"/>
    </xf>
    <xf numFmtId="0" fontId="37" fillId="35" borderId="32" xfId="0" applyFont="1" applyFill="1" applyBorder="1" applyAlignment="1">
      <alignment horizontal="center" vertical="center"/>
    </xf>
    <xf numFmtId="0" fontId="37" fillId="35" borderId="37" xfId="0" applyFont="1" applyFill="1" applyBorder="1" applyAlignment="1">
      <alignment horizontal="center" vertical="center"/>
    </xf>
    <xf numFmtId="0" fontId="37" fillId="35" borderId="31" xfId="0" applyFont="1" applyFill="1" applyBorder="1" applyAlignment="1">
      <alignment horizontal="center" vertical="center"/>
    </xf>
    <xf numFmtId="0" fontId="37" fillId="35" borderId="36" xfId="0" applyFont="1" applyFill="1" applyBorder="1" applyAlignment="1">
      <alignment horizontal="center" vertical="center"/>
    </xf>
    <xf numFmtId="0" fontId="2" fillId="18" borderId="11" xfId="0" applyFont="1" applyFill="1" applyBorder="1" applyAlignment="1" applyProtection="1">
      <alignment horizontal="left" vertical="center"/>
      <protection hidden="1"/>
    </xf>
    <xf numFmtId="0" fontId="2" fillId="18" borderId="12" xfId="0" applyFont="1" applyFill="1" applyBorder="1" applyAlignment="1" applyProtection="1">
      <alignment horizontal="left" vertical="center"/>
      <protection hidden="1"/>
    </xf>
    <xf numFmtId="0" fontId="2" fillId="18" borderId="13" xfId="0" applyFont="1" applyFill="1" applyBorder="1" applyAlignment="1" applyProtection="1">
      <alignment horizontal="left" vertical="center"/>
      <protection hidden="1"/>
    </xf>
    <xf numFmtId="0" fontId="2" fillId="18" borderId="6" xfId="0" applyFont="1" applyFill="1" applyBorder="1" applyAlignment="1" applyProtection="1">
      <alignment horizontal="left" vertical="top" wrapText="1"/>
      <protection hidden="1"/>
    </xf>
    <xf numFmtId="0" fontId="2" fillId="18" borderId="7" xfId="0" applyFont="1" applyFill="1" applyBorder="1" applyAlignment="1" applyProtection="1">
      <alignment horizontal="left" vertical="top" wrapText="1"/>
      <protection hidden="1"/>
    </xf>
    <xf numFmtId="0" fontId="2" fillId="18" borderId="8" xfId="0" applyFont="1" applyFill="1" applyBorder="1" applyAlignment="1" applyProtection="1">
      <alignment horizontal="left" vertical="top" wrapText="1"/>
      <protection hidden="1"/>
    </xf>
    <xf numFmtId="0" fontId="2" fillId="18" borderId="9" xfId="0" applyFont="1" applyFill="1" applyBorder="1" applyAlignment="1" applyProtection="1">
      <alignment horizontal="left" vertical="top" wrapText="1"/>
      <protection hidden="1"/>
    </xf>
    <xf numFmtId="0" fontId="2" fillId="18" borderId="0" xfId="0" applyFont="1" applyFill="1" applyAlignment="1" applyProtection="1">
      <alignment horizontal="left" vertical="top" wrapText="1"/>
      <protection hidden="1"/>
    </xf>
    <xf numFmtId="0" fontId="2" fillId="18" borderId="10" xfId="0" applyFont="1" applyFill="1" applyBorder="1" applyAlignment="1" applyProtection="1">
      <alignment horizontal="left" vertical="top" wrapText="1"/>
      <protection hidden="1"/>
    </xf>
    <xf numFmtId="0" fontId="2" fillId="18" borderId="11" xfId="0" applyFont="1" applyFill="1" applyBorder="1" applyAlignment="1" applyProtection="1">
      <alignment horizontal="left" vertical="top" wrapText="1"/>
      <protection hidden="1"/>
    </xf>
    <xf numFmtId="0" fontId="2" fillId="18" borderId="12" xfId="0" applyFont="1" applyFill="1" applyBorder="1" applyAlignment="1" applyProtection="1">
      <alignment horizontal="left" vertical="top" wrapText="1"/>
      <protection hidden="1"/>
    </xf>
    <xf numFmtId="0" fontId="2" fillId="18" borderId="13" xfId="0" applyFont="1" applyFill="1" applyBorder="1" applyAlignment="1" applyProtection="1">
      <alignment horizontal="left" vertical="top" wrapText="1"/>
      <protection hidden="1"/>
    </xf>
    <xf numFmtId="0" fontId="2" fillId="18" borderId="3" xfId="0" applyFont="1" applyFill="1" applyBorder="1" applyAlignment="1" applyProtection="1">
      <alignment horizontal="left" vertical="center" shrinkToFit="1"/>
      <protection hidden="1"/>
    </xf>
    <xf numFmtId="0" fontId="2" fillId="18" borderId="4" xfId="0" applyFont="1" applyFill="1" applyBorder="1" applyAlignment="1" applyProtection="1">
      <alignment horizontal="left" vertical="center" shrinkToFit="1"/>
      <protection hidden="1"/>
    </xf>
    <xf numFmtId="0" fontId="2" fillId="18" borderId="5" xfId="0" applyFont="1" applyFill="1" applyBorder="1" applyAlignment="1" applyProtection="1">
      <alignment horizontal="left" vertical="center" shrinkToFit="1"/>
      <protection hidden="1"/>
    </xf>
    <xf numFmtId="0" fontId="71" fillId="18" borderId="6" xfId="0" applyFont="1" applyFill="1" applyBorder="1" applyAlignment="1">
      <alignment horizontal="left" vertical="top" wrapText="1"/>
    </xf>
    <xf numFmtId="0" fontId="71" fillId="18" borderId="7" xfId="0" applyFont="1" applyFill="1" applyBorder="1" applyAlignment="1">
      <alignment horizontal="left" vertical="top" wrapText="1"/>
    </xf>
    <xf numFmtId="0" fontId="71" fillId="18" borderId="8" xfId="0" applyFont="1" applyFill="1" applyBorder="1" applyAlignment="1">
      <alignment horizontal="left" vertical="top" wrapText="1"/>
    </xf>
    <xf numFmtId="0" fontId="71" fillId="18" borderId="9" xfId="0" applyFont="1" applyFill="1" applyBorder="1" applyAlignment="1">
      <alignment horizontal="left" vertical="top" wrapText="1"/>
    </xf>
    <xf numFmtId="0" fontId="71" fillId="18" borderId="0" xfId="0" applyFont="1" applyFill="1" applyAlignment="1">
      <alignment horizontal="left" vertical="top" wrapText="1"/>
    </xf>
    <xf numFmtId="0" fontId="71" fillId="18" borderId="10" xfId="0" applyFont="1" applyFill="1" applyBorder="1" applyAlignment="1">
      <alignment horizontal="left" vertical="top" wrapText="1"/>
    </xf>
    <xf numFmtId="0" fontId="71" fillId="18" borderId="11" xfId="0" applyFont="1" applyFill="1" applyBorder="1" applyAlignment="1">
      <alignment horizontal="left" vertical="top" wrapText="1"/>
    </xf>
    <xf numFmtId="0" fontId="71" fillId="18" borderId="12" xfId="0" applyFont="1" applyFill="1" applyBorder="1" applyAlignment="1">
      <alignment horizontal="left" vertical="top" wrapText="1"/>
    </xf>
    <xf numFmtId="0" fontId="71" fillId="18" borderId="13" xfId="0" applyFont="1" applyFill="1" applyBorder="1" applyAlignment="1">
      <alignment horizontal="left" vertical="top" wrapText="1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14" fontId="24" fillId="18" borderId="3" xfId="0" applyNumberFormat="1" applyFont="1" applyFill="1" applyBorder="1" applyAlignment="1" applyProtection="1">
      <alignment horizontal="center"/>
      <protection locked="0"/>
    </xf>
    <xf numFmtId="14" fontId="24" fillId="18" borderId="4" xfId="0" applyNumberFormat="1" applyFont="1" applyFill="1" applyBorder="1" applyAlignment="1" applyProtection="1">
      <alignment horizontal="center"/>
      <protection locked="0"/>
    </xf>
    <xf numFmtId="14" fontId="24" fillId="18" borderId="5" xfId="0" applyNumberFormat="1" applyFont="1" applyFill="1" applyBorder="1" applyAlignment="1" applyProtection="1">
      <alignment horizontal="center"/>
      <protection locked="0"/>
    </xf>
    <xf numFmtId="0" fontId="0" fillId="18" borderId="4" xfId="0" applyFill="1" applyBorder="1" applyAlignment="1">
      <alignment horizontal="center"/>
    </xf>
    <xf numFmtId="0" fontId="2" fillId="18" borderId="3" xfId="0" applyFont="1" applyFill="1" applyBorder="1" applyAlignment="1" applyProtection="1">
      <alignment horizontal="left" shrinkToFit="1"/>
      <protection locked="0" hidden="1"/>
    </xf>
    <xf numFmtId="0" fontId="2" fillId="18" borderId="4" xfId="0" applyFont="1" applyFill="1" applyBorder="1" applyAlignment="1" applyProtection="1">
      <alignment horizontal="left" shrinkToFit="1"/>
      <protection locked="0" hidden="1"/>
    </xf>
    <xf numFmtId="0" fontId="2" fillId="18" borderId="5" xfId="0" applyFont="1" applyFill="1" applyBorder="1" applyAlignment="1" applyProtection="1">
      <alignment horizontal="left" shrinkToFit="1"/>
      <protection locked="0" hidden="1"/>
    </xf>
    <xf numFmtId="0" fontId="2" fillId="18" borderId="3" xfId="0" applyFont="1" applyFill="1" applyBorder="1" applyAlignment="1" applyProtection="1">
      <alignment horizontal="left" vertical="center"/>
      <protection locked="0" hidden="1"/>
    </xf>
    <xf numFmtId="0" fontId="2" fillId="18" borderId="5" xfId="0" applyFont="1" applyFill="1" applyBorder="1" applyAlignment="1" applyProtection="1">
      <alignment horizontal="left" vertical="center"/>
      <protection locked="0" hidden="1"/>
    </xf>
    <xf numFmtId="0" fontId="47" fillId="18" borderId="6" xfId="0" applyFont="1" applyFill="1" applyBorder="1" applyAlignment="1" applyProtection="1">
      <alignment horizontal="left" vertical="top" wrapText="1"/>
      <protection locked="0"/>
    </xf>
    <xf numFmtId="0" fontId="47" fillId="18" borderId="7" xfId="0" applyFont="1" applyFill="1" applyBorder="1" applyAlignment="1" applyProtection="1">
      <alignment horizontal="left" vertical="top" wrapText="1"/>
      <protection locked="0"/>
    </xf>
    <xf numFmtId="0" fontId="47" fillId="18" borderId="8" xfId="0" applyFont="1" applyFill="1" applyBorder="1" applyAlignment="1" applyProtection="1">
      <alignment horizontal="left" vertical="top" wrapText="1"/>
      <protection locked="0"/>
    </xf>
    <xf numFmtId="0" fontId="47" fillId="18" borderId="11" xfId="0" applyFont="1" applyFill="1" applyBorder="1" applyAlignment="1" applyProtection="1">
      <alignment horizontal="left" vertical="top" wrapText="1"/>
      <protection locked="0"/>
    </xf>
    <xf numFmtId="0" fontId="47" fillId="18" borderId="12" xfId="0" applyFont="1" applyFill="1" applyBorder="1" applyAlignment="1" applyProtection="1">
      <alignment horizontal="left" vertical="top" wrapText="1"/>
      <protection locked="0"/>
    </xf>
    <xf numFmtId="0" fontId="47" fillId="18" borderId="13" xfId="0" applyFont="1" applyFill="1" applyBorder="1" applyAlignment="1" applyProtection="1">
      <alignment horizontal="left" vertical="top" wrapText="1"/>
      <protection locked="0"/>
    </xf>
    <xf numFmtId="0" fontId="0" fillId="18" borderId="6" xfId="0" applyFill="1" applyBorder="1" applyAlignment="1" applyProtection="1">
      <alignment horizontal="left" vertical="top" wrapText="1"/>
      <protection locked="0" hidden="1"/>
    </xf>
    <xf numFmtId="0" fontId="0" fillId="18" borderId="7" xfId="0" applyFill="1" applyBorder="1" applyAlignment="1" applyProtection="1">
      <alignment horizontal="left" vertical="top" wrapText="1"/>
      <protection locked="0" hidden="1"/>
    </xf>
    <xf numFmtId="0" fontId="0" fillId="18" borderId="8" xfId="0" applyFill="1" applyBorder="1" applyAlignment="1" applyProtection="1">
      <alignment horizontal="left" vertical="top" wrapText="1"/>
      <protection locked="0" hidden="1"/>
    </xf>
    <xf numFmtId="0" fontId="0" fillId="18" borderId="9" xfId="0" applyFill="1" applyBorder="1" applyAlignment="1" applyProtection="1">
      <alignment horizontal="left" vertical="top" wrapText="1"/>
      <protection locked="0" hidden="1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0" fillId="18" borderId="10" xfId="0" applyFill="1" applyBorder="1" applyAlignment="1" applyProtection="1">
      <alignment horizontal="left" vertical="top" wrapText="1"/>
      <protection locked="0" hidden="1"/>
    </xf>
    <xf numFmtId="0" fontId="0" fillId="18" borderId="11" xfId="0" applyFill="1" applyBorder="1" applyAlignment="1" applyProtection="1">
      <alignment horizontal="left" vertical="top" wrapText="1"/>
      <protection locked="0" hidden="1"/>
    </xf>
    <xf numFmtId="0" fontId="0" fillId="18" borderId="12" xfId="0" applyFill="1" applyBorder="1" applyAlignment="1" applyProtection="1">
      <alignment horizontal="left" vertical="top" wrapText="1"/>
      <protection locked="0" hidden="1"/>
    </xf>
    <xf numFmtId="0" fontId="0" fillId="18" borderId="13" xfId="0" applyFill="1" applyBorder="1" applyAlignment="1" applyProtection="1">
      <alignment horizontal="left" vertical="top" wrapText="1"/>
      <protection locked="0" hidden="1"/>
    </xf>
    <xf numFmtId="0" fontId="37" fillId="18" borderId="29" xfId="0" applyFont="1" applyFill="1" applyBorder="1" applyAlignment="1" applyProtection="1">
      <alignment horizontal="left" vertical="top" wrapText="1"/>
      <protection locked="0"/>
    </xf>
    <xf numFmtId="177" fontId="42" fillId="18" borderId="1" xfId="0" applyNumberFormat="1" applyFont="1" applyFill="1" applyBorder="1" applyAlignment="1">
      <alignment horizontal="center" vertical="center"/>
    </xf>
    <xf numFmtId="177" fontId="42" fillId="18" borderId="2" xfId="0" applyNumberFormat="1" applyFont="1" applyFill="1" applyBorder="1" applyAlignment="1">
      <alignment horizontal="center" vertical="center"/>
    </xf>
    <xf numFmtId="49" fontId="0" fillId="18" borderId="15" xfId="0" applyNumberFormat="1" applyFill="1" applyBorder="1" applyAlignment="1">
      <alignment horizontal="right" vertical="center" wrapText="1"/>
    </xf>
    <xf numFmtId="0" fontId="2" fillId="18" borderId="9" xfId="0" applyFont="1" applyFill="1" applyBorder="1" applyAlignment="1" applyProtection="1">
      <alignment horizontal="left" vertical="center" shrinkToFit="1"/>
      <protection hidden="1"/>
    </xf>
    <xf numFmtId="0" fontId="2" fillId="18" borderId="0" xfId="0" applyFont="1" applyFill="1" applyAlignment="1" applyProtection="1">
      <alignment horizontal="left" vertical="center" shrinkToFit="1"/>
      <protection hidden="1"/>
    </xf>
    <xf numFmtId="0" fontId="2" fillId="18" borderId="10" xfId="0" applyFont="1" applyFill="1" applyBorder="1" applyAlignment="1" applyProtection="1">
      <alignment horizontal="left" vertical="center" shrinkToFit="1"/>
      <protection hidden="1"/>
    </xf>
    <xf numFmtId="0" fontId="2" fillId="18" borderId="11" xfId="0" applyFont="1" applyFill="1" applyBorder="1" applyAlignment="1" applyProtection="1">
      <alignment horizontal="left" vertical="center" shrinkToFit="1"/>
      <protection hidden="1"/>
    </xf>
    <xf numFmtId="0" fontId="2" fillId="18" borderId="12" xfId="0" applyFont="1" applyFill="1" applyBorder="1" applyAlignment="1" applyProtection="1">
      <alignment horizontal="left" vertical="center" shrinkToFit="1"/>
      <protection hidden="1"/>
    </xf>
    <xf numFmtId="0" fontId="2" fillId="18" borderId="13" xfId="0" applyFont="1" applyFill="1" applyBorder="1" applyAlignment="1" applyProtection="1">
      <alignment horizontal="left" vertical="center" shrinkToFit="1"/>
      <protection hidden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 applyAlignment="1">
      <alignment horizontal="center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163">
    <dxf>
      <font>
        <b/>
        <i val="0"/>
        <color rgb="FF00B05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8"/>
      </font>
      <fill>
        <patternFill patternType="solid">
          <fgColor auto="1"/>
          <bgColor theme="8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color theme="5"/>
      </font>
    </dxf>
    <dxf>
      <font>
        <b/>
        <i val="0"/>
        <color theme="7" tint="0.39994506668294322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</dxf>
    <dxf>
      <numFmt numFmtId="0" formatCode="General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,##0.00\ &quot;€&quot;"/>
      <alignment horizontal="left" vertical="bottom" textRotation="0" wrapText="0" 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relative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69" formatCode="#,##0.00\ &quot;€&quot;"/>
      <alignment horizontal="left" vertical="bottom" textRotation="0" wrapText="0" 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1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3" formatCode="0.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88" formatCode="#,##0.0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1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9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69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</dxfs>
  <tableStyles count="0" defaultTableStyle="TableStyleMedium9" defaultPivotStyle="PivotStyleLight16"/>
  <colors>
    <mruColors>
      <color rgb="FFFF0000"/>
      <color rgb="FF000000"/>
      <color rgb="FF33CC33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croll" dx="25" fmlaLink="$B$3" max="1000" page="4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31749</xdr:colOff>
      <xdr:row>0</xdr:row>
      <xdr:rowOff>41276</xdr:rowOff>
    </xdr:from>
    <xdr:to>
      <xdr:col>6</xdr:col>
      <xdr:colOff>476251</xdr:colOff>
      <xdr:row>6</xdr:row>
      <xdr:rowOff>128030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49" y="41276"/>
          <a:ext cx="4927602" cy="11535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38097</xdr:colOff>
      <xdr:row>0</xdr:row>
      <xdr:rowOff>19051</xdr:rowOff>
    </xdr:from>
    <xdr:to>
      <xdr:col>6</xdr:col>
      <xdr:colOff>457200</xdr:colOff>
      <xdr:row>6</xdr:row>
      <xdr:rowOff>136687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97" y="19051"/>
          <a:ext cx="4959353" cy="10701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107947</xdr:colOff>
      <xdr:row>0</xdr:row>
      <xdr:rowOff>19051</xdr:rowOff>
    </xdr:from>
    <xdr:to>
      <xdr:col>5</xdr:col>
      <xdr:colOff>152400</xdr:colOff>
      <xdr:row>6</xdr:row>
      <xdr:rowOff>134779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7947" y="19051"/>
          <a:ext cx="4845053" cy="10936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22222</xdr:colOff>
      <xdr:row>0</xdr:row>
      <xdr:rowOff>19050</xdr:rowOff>
    </xdr:from>
    <xdr:to>
      <xdr:col>5</xdr:col>
      <xdr:colOff>215900</xdr:colOff>
      <xdr:row>6</xdr:row>
      <xdr:rowOff>133349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22" y="19050"/>
          <a:ext cx="5222878" cy="10985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41273</xdr:colOff>
      <xdr:row>0</xdr:row>
      <xdr:rowOff>19050</xdr:rowOff>
    </xdr:from>
    <xdr:to>
      <xdr:col>6</xdr:col>
      <xdr:colOff>400050</xdr:colOff>
      <xdr:row>6</xdr:row>
      <xdr:rowOff>140898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273" y="19050"/>
          <a:ext cx="4899027" cy="110609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15875</xdr:rowOff>
    </xdr:from>
    <xdr:to>
      <xdr:col>10</xdr:col>
      <xdr:colOff>390525</xdr:colOff>
      <xdr:row>63</xdr:row>
      <xdr:rowOff>170462</xdr:rowOff>
    </xdr:to>
    <xdr:pic>
      <xdr:nvPicPr>
        <xdr:cNvPr id="4" name="Immagine 3" descr="Firma.JP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521325" y="10620375"/>
          <a:ext cx="1885950" cy="10372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34922</xdr:colOff>
      <xdr:row>0</xdr:row>
      <xdr:rowOff>19050</xdr:rowOff>
    </xdr:from>
    <xdr:to>
      <xdr:col>6</xdr:col>
      <xdr:colOff>406400</xdr:colOff>
      <xdr:row>6</xdr:row>
      <xdr:rowOff>138826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922" y="19050"/>
          <a:ext cx="4873628" cy="1104026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10</xdr:col>
      <xdr:colOff>333375</xdr:colOff>
      <xdr:row>117</xdr:row>
      <xdr:rowOff>183698</xdr:rowOff>
    </xdr:to>
    <xdr:pic>
      <xdr:nvPicPr>
        <xdr:cNvPr id="7" name="Immagine 6" descr="Firma.JP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11</xdr:row>
          <xdr:rowOff>127000</xdr:rowOff>
        </xdr:from>
        <xdr:to>
          <xdr:col>5</xdr:col>
          <xdr:colOff>0</xdr:colOff>
          <xdr:row>13</xdr:row>
          <xdr:rowOff>31750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273050</xdr:colOff>
          <xdr:row>22</xdr:row>
          <xdr:rowOff>88900</xdr:rowOff>
        </xdr:from>
        <xdr:to>
          <xdr:col>7</xdr:col>
          <xdr:colOff>495300</xdr:colOff>
          <xdr:row>24</xdr:row>
          <xdr:rowOff>12700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234950</xdr:colOff>
          <xdr:row>25</xdr:row>
          <xdr:rowOff>38100</xdr:rowOff>
        </xdr:from>
        <xdr:to>
          <xdr:col>5</xdr:col>
          <xdr:colOff>355600</xdr:colOff>
          <xdr:row>25</xdr:row>
          <xdr:rowOff>139700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469900</xdr:colOff>
          <xdr:row>25</xdr:row>
          <xdr:rowOff>6350</xdr:rowOff>
        </xdr:from>
        <xdr:to>
          <xdr:col>6</xdr:col>
          <xdr:colOff>698500</xdr:colOff>
          <xdr:row>25</xdr:row>
          <xdr:rowOff>152400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25</xdr:row>
          <xdr:rowOff>12700</xdr:rowOff>
        </xdr:from>
        <xdr:to>
          <xdr:col>8</xdr:col>
          <xdr:colOff>50800</xdr:colOff>
          <xdr:row>25</xdr:row>
          <xdr:rowOff>158750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25</xdr:row>
          <xdr:rowOff>6350</xdr:rowOff>
        </xdr:from>
        <xdr:to>
          <xdr:col>9</xdr:col>
          <xdr:colOff>12700</xdr:colOff>
          <xdr:row>25</xdr:row>
          <xdr:rowOff>158750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38100</xdr:rowOff>
    </xdr:from>
    <xdr:to>
      <xdr:col>21</xdr:col>
      <xdr:colOff>552450</xdr:colOff>
      <xdr:row>7</xdr:row>
      <xdr:rowOff>152400</xdr:rowOff>
    </xdr:to>
    <xdr:sp macro="" textlink="">
      <xdr:nvSpPr>
        <xdr:cNvPr id="102" name="rettangolo_filtri"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SpPr/>
      </xdr:nvSpPr>
      <xdr:spPr>
        <a:xfrm>
          <a:off x="11249025" y="38100"/>
          <a:ext cx="5334000" cy="10858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147088</xdr:colOff>
      <xdr:row>15</xdr:row>
      <xdr:rowOff>172043</xdr:rowOff>
    </xdr:from>
    <xdr:to>
      <xdr:col>3</xdr:col>
      <xdr:colOff>1505989</xdr:colOff>
      <xdr:row>18</xdr:row>
      <xdr:rowOff>135658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55</xdr:col>
      <xdr:colOff>109209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8305</xdr:colOff>
      <xdr:row>5</xdr:row>
      <xdr:rowOff>98030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60</xdr:col>
      <xdr:colOff>2205211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36641851" y="5892557"/>
          <a:ext cx="10184810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78</xdr:col>
      <xdr:colOff>2736006</xdr:colOff>
      <xdr:row>6</xdr:row>
      <xdr:rowOff>101364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6856056" y="564764"/>
          <a:ext cx="3209000" cy="330350"/>
          <a:chOff x="2467055" y="804331"/>
          <a:chExt cx="2947781" cy="322395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</xdr:grpSp>
    <xdr:clientData/>
  </xdr:twoCellAnchor>
  <xdr:twoCellAnchor editAs="oneCell">
    <xdr:from>
      <xdr:col>5</xdr:col>
      <xdr:colOff>149305</xdr:colOff>
      <xdr:row>4</xdr:row>
      <xdr:rowOff>49738</xdr:rowOff>
    </xdr:from>
    <xdr:to>
      <xdr:col>10</xdr:col>
      <xdr:colOff>83149</xdr:colOff>
      <xdr:row>6</xdr:row>
      <xdr:rowOff>81638</xdr:rowOff>
    </xdr:to>
    <xdr:grpSp>
      <xdr:nvGrpSpPr>
        <xdr:cNvPr id="23" name="dashboard_order_control_panel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GrpSpPr/>
      </xdr:nvGrpSpPr>
      <xdr:grpSpPr>
        <a:xfrm>
          <a:off x="2403555" y="551388"/>
          <a:ext cx="3464444" cy="324000"/>
          <a:chOff x="2469942" y="846666"/>
          <a:chExt cx="2962355" cy="325155"/>
        </a:xfrm>
      </xdr:grpSpPr>
      <xdr:sp macro="[0]!neworderUsrFormLauncher" textlink="">
        <xdr:nvSpPr>
          <xdr:cNvPr id="24" name="newOrder">
            <a:extLst>
              <a:ext uri="{FF2B5EF4-FFF2-40B4-BE49-F238E27FC236}">
                <a16:creationId xmlns:a16="http://schemas.microsoft.com/office/drawing/2014/main" id="{00000000-0008-0000-0F00-000018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" textlink="">
        <xdr:nvSpPr>
          <xdr:cNvPr id="25" name="deleteOrder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854238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855459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 editAs="absolute">
    <xdr:from>
      <xdr:col>3</xdr:col>
      <xdr:colOff>11293</xdr:colOff>
      <xdr:row>32</xdr:row>
      <xdr:rowOff>127325</xdr:rowOff>
    </xdr:from>
    <xdr:to>
      <xdr:col>4</xdr:col>
      <xdr:colOff>83112</xdr:colOff>
      <xdr:row>36</xdr:row>
      <xdr:rowOff>15956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absolute">
    <xdr:from>
      <xdr:col>11</xdr:col>
      <xdr:colOff>893064</xdr:colOff>
      <xdr:row>0</xdr:row>
      <xdr:rowOff>73025</xdr:rowOff>
    </xdr:from>
    <xdr:to>
      <xdr:col>11</xdr:col>
      <xdr:colOff>1674782</xdr:colOff>
      <xdr:row>3</xdr:row>
      <xdr:rowOff>76200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1670954</xdr:colOff>
      <xdr:row>0</xdr:row>
      <xdr:rowOff>73025</xdr:rowOff>
    </xdr:from>
    <xdr:to>
      <xdr:col>13</xdr:col>
      <xdr:colOff>415935</xdr:colOff>
      <xdr:row>3</xdr:row>
      <xdr:rowOff>76200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5</xdr:col>
      <xdr:colOff>131436</xdr:colOff>
      <xdr:row>0</xdr:row>
      <xdr:rowOff>73025</xdr:rowOff>
    </xdr:from>
    <xdr:to>
      <xdr:col>15</xdr:col>
      <xdr:colOff>345160</xdr:colOff>
      <xdr:row>3</xdr:row>
      <xdr:rowOff>76200</xdr:rowOff>
    </xdr:to>
    <xdr:grpSp>
      <xdr:nvGrpSpPr>
        <xdr:cNvPr id="95" name="main_menu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GrpSpPr/>
      </xdr:nvGrpSpPr>
      <xdr:grpSpPr>
        <a:xfrm>
          <a:off x="2385686" y="73025"/>
          <a:ext cx="8760824" cy="403225"/>
          <a:chOff x="2399553" y="73025"/>
          <a:chExt cx="8700799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4579531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4589357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674563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:a16="http://schemas.microsoft.com/office/drawing/2014/main" id="{00000000-0008-0000-0F00-00005A000000}"/>
              </a:ext>
            </a:extLst>
          </xdr:cNvPr>
          <xdr:cNvSpPr/>
        </xdr:nvSpPr>
        <xdr:spPr>
          <a:xfrm>
            <a:off x="8930613" y="73025"/>
            <a:ext cx="2160026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:a16="http://schemas.microsoft.com/office/drawing/2014/main" id="{00000000-0008-0000-0F00-000052000000}"/>
              </a:ext>
            </a:extLst>
          </xdr:cNvPr>
          <xdr:cNvSpPr/>
        </xdr:nvSpPr>
        <xdr:spPr>
          <a:xfrm>
            <a:off x="8940354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:a16="http://schemas.microsoft.com/office/drawing/2014/main" id="{00000000-0008-0000-0F00-000053000000}"/>
              </a:ext>
            </a:extLst>
          </xdr:cNvPr>
          <xdr:cNvSpPr/>
        </xdr:nvSpPr>
        <xdr:spPr>
          <a:xfrm>
            <a:off x="6755456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3</xdr:col>
      <xdr:colOff>19050</xdr:colOff>
      <xdr:row>31</xdr:row>
      <xdr:rowOff>114304</xdr:rowOff>
    </xdr:from>
    <xdr:to>
      <xdr:col>3</xdr:col>
      <xdr:colOff>1780841</xdr:colOff>
      <xdr:row>35</xdr:row>
      <xdr:rowOff>31755</xdr:rowOff>
    </xdr:to>
    <xdr:sp macro="[0]!editUsrFormLauncher" textlink="">
      <xdr:nvSpPr>
        <xdr:cNvPr id="4" name="editClient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260350" y="5657854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16</xdr:col>
      <xdr:colOff>73026</xdr:colOff>
      <xdr:row>0</xdr:row>
      <xdr:rowOff>93134</xdr:rowOff>
    </xdr:from>
    <xdr:to>
      <xdr:col>18</xdr:col>
      <xdr:colOff>50800</xdr:colOff>
      <xdr:row>4</xdr:row>
      <xdr:rowOff>57150</xdr:rowOff>
    </xdr:to>
    <xdr:sp macro="[0]!noFilter" textlink="">
      <xdr:nvSpPr>
        <xdr:cNvPr id="66" name="clearFiltersBtn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SpPr/>
      </xdr:nvSpPr>
      <xdr:spPr>
        <a:xfrm>
          <a:off x="11839576" y="93134"/>
          <a:ext cx="1831974" cy="465666"/>
        </a:xfrm>
        <a:prstGeom prst="roundRect">
          <a:avLst/>
        </a:prstGeom>
        <a:solidFill>
          <a:srgbClr val="C00000"/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>
              <a:solidFill>
                <a:schemeClr val="bg1"/>
              </a:solidFill>
            </a:rPr>
            <a:t>CLEAR  FILTERS</a:t>
          </a:r>
        </a:p>
      </xdr:txBody>
    </xdr: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GrpSpPr/>
      </xdr:nvGrpSpPr>
      <xdr:grpSpPr>
        <a:xfrm>
          <a:off x="31765956" y="571115"/>
          <a:ext cx="8004094" cy="33035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:a16="http://schemas.microsoft.com/office/drawing/2014/main" id="{00000000-0008-0000-0F00-000059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:a16="http://schemas.microsoft.com/office/drawing/2014/main" id="{00000000-0008-0000-0F00-000054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>
          <a:extLst>
            <a:ext uri="{FF2B5EF4-FFF2-40B4-BE49-F238E27FC236}">
              <a16:creationId xmlns:a16="http://schemas.microsoft.com/office/drawing/2014/main" id="{00000000-0008-0000-0F00-000073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16</xdr:col>
      <xdr:colOff>137683</xdr:colOff>
      <xdr:row>0</xdr:row>
      <xdr:rowOff>98775</xdr:rowOff>
    </xdr:from>
    <xdr:to>
      <xdr:col>21</xdr:col>
      <xdr:colOff>438899</xdr:colOff>
      <xdr:row>7</xdr:row>
      <xdr:rowOff>85722</xdr:rowOff>
    </xdr:to>
    <xdr:grpSp>
      <xdr:nvGrpSpPr>
        <xdr:cNvPr id="100" name="filtri_rapidi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GrpSpPr/>
      </xdr:nvGrpSpPr>
      <xdr:grpSpPr>
        <a:xfrm>
          <a:off x="11904233" y="98775"/>
          <a:ext cx="5311366" cy="971197"/>
          <a:chOff x="13176060" y="149726"/>
          <a:chExt cx="5093640" cy="1020875"/>
        </a:xfrm>
      </xdr:grpSpPr>
      <xdr:sp macro="[0]!filtro1" textlink="">
        <xdr:nvSpPr>
          <xdr:cNvPr id="81" name="onlyOut_invoiced">
            <a:extLst>
              <a:ext uri="{FF2B5EF4-FFF2-40B4-BE49-F238E27FC236}">
                <a16:creationId xmlns:a16="http://schemas.microsoft.com/office/drawing/2014/main" id="{00000000-0008-0000-0F00-000051000000}"/>
              </a:ext>
            </a:extLst>
          </xdr:cNvPr>
          <xdr:cNvSpPr/>
        </xdr:nvSpPr>
        <xdr:spPr>
          <a:xfrm>
            <a:off x="14948160" y="149726"/>
            <a:ext cx="1619188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FATTURATO IN USCITA</a:t>
            </a:r>
          </a:p>
        </xdr:txBody>
      </xdr:sp>
      <xdr:sp macro="[0]!filtro4" textlink="">
        <xdr:nvSpPr>
          <xdr:cNvPr id="86" name="onlyOut_inPreparation">
            <a:extLst>
              <a:ext uri="{FF2B5EF4-FFF2-40B4-BE49-F238E27FC236}">
                <a16:creationId xmlns:a16="http://schemas.microsoft.com/office/drawing/2014/main" id="{00000000-0008-0000-0F00-000056000000}"/>
              </a:ext>
            </a:extLst>
          </xdr:cNvPr>
          <xdr:cNvSpPr/>
        </xdr:nvSpPr>
        <xdr:spPr>
          <a:xfrm>
            <a:off x="14948160" y="416620"/>
            <a:ext cx="1620000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PREPARATION</a:t>
            </a:r>
            <a:r>
              <a:rPr lang="it-IT" sz="800" b="1" baseline="0">
                <a:solidFill>
                  <a:sysClr val="windowText" lastClr="000000"/>
                </a:solidFill>
              </a:rPr>
              <a:t> - SALES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5" textlink="">
        <xdr:nvSpPr>
          <xdr:cNvPr id="91" name="onlyOut_standBy">
            <a:extLst>
              <a:ext uri="{FF2B5EF4-FFF2-40B4-BE49-F238E27FC236}">
                <a16:creationId xmlns:a16="http://schemas.microsoft.com/office/drawing/2014/main" id="{00000000-0008-0000-0F00-00005B000000}"/>
              </a:ext>
            </a:extLst>
          </xdr:cNvPr>
          <xdr:cNvSpPr/>
        </xdr:nvSpPr>
        <xdr:spPr>
          <a:xfrm>
            <a:off x="14948160" y="683513"/>
            <a:ext cx="1620000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STAND BY - SALES</a:t>
            </a:r>
          </a:p>
        </xdr:txBody>
      </xdr:sp>
      <xdr:sp macro="[0]!filtro3" textlink="">
        <xdr:nvSpPr>
          <xdr:cNvPr id="101" name="onlySampling">
            <a:extLst>
              <a:ext uri="{FF2B5EF4-FFF2-40B4-BE49-F238E27FC236}">
                <a16:creationId xmlns:a16="http://schemas.microsoft.com/office/drawing/2014/main" id="{00000000-0008-0000-0F00-000065000000}"/>
              </a:ext>
            </a:extLst>
          </xdr:cNvPr>
          <xdr:cNvSpPr/>
        </xdr:nvSpPr>
        <xdr:spPr>
          <a:xfrm>
            <a:off x="13176060" y="700471"/>
            <a:ext cx="1620000" cy="209550"/>
          </a:xfrm>
          <a:prstGeom prst="roundRect">
            <a:avLst/>
          </a:prstGeom>
          <a:solidFill>
            <a:srgbClr val="92D050"/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SAMPLING</a:t>
            </a:r>
          </a:p>
        </xdr:txBody>
      </xdr:sp>
      <xdr:sp macro="[0]!noYearFiler" textlink="">
        <xdr:nvSpPr>
          <xdr:cNvPr id="110" name="noYearFilter">
            <a:extLst>
              <a:ext uri="{FF2B5EF4-FFF2-40B4-BE49-F238E27FC236}">
                <a16:creationId xmlns:a16="http://schemas.microsoft.com/office/drawing/2014/main" id="{00000000-0008-0000-0F00-00006E000000}"/>
              </a:ext>
            </a:extLst>
          </xdr:cNvPr>
          <xdr:cNvSpPr/>
        </xdr:nvSpPr>
        <xdr:spPr>
          <a:xfrm>
            <a:off x="16646079" y="961051"/>
            <a:ext cx="586913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NO YEAR</a:t>
            </a:r>
          </a:p>
        </xdr:txBody>
      </xdr:sp>
      <xdr:sp macro="[0]!filtroAnnoPrecedente" textlink="$U$7">
        <xdr:nvSpPr>
          <xdr:cNvPr id="111" name="annoprec">
            <a:extLst>
              <a:ext uri="{FF2B5EF4-FFF2-40B4-BE49-F238E27FC236}">
                <a16:creationId xmlns:a16="http://schemas.microsoft.com/office/drawing/2014/main" id="{00000000-0008-0000-0F00-00006F000000}"/>
              </a:ext>
            </a:extLst>
          </xdr:cNvPr>
          <xdr:cNvSpPr/>
        </xdr:nvSpPr>
        <xdr:spPr>
          <a:xfrm>
            <a:off x="17311682" y="961051"/>
            <a:ext cx="448816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AnnoInCorso" textlink="$T$7">
        <xdr:nvSpPr>
          <xdr:cNvPr id="112" name="annoCorr">
            <a:extLst>
              <a:ext uri="{FF2B5EF4-FFF2-40B4-BE49-F238E27FC236}">
                <a16:creationId xmlns:a16="http://schemas.microsoft.com/office/drawing/2014/main" id="{00000000-0008-0000-0F00-000070000000}"/>
              </a:ext>
            </a:extLst>
          </xdr:cNvPr>
          <xdr:cNvSpPr/>
        </xdr:nvSpPr>
        <xdr:spPr>
          <a:xfrm>
            <a:off x="17815781" y="961051"/>
            <a:ext cx="448816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400" b="1">
              <a:solidFill>
                <a:sysClr val="windowText" lastClr="000000"/>
              </a:solidFill>
            </a:endParaRPr>
          </a:p>
        </xdr:txBody>
      </xdr:sp>
      <xdr:sp macro="[0]!filtro6" textlink="">
        <xdr:nvSpPr>
          <xdr:cNvPr id="106" name="onlyIn_toLoad">
            <a:extLst>
              <a:ext uri="{FF2B5EF4-FFF2-40B4-BE49-F238E27FC236}">
                <a16:creationId xmlns:a16="http://schemas.microsoft.com/office/drawing/2014/main" id="{00000000-0008-0000-0F00-00006A000000}"/>
              </a:ext>
            </a:extLst>
          </xdr:cNvPr>
          <xdr:cNvSpPr/>
        </xdr:nvSpPr>
        <xdr:spPr>
          <a:xfrm>
            <a:off x="16649700" y="156496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TO</a:t>
            </a:r>
            <a:r>
              <a:rPr lang="it-IT" sz="800" b="1" baseline="0">
                <a:solidFill>
                  <a:sysClr val="windowText" lastClr="000000"/>
                </a:solidFill>
              </a:rPr>
              <a:t> LOAD -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7" textlink="">
        <xdr:nvSpPr>
          <xdr:cNvPr id="109" name="onlyIn_inTransit">
            <a:extLst>
              <a:ext uri="{FF2B5EF4-FFF2-40B4-BE49-F238E27FC236}">
                <a16:creationId xmlns:a16="http://schemas.microsoft.com/office/drawing/2014/main" id="{00000000-0008-0000-0F00-00006D000000}"/>
              </a:ext>
            </a:extLst>
          </xdr:cNvPr>
          <xdr:cNvSpPr/>
        </xdr:nvSpPr>
        <xdr:spPr>
          <a:xfrm>
            <a:off x="16649700" y="416649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TRANSIT </a:t>
            </a:r>
            <a:r>
              <a:rPr lang="it-IT" sz="800" b="1" baseline="0">
                <a:solidFill>
                  <a:sysClr val="windowText" lastClr="000000"/>
                </a:solidFill>
              </a:rPr>
              <a:t>-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8" textlink="">
        <xdr:nvSpPr>
          <xdr:cNvPr id="113" name="onlyIn_delivered">
            <a:extLst>
              <a:ext uri="{FF2B5EF4-FFF2-40B4-BE49-F238E27FC236}">
                <a16:creationId xmlns:a16="http://schemas.microsoft.com/office/drawing/2014/main" id="{00000000-0008-0000-0F00-000071000000}"/>
              </a:ext>
            </a:extLst>
          </xdr:cNvPr>
          <xdr:cNvSpPr/>
        </xdr:nvSpPr>
        <xdr:spPr>
          <a:xfrm>
            <a:off x="16649700" y="676805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DELIVERED </a:t>
            </a:r>
            <a:r>
              <a:rPr lang="it-IT" sz="800" b="1" baseline="0">
                <a:solidFill>
                  <a:sysClr val="windowText" lastClr="000000"/>
                </a:solidFill>
              </a:rPr>
              <a:t>-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9" textlink="">
        <xdr:nvSpPr>
          <xdr:cNvPr id="7" name="onlySampling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13176060" y="960876"/>
            <a:ext cx="1620000" cy="209550"/>
          </a:xfrm>
          <a:prstGeom prst="roundRect">
            <a:avLst/>
          </a:prstGeom>
          <a:solidFill>
            <a:schemeClr val="accent5"/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chemeClr val="bg1"/>
                </a:solidFill>
              </a:rPr>
              <a:t>PRODUCTION</a:t>
            </a:r>
          </a:p>
        </xdr:txBody>
      </xdr:sp>
      <xdr:sp macro="[0]!filtro10" textlink="">
        <xdr:nvSpPr>
          <xdr:cNvPr id="9" name="onlyOut_standBy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4948160" y="950406"/>
            <a:ext cx="1620000" cy="209551"/>
          </a:xfrm>
          <a:prstGeom prst="roundRect">
            <a:avLst/>
          </a:prstGeom>
          <a:solidFill>
            <a:srgbClr val="C00000"/>
          </a:solidFill>
          <a:ln w="19050">
            <a:solidFill>
              <a:srgbClr val="000000"/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chemeClr val="bg1"/>
                </a:solidFill>
              </a:rPr>
              <a:t>ALL READY - SALES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15522</xdr:colOff>
      <xdr:row>6</xdr:row>
      <xdr:rowOff>11679</xdr:rowOff>
    </xdr:to>
    <xdr:pic macro="[0]!reloadHome">
      <xdr:nvPicPr>
        <xdr:cNvPr id="103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1225" cy="799079"/>
        </a:xfrm>
        <a:prstGeom prst="rect">
          <a:avLst/>
        </a:prstGeom>
      </xdr:spPr>
    </xdr:pic>
    <xdr:clientData/>
  </xdr:twoCellAnchor>
  <xdr:twoCellAnchor>
    <xdr:from>
      <xdr:col>132</xdr:col>
      <xdr:colOff>38100</xdr:colOff>
      <xdr:row>13</xdr:row>
      <xdr:rowOff>120650</xdr:rowOff>
    </xdr:from>
    <xdr:to>
      <xdr:col>132</xdr:col>
      <xdr:colOff>1765300</xdr:colOff>
      <xdr:row>14</xdr:row>
      <xdr:rowOff>152400</xdr:rowOff>
    </xdr:to>
    <xdr:sp macro="[0]!noFilterWarehous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28600" y="2235200"/>
          <a:ext cx="1727200" cy="222250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CLEAR FILTER</a:t>
          </a:r>
        </a:p>
      </xdr:txBody>
    </xdr:sp>
    <xdr:clientData/>
  </xdr:twoCellAnchor>
  <xdr:twoCellAnchor>
    <xdr:from>
      <xdr:col>681</xdr:col>
      <xdr:colOff>31750</xdr:colOff>
      <xdr:row>13</xdr:row>
      <xdr:rowOff>25400</xdr:rowOff>
    </xdr:from>
    <xdr:to>
      <xdr:col>684</xdr:col>
      <xdr:colOff>2950</xdr:colOff>
      <xdr:row>22</xdr:row>
      <xdr:rowOff>168499</xdr:rowOff>
    </xdr:to>
    <xdr:grpSp>
      <xdr:nvGrpSpPr>
        <xdr:cNvPr id="88" name="Gruppo 87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GrpSpPr/>
      </xdr:nvGrpSpPr>
      <xdr:grpSpPr>
        <a:xfrm>
          <a:off x="473608400" y="2152650"/>
          <a:ext cx="1895250" cy="1857599"/>
          <a:chOff x="3968750" y="4400550"/>
          <a:chExt cx="1800000" cy="1857599"/>
        </a:xfrm>
      </xdr:grpSpPr>
      <xdr:sp macro="[0]!showClientdB" textlink="">
        <xdr:nvSpPr>
          <xdr:cNvPr id="77" name="editClient">
            <a:extLst>
              <a:ext uri="{FF2B5EF4-FFF2-40B4-BE49-F238E27FC236}">
                <a16:creationId xmlns:a16="http://schemas.microsoft.com/office/drawing/2014/main" id="{00000000-0008-0000-0F00-00004D000000}"/>
              </a:ext>
            </a:extLst>
          </xdr:cNvPr>
          <xdr:cNvSpPr/>
        </xdr:nvSpPr>
        <xdr:spPr>
          <a:xfrm>
            <a:off x="3968750" y="4400550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  <a:r>
              <a:rPr lang="it-IT" sz="1100" b="1" baseline="0">
                <a:solidFill>
                  <a:schemeClr val="bg1"/>
                </a:solidFill>
              </a:rPr>
              <a:t> DATA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showOrderSheet" textlink="">
        <xdr:nvSpPr>
          <xdr:cNvPr id="78" name="showOrderSheet">
            <a:extLst>
              <a:ext uri="{FF2B5EF4-FFF2-40B4-BE49-F238E27FC236}">
                <a16:creationId xmlns:a16="http://schemas.microsoft.com/office/drawing/2014/main" id="{00000000-0008-0000-0F00-00004E000000}"/>
              </a:ext>
            </a:extLst>
          </xdr:cNvPr>
          <xdr:cNvSpPr/>
        </xdr:nvSpPr>
        <xdr:spPr>
          <a:xfrm>
            <a:off x="3968750" y="5170719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79" name="showSalesSheet">
            <a:extLst>
              <a:ext uri="{FF2B5EF4-FFF2-40B4-BE49-F238E27FC236}">
                <a16:creationId xmlns:a16="http://schemas.microsoft.com/office/drawing/2014/main" id="{00000000-0008-0000-0F00-00004F000000}"/>
              </a:ext>
            </a:extLst>
          </xdr:cNvPr>
          <xdr:cNvSpPr/>
        </xdr:nvSpPr>
        <xdr:spPr>
          <a:xfrm>
            <a:off x="3968750" y="5555802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  <xdr:sp macro="[0]!showProductData" textlink="">
        <xdr:nvSpPr>
          <xdr:cNvPr id="80" name="editClient">
            <a:extLst>
              <a:ext uri="{FF2B5EF4-FFF2-40B4-BE49-F238E27FC236}">
                <a16:creationId xmlns:a16="http://schemas.microsoft.com/office/drawing/2014/main" id="{00000000-0008-0000-0F00-000050000000}"/>
              </a:ext>
            </a:extLst>
          </xdr:cNvPr>
          <xdr:cNvSpPr/>
        </xdr:nvSpPr>
        <xdr:spPr>
          <a:xfrm>
            <a:off x="3968750" y="4785635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BHPC PRODUCT DATA</a:t>
            </a:r>
          </a:p>
        </xdr:txBody>
      </xdr:sp>
      <xdr:sp macro="[0]!showInventorySheet" textlink="">
        <xdr:nvSpPr>
          <xdr:cNvPr id="10" name="showSalesSheet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3968750" y="5943152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INVENTORY</a:t>
            </a:r>
          </a:p>
        </xdr:txBody>
      </xdr:sp>
    </xdr:grpSp>
    <xdr:clientData/>
  </xdr:twoCellAnchor>
  <xdr:twoCellAnchor>
    <xdr:from>
      <xdr:col>3</xdr:col>
      <xdr:colOff>20441</xdr:colOff>
      <xdr:row>35</xdr:row>
      <xdr:rowOff>95250</xdr:rowOff>
    </xdr:from>
    <xdr:to>
      <xdr:col>3</xdr:col>
      <xdr:colOff>1780841</xdr:colOff>
      <xdr:row>39</xdr:row>
      <xdr:rowOff>13650</xdr:rowOff>
    </xdr:to>
    <xdr:sp macro="[0]!printUsrFormLauncher" textlink="">
      <xdr:nvSpPr>
        <xdr:cNvPr id="94" name="deleteOrder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SpPr/>
      </xdr:nvSpPr>
      <xdr:spPr>
        <a:xfrm>
          <a:off x="261741" y="6400800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75</xdr:col>
      <xdr:colOff>0</xdr:colOff>
      <xdr:row>28</xdr:row>
      <xdr:rowOff>31750</xdr:rowOff>
    </xdr:from>
    <xdr:to>
      <xdr:col>75</xdr:col>
      <xdr:colOff>1761791</xdr:colOff>
      <xdr:row>31</xdr:row>
      <xdr:rowOff>139701</xdr:rowOff>
    </xdr:to>
    <xdr:sp macro="[0]!editUsrFormLauncher" textlink="">
      <xdr:nvSpPr>
        <xdr:cNvPr id="96" name="editClient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SpPr/>
      </xdr:nvSpPr>
      <xdr:spPr>
        <a:xfrm>
          <a:off x="177800" y="5003800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75</xdr:col>
      <xdr:colOff>1391</xdr:colOff>
      <xdr:row>32</xdr:row>
      <xdr:rowOff>12696</xdr:rowOff>
    </xdr:from>
    <xdr:to>
      <xdr:col>75</xdr:col>
      <xdr:colOff>1761791</xdr:colOff>
      <xdr:row>35</xdr:row>
      <xdr:rowOff>121596</xdr:rowOff>
    </xdr:to>
    <xdr:sp macro="[0]!printUsrFormLauncher" textlink="">
      <xdr:nvSpPr>
        <xdr:cNvPr id="97" name="deleteOrder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SpPr/>
      </xdr:nvSpPr>
      <xdr:spPr>
        <a:xfrm>
          <a:off x="179191" y="5746746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3</xdr:col>
      <xdr:colOff>20441</xdr:colOff>
      <xdr:row>27</xdr:row>
      <xdr:rowOff>133354</xdr:rowOff>
    </xdr:from>
    <xdr:to>
      <xdr:col>3</xdr:col>
      <xdr:colOff>1782232</xdr:colOff>
      <xdr:row>31</xdr:row>
      <xdr:rowOff>50805</xdr:rowOff>
    </xdr:to>
    <xdr:sp macro="[0]!editCustomerUsrFormLauncher" textlink="">
      <xdr:nvSpPr>
        <xdr:cNvPr id="72" name="editClient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SpPr/>
      </xdr:nvSpPr>
      <xdr:spPr>
        <a:xfrm>
          <a:off x="261741" y="4914904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CUSTOMER</a:t>
          </a:r>
        </a:p>
      </xdr:txBody>
    </xdr:sp>
    <xdr:clientData/>
  </xdr:twoCellAnchor>
  <xdr:twoCellAnchor editAs="oneCell">
    <xdr:from>
      <xdr:col>102</xdr:col>
      <xdr:colOff>212725</xdr:colOff>
      <xdr:row>33</xdr:row>
      <xdr:rowOff>88896</xdr:rowOff>
    </xdr:from>
    <xdr:to>
      <xdr:col>105</xdr:col>
      <xdr:colOff>7100</xdr:colOff>
      <xdr:row>37</xdr:row>
      <xdr:rowOff>46896</xdr:rowOff>
    </xdr:to>
    <xdr:sp macro="[0]!callProductionFalse" textlink="">
      <xdr:nvSpPr>
        <xdr:cNvPr id="2" name="giftsetProduction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6290925" y="6032496"/>
          <a:ext cx="1527925" cy="7200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PRODUCTION</a:t>
          </a:r>
        </a:p>
      </xdr:txBody>
    </xdr:sp>
    <xdr:clientData/>
  </xdr:twoCellAnchor>
  <xdr:twoCellAnchor>
    <xdr:from>
      <xdr:col>98</xdr:col>
      <xdr:colOff>33141</xdr:colOff>
      <xdr:row>30</xdr:row>
      <xdr:rowOff>139696</xdr:rowOff>
    </xdr:from>
    <xdr:to>
      <xdr:col>100</xdr:col>
      <xdr:colOff>491791</xdr:colOff>
      <xdr:row>34</xdr:row>
      <xdr:rowOff>58096</xdr:rowOff>
    </xdr:to>
    <xdr:sp macro="" textlink="">
      <xdr:nvSpPr>
        <xdr:cNvPr id="5" name="revertProduction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4790541" y="5492746"/>
          <a:ext cx="1760400" cy="680400"/>
        </a:xfrm>
        <a:prstGeom prst="roundRect">
          <a:avLst/>
        </a:prstGeom>
        <a:solidFill>
          <a:srgbClr val="C0000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REVERT</a:t>
          </a:r>
          <a:endParaRPr lang="it-IT" sz="1600" b="1" baseline="0">
            <a:solidFill>
              <a:schemeClr val="bg1"/>
            </a:solidFill>
            <a:latin typeface="+mn-lt"/>
          </a:endParaRP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PRODUCTION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132</xdr:col>
      <xdr:colOff>31750</xdr:colOff>
      <xdr:row>15</xdr:row>
      <xdr:rowOff>76200</xdr:rowOff>
    </xdr:from>
    <xdr:to>
      <xdr:col>132</xdr:col>
      <xdr:colOff>1758950</xdr:colOff>
      <xdr:row>18</xdr:row>
      <xdr:rowOff>146050</xdr:rowOff>
    </xdr:to>
    <xdr:sp macro="[0]!calculateWarehouseValues" textlink="">
      <xdr:nvSpPr>
        <xdr:cNvPr id="8" name="Rettangolo con angoli arrotondati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222250" y="2571750"/>
          <a:ext cx="1727200" cy="641350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RICALCOLA</a:t>
          </a:r>
        </a:p>
        <a:p>
          <a:pPr algn="ctr"/>
          <a:r>
            <a:rPr lang="it-IT" sz="1400" b="1"/>
            <a:t>VALORI</a:t>
          </a:r>
        </a:p>
      </xdr:txBody>
    </xdr:sp>
    <xdr:clientData/>
  </xdr:twoCellAnchor>
  <xdr:twoCellAnchor>
    <xdr:from>
      <xdr:col>684</xdr:col>
      <xdr:colOff>131233</xdr:colOff>
      <xdr:row>13</xdr:row>
      <xdr:rowOff>25400</xdr:rowOff>
    </xdr:from>
    <xdr:to>
      <xdr:col>687</xdr:col>
      <xdr:colOff>102433</xdr:colOff>
      <xdr:row>18</xdr:row>
      <xdr:rowOff>162597</xdr:rowOff>
    </xdr:to>
    <xdr:grpSp>
      <xdr:nvGrpSpPr>
        <xdr:cNvPr id="33" name="Gruppo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GrpSpPr/>
      </xdr:nvGrpSpPr>
      <xdr:grpSpPr>
        <a:xfrm>
          <a:off x="475631933" y="2152650"/>
          <a:ext cx="1895250" cy="1089697"/>
          <a:chOff x="9137650" y="2146300"/>
          <a:chExt cx="1895250" cy="1089697"/>
        </a:xfrm>
      </xdr:grpSpPr>
      <xdr:sp macro="[0]!deleteDatabase" textlink="">
        <xdr:nvSpPr>
          <xdr:cNvPr id="27" name="editClient">
            <a:extLst>
              <a:ext uri="{FF2B5EF4-FFF2-40B4-BE49-F238E27FC236}">
                <a16:creationId xmlns:a16="http://schemas.microsoft.com/office/drawing/2014/main" id="{00000000-0008-0000-0F00-00001B000000}"/>
              </a:ext>
            </a:extLst>
          </xdr:cNvPr>
          <xdr:cNvSpPr/>
        </xdr:nvSpPr>
        <xdr:spPr>
          <a:xfrm>
            <a:off x="9137650" y="214630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ORDERS DATABASE</a:t>
            </a:r>
          </a:p>
        </xdr:txBody>
      </xdr:sp>
      <xdr:sp macro="[0]!exportDatabase" textlink="">
        <xdr:nvSpPr>
          <xdr:cNvPr id="29" name="editClient"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9137650" y="253365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EXPORT ORDERS DATABASE</a:t>
            </a:r>
          </a:p>
        </xdr:txBody>
      </xdr:sp>
      <xdr:sp macro="[0]!importDatabase" textlink="">
        <xdr:nvSpPr>
          <xdr:cNvPr id="31" name="editClient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9137650" y="292100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IMPORT ORDERS DATABASE</a:t>
            </a:r>
          </a:p>
        </xdr:txBody>
      </xdr:sp>
    </xdr:grpSp>
    <xdr:clientData/>
  </xdr:twoCellAnchor>
  <xdr:twoCellAnchor>
    <xdr:from>
      <xdr:col>99</xdr:col>
      <xdr:colOff>25400</xdr:colOff>
      <xdr:row>37</xdr:row>
      <xdr:rowOff>127000</xdr:rowOff>
    </xdr:from>
    <xdr:to>
      <xdr:col>101</xdr:col>
      <xdr:colOff>534150</xdr:colOff>
      <xdr:row>41</xdr:row>
      <xdr:rowOff>85000</xdr:rowOff>
    </xdr:to>
    <xdr:sp macro="[0]!calculateWarehouseValues" textlink="">
      <xdr:nvSpPr>
        <xdr:cNvPr id="14" name="Rettangolo con angoli arrotondati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15328900" y="6826250"/>
          <a:ext cx="1620000" cy="720000"/>
        </a:xfrm>
        <a:prstGeom prst="roundRect">
          <a:avLst/>
        </a:prstGeom>
        <a:solidFill>
          <a:schemeClr val="accent6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UPDATE</a:t>
          </a:r>
        </a:p>
        <a:p>
          <a:pPr algn="ctr"/>
          <a:r>
            <a:rPr lang="it-IT" sz="1600" b="1"/>
            <a:t>AVAILABILITIES</a:t>
          </a:r>
          <a:endParaRPr lang="it-IT" sz="1400" b="1"/>
        </a:p>
      </xdr:txBody>
    </xdr:sp>
    <xdr:clientData/>
  </xdr:twoCellAnchor>
  <xdr:twoCellAnchor>
    <xdr:from>
      <xdr:col>99</xdr:col>
      <xdr:colOff>31750</xdr:colOff>
      <xdr:row>33</xdr:row>
      <xdr:rowOff>88896</xdr:rowOff>
    </xdr:from>
    <xdr:to>
      <xdr:col>101</xdr:col>
      <xdr:colOff>540500</xdr:colOff>
      <xdr:row>37</xdr:row>
      <xdr:rowOff>46896</xdr:rowOff>
    </xdr:to>
    <xdr:sp macro="[0]!callProductionTrue" textlink="">
      <xdr:nvSpPr>
        <xdr:cNvPr id="12" name="giftsetProduction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15335250" y="6026146"/>
          <a:ext cx="1620000" cy="7200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PRODUCTION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PREVIEW</a:t>
          </a:r>
        </a:p>
      </xdr:txBody>
    </xdr:sp>
    <xdr:clientData/>
  </xdr:twoCellAnchor>
  <xdr:twoCellAnchor>
    <xdr:from>
      <xdr:col>101</xdr:col>
      <xdr:colOff>590550</xdr:colOff>
      <xdr:row>35</xdr:row>
      <xdr:rowOff>67896</xdr:rowOff>
    </xdr:from>
    <xdr:to>
      <xdr:col>102</xdr:col>
      <xdr:colOff>174625</xdr:colOff>
      <xdr:row>35</xdr:row>
      <xdr:rowOff>76200</xdr:rowOff>
    </xdr:to>
    <xdr:cxnSp macro="">
      <xdr:nvCxnSpPr>
        <xdr:cNvPr id="26" name="Connettore 2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CxnSpPr/>
      </xdr:nvCxnSpPr>
      <xdr:spPr>
        <a:xfrm flipV="1">
          <a:off x="15878175" y="6392496"/>
          <a:ext cx="374650" cy="8304"/>
        </a:xfrm>
        <a:prstGeom prst="straightConnector1">
          <a:avLst/>
        </a:prstGeom>
        <a:ln w="1016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687</xdr:col>
      <xdr:colOff>230716</xdr:colOff>
      <xdr:row>13</xdr:row>
      <xdr:rowOff>25400</xdr:rowOff>
    </xdr:from>
    <xdr:to>
      <xdr:col>690</xdr:col>
      <xdr:colOff>201916</xdr:colOff>
      <xdr:row>16</xdr:row>
      <xdr:rowOff>156247</xdr:rowOff>
    </xdr:to>
    <xdr:grpSp>
      <xdr:nvGrpSpPr>
        <xdr:cNvPr id="17" name="Gruppo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pSpPr/>
      </xdr:nvGrpSpPr>
      <xdr:grpSpPr>
        <a:xfrm>
          <a:off x="477655466" y="2152650"/>
          <a:ext cx="1895250" cy="702347"/>
          <a:chOff x="9137650" y="2533650"/>
          <a:chExt cx="1895250" cy="702347"/>
        </a:xfrm>
      </xdr:grpSpPr>
      <xdr:sp macro="" textlink="">
        <xdr:nvSpPr>
          <xdr:cNvPr id="35" name="editClient">
            <a:extLst>
              <a:ext uri="{FF2B5EF4-FFF2-40B4-BE49-F238E27FC236}">
                <a16:creationId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9137650" y="253365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EXPORT CLIENT DATABASE</a:t>
            </a:r>
          </a:p>
        </xdr:txBody>
      </xdr:sp>
      <xdr:sp macro="" textlink="">
        <xdr:nvSpPr>
          <xdr:cNvPr id="37" name="editClient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9137650" y="292100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IMPORT CLIENT DATABASE</a:t>
            </a:r>
          </a:p>
        </xdr:txBody>
      </xdr:sp>
    </xdr:grpSp>
    <xdr:clientData/>
  </xdr:twoCellAnchor>
  <xdr:twoCellAnchor>
    <xdr:from>
      <xdr:col>690</xdr:col>
      <xdr:colOff>330200</xdr:colOff>
      <xdr:row>13</xdr:row>
      <xdr:rowOff>25400</xdr:rowOff>
    </xdr:from>
    <xdr:to>
      <xdr:col>693</xdr:col>
      <xdr:colOff>301400</xdr:colOff>
      <xdr:row>16</xdr:row>
      <xdr:rowOff>156247</xdr:rowOff>
    </xdr:to>
    <xdr:grpSp>
      <xdr:nvGrpSpPr>
        <xdr:cNvPr id="38" name="Gruppo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GrpSpPr/>
      </xdr:nvGrpSpPr>
      <xdr:grpSpPr>
        <a:xfrm>
          <a:off x="479679000" y="2152650"/>
          <a:ext cx="1895250" cy="702347"/>
          <a:chOff x="9137650" y="2533650"/>
          <a:chExt cx="1895250" cy="702347"/>
        </a:xfrm>
      </xdr:grpSpPr>
      <xdr:sp macro="" textlink="">
        <xdr:nvSpPr>
          <xdr:cNvPr id="40" name="editClient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9137650" y="253365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EXPORT PRODUCT DATA</a:t>
            </a:r>
          </a:p>
        </xdr:txBody>
      </xdr:sp>
      <xdr:sp macro="" textlink="">
        <xdr:nvSpPr>
          <xdr:cNvPr id="43" name="editClient">
            <a:extLst>
              <a:ext uri="{FF2B5EF4-FFF2-40B4-BE49-F238E27FC236}">
                <a16:creationId xmlns:a16="http://schemas.microsoft.com/office/drawing/2014/main" id="{00000000-0008-0000-0F00-00002B000000}"/>
              </a:ext>
            </a:extLst>
          </xdr:cNvPr>
          <xdr:cNvSpPr/>
        </xdr:nvSpPr>
        <xdr:spPr>
          <a:xfrm>
            <a:off x="9137650" y="292100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IMPORT PRODUCT DATA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57150</xdr:colOff>
          <xdr:row>9</xdr:row>
          <xdr:rowOff>0</xdr:rowOff>
        </xdr:from>
        <xdr:to>
          <xdr:col>23</xdr:col>
          <xdr:colOff>57150</xdr:colOff>
          <xdr:row>59</xdr:row>
          <xdr:rowOff>158750</xdr:rowOff>
        </xdr:to>
        <xdr:sp macro="" textlink="">
          <xdr:nvSpPr>
            <xdr:cNvPr id="21539" name="barraScorrimentoOrdini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F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hpc_data" displayName="bhpc_data" ref="A1:AB180" totalsRowShown="0" headerRowDxfId="162" dataDxfId="161">
  <autoFilter ref="A1:AB180" xr:uid="{00000000-0009-0000-0100-000001000000}"/>
  <tableColumns count="28">
    <tableColumn id="1" xr3:uid="{00000000-0010-0000-0000-000001000000}" name="sku" dataDxfId="160"/>
    <tableColumn id="2" xr3:uid="{00000000-0010-0000-0000-000002000000}" name="category" dataDxfId="159"/>
    <tableColumn id="3" xr3:uid="{00000000-0010-0000-0000-000003000000}" name="nr_of_products" dataDxfId="158"/>
    <tableColumn id="4" xr3:uid="{00000000-0010-0000-0000-000004000000}" name="sex" dataDxfId="157"/>
    <tableColumn id="5" xr3:uid="{00000000-0010-0000-0000-000005000000}" name="ean" dataDxfId="156"/>
    <tableColumn id="6" xr3:uid="{00000000-0010-0000-0000-000006000000}" name="hs_code" dataDxfId="155"/>
    <tableColumn id="7" xr3:uid="{00000000-0010-0000-0000-000007000000}" name="description" dataDxfId="154"/>
    <tableColumn id="8" xr3:uid="{00000000-0010-0000-0000-000008000000}" name="unit" dataDxfId="153"/>
    <tableColumn id="9" xr3:uid="{00000000-0010-0000-0000-000009000000}" name="units_per_carton" dataDxfId="152"/>
    <tableColumn id="10" xr3:uid="{00000000-0010-0000-0000-00000A000000}" name="box_per_europallet" dataDxfId="151"/>
    <tableColumn id="13" xr3:uid="{00000000-0010-0000-0000-00000D000000}" name="box_per_pallet" dataDxfId="150" dataCellStyle="Normale 2"/>
    <tableColumn id="39" xr3:uid="{00000000-0010-0000-0000-000027000000}" name="layer_per_europallet" dataDxfId="149" dataCellStyle="Normale 2"/>
    <tableColumn id="12" xr3:uid="{00000000-0010-0000-0000-00000C000000}" name="layers_per_pallet" dataDxfId="148" dataCellStyle="Normale 2"/>
    <tableColumn id="38" xr3:uid="{00000000-0010-0000-0000-000026000000}" name="box_per_eurolayer" dataDxfId="147" dataCellStyle="Normale 2"/>
    <tableColumn id="11" xr3:uid="{00000000-0010-0000-0000-00000B000000}" name="box_per_layer" dataDxfId="146"/>
    <tableColumn id="14" xr3:uid="{00000000-0010-0000-0000-00000E000000}" name="lenght" dataDxfId="145"/>
    <tableColumn id="15" xr3:uid="{00000000-0010-0000-0000-00000F000000}" name="width" dataDxfId="144"/>
    <tableColumn id="16" xr3:uid="{00000000-0010-0000-0000-000010000000}" name="height" dataDxfId="143"/>
    <tableColumn id="17" xr3:uid="{00000000-0010-0000-0000-000011000000}" name="net_weight" dataDxfId="142"/>
    <tableColumn id="18" xr3:uid="{00000000-0010-0000-0000-000012000000}" name="gross_weight" dataDxfId="141"/>
    <tableColumn id="19" xr3:uid="{00000000-0010-0000-0000-000013000000}" name="size1" dataDxfId="140"/>
    <tableColumn id="20" xr3:uid="{00000000-0010-0000-0000-000014000000}" name="size2" dataDxfId="139"/>
    <tableColumn id="21" xr3:uid="{00000000-0010-0000-0000-000015000000}" name="size3" dataDxfId="138"/>
    <tableColumn id="22" xr3:uid="{00000000-0010-0000-0000-000016000000}" name="product1_weight" dataDxfId="137"/>
    <tableColumn id="23" xr3:uid="{00000000-0010-0000-0000-000017000000}" name="product2_weight" dataDxfId="136"/>
    <tableColumn id="24" xr3:uid="{00000000-0010-0000-0000-000018000000}" name="product3_weight" dataDxfId="135"/>
    <tableColumn id="25" xr3:uid="{00000000-0010-0000-0000-000019000000}" name="product4_weight" dataDxfId="134"/>
    <tableColumn id="26" xr3:uid="{00000000-0010-0000-0000-00001A000000}" name="country_of_origin" dataDxfId="1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giftsets_components" displayName="giftsets_components" ref="A1:G26" totalsRowShown="0" headerRowDxfId="132" dataDxfId="131">
  <autoFilter ref="A1:G26" xr:uid="{00000000-0009-0000-0100-000009000000}"/>
  <tableColumns count="7">
    <tableColumn id="1" xr3:uid="{00000000-0010-0000-0100-000001000000}" name="SKU" dataDxfId="130"/>
    <tableColumn id="2" xr3:uid="{00000000-0010-0000-0100-000002000000}" name="DESCRIPTION"/>
    <tableColumn id="3" xr3:uid="{00000000-0010-0000-0100-000003000000}" name="PERF" dataDxfId="129"/>
    <tableColumn id="4" xr3:uid="{00000000-0010-0000-0100-000004000000}" name="DEO" dataDxfId="128"/>
    <tableColumn id="5" xr3:uid="{00000000-0010-0000-0100-000005000000}" name="ROLL-ON" dataDxfId="127"/>
    <tableColumn id="6" xr3:uid="{00000000-0010-0000-0100-000006000000}" name="BOX" dataDxfId="126"/>
    <tableColumn id="7" xr3:uid="{00000000-0010-0000-0100-000007000000}" name="TRAY" dataDxfId="12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clientData" displayName="clientData" ref="A1:T50" totalsRowShown="0" headerRowDxfId="124" dataDxfId="123">
  <autoFilter ref="A1:T50" xr:uid="{00000000-0009-0000-0100-000005000000}"/>
  <sortState xmlns:xlrd2="http://schemas.microsoft.com/office/spreadsheetml/2017/richdata2" ref="A2:T50">
    <sortCondition ref="A1:A50"/>
  </sortState>
  <tableColumns count="20">
    <tableColumn id="1" xr3:uid="{00000000-0010-0000-0200-000001000000}" name="cod_cliente" dataDxfId="122"/>
    <tableColumn id="2" xr3:uid="{00000000-0010-0000-0200-000002000000}" name="country" dataDxfId="121"/>
    <tableColumn id="3" xr3:uid="{00000000-0010-0000-0200-000003000000}" name="payment_account" dataDxfId="120"/>
    <tableColumn id="4" xr3:uid="{00000000-0010-0000-0200-000004000000}" name="company_name1"/>
    <tableColumn id="5" xr3:uid="{00000000-0010-0000-0200-000005000000}" name="company_name2"/>
    <tableColumn id="6" xr3:uid="{00000000-0010-0000-0200-000006000000}" name="logistic_address1"/>
    <tableColumn id="7" xr3:uid="{00000000-0010-0000-0200-000007000000}" name="logistic_address2"/>
    <tableColumn id="8" xr3:uid="{00000000-0010-0000-0200-000008000000}" name="logistic_address3" dataDxfId="119"/>
    <tableColumn id="18" xr3:uid="{00000000-0010-0000-0200-000012000000}" name="logistic_address4" dataDxfId="118"/>
    <tableColumn id="19" xr3:uid="{00000000-0010-0000-0200-000013000000}" name="place_of_discharge" dataDxfId="117"/>
    <tableColumn id="15" xr3:uid="{00000000-0010-0000-0200-00000F000000}" name="hq_address1" dataDxfId="116"/>
    <tableColumn id="16" xr3:uid="{00000000-0010-0000-0200-000010000000}" name="hq_address2" dataDxfId="115"/>
    <tableColumn id="17" xr3:uid="{00000000-0010-0000-0200-000011000000}" name="hq_address3" dataDxfId="114"/>
    <tableColumn id="9" xr3:uid="{00000000-0010-0000-0200-000009000000}" name="vat_no" dataDxfId="113"/>
    <tableColumn id="10" xr3:uid="{00000000-0010-0000-0200-00000A000000}" name="payment_method" dataDxfId="112"/>
    <tableColumn id="11" xr3:uid="{00000000-0010-0000-0200-00000B000000}" name="incoterms"/>
    <tableColumn id="12" xr3:uid="{00000000-0010-0000-0200-00000C000000}" name="currency" dataDxfId="111"/>
    <tableColumn id="13" xr3:uid="{00000000-0010-0000-0200-00000D000000}" name="vat_code" dataDxfId="110"/>
    <tableColumn id="14" xr3:uid="{00000000-0010-0000-0200-00000E000000}" name="legal_references" dataDxfId="109"/>
    <tableColumn id="20" xr3:uid="{00000000-0010-0000-0200-000014000000}" name="notes" dataDxfId="10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alesHistory" displayName="salesHistory" ref="A1:V2" insertRow="1" totalsRowShown="0" headerRowDxfId="107" dataDxfId="106">
  <autoFilter ref="A1:V2" xr:uid="{00000000-0009-0000-0100-000004000000}"/>
  <tableColumns count="22">
    <tableColumn id="1" xr3:uid="{00000000-0010-0000-0300-000001000000}" name="order_no" dataDxfId="105"/>
    <tableColumn id="4" xr3:uid="{00000000-0010-0000-0300-000004000000}" name="sku" dataDxfId="104"/>
    <tableColumn id="7" xr3:uid="{00000000-0010-0000-0300-000007000000}" name="description" dataDxfId="103"/>
    <tableColumn id="5" xr3:uid="{00000000-0010-0000-0300-000005000000}" name="qty" dataDxfId="102"/>
    <tableColumn id="6" xr3:uid="{00000000-0010-0000-0300-000006000000}" name="price" dataDxfId="101"/>
    <tableColumn id="3" xr3:uid="{00000000-0010-0000-0300-000003000000}" name="disc_qty" dataDxfId="100"/>
    <tableColumn id="8" xr3:uid="{00000000-0010-0000-0300-000008000000}" name="disc_price" dataDxfId="99"/>
    <tableColumn id="11" xr3:uid="{00000000-0010-0000-0300-00000B000000}" name="foc_qty" dataDxfId="98"/>
    <tableColumn id="10" xr3:uid="{00000000-0010-0000-0300-00000A000000}" name="cts" dataDxfId="97"/>
    <tableColumn id="17" xr3:uid="{00000000-0010-0000-0300-000011000000}" name="cts_disc" dataDxfId="96"/>
    <tableColumn id="2" xr3:uid="{00000000-0010-0000-0300-000002000000}" name="cts_foc" dataDxfId="95"/>
    <tableColumn id="9" xr3:uid="{00000000-0010-0000-0300-000009000000}" name="net_weight" dataDxfId="94"/>
    <tableColumn id="12" xr3:uid="{00000000-0010-0000-0300-00000C000000}" name="gross_weight" dataDxfId="93"/>
    <tableColumn id="13" xr3:uid="{00000000-0010-0000-0300-00000D000000}" name="cbm" dataDxfId="92"/>
    <tableColumn id="14" xr3:uid="{00000000-0010-0000-0300-00000E000000}" name="category" dataDxfId="91"/>
    <tableColumn id="15" xr3:uid="{00000000-0010-0000-0300-00000F000000}" name="size" dataDxfId="90"/>
    <tableColumn id="16" xr3:uid="{00000000-0010-0000-0300-000010000000}" name="hs_code" dataDxfId="89"/>
    <tableColumn id="22" xr3:uid="{00000000-0010-0000-0300-000016000000}" name="qty_to_produce" dataDxfId="88"/>
    <tableColumn id="18" xr3:uid="{00000000-0010-0000-0300-000012000000}" name="cost_price" dataDxfId="87"/>
    <tableColumn id="20" xr3:uid="{00000000-0010-0000-0300-000014000000}" name="cost" dataDxfId="86"/>
    <tableColumn id="21" xr3:uid="{00000000-0010-0000-0300-000015000000}" name="tot_invoice" dataDxfId="85"/>
    <tableColumn id="19" xr3:uid="{00000000-0010-0000-0300-000013000000}" name="order_type" dataDxfId="8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orderHistory" displayName="orderHistory" ref="A1:AT2" insertRow="1" totalsRowShown="0" headerRowDxfId="83">
  <autoFilter ref="A1:AT2" xr:uid="{00000000-0009-0000-0100-000003000000}"/>
  <sortState xmlns:xlrd2="http://schemas.microsoft.com/office/spreadsheetml/2017/richdata2" ref="A2:AT2">
    <sortCondition descending="1" ref="T1:T1048509"/>
  </sortState>
  <tableColumns count="46">
    <tableColumn id="1" xr3:uid="{00000000-0010-0000-0400-000001000000}" name="order_no" dataDxfId="82"/>
    <tableColumn id="2" xr3:uid="{00000000-0010-0000-0400-000002000000}" name="order_date" dataDxfId="81"/>
    <tableColumn id="3" xr3:uid="{00000000-0010-0000-0400-000003000000}" name="customer" dataDxfId="80"/>
    <tableColumn id="4" xr3:uid="{00000000-0010-0000-0400-000004000000}" name="currency" dataDxfId="79"/>
    <tableColumn id="5" xr3:uid="{00000000-0010-0000-0400-000005000000}" name="exchange_rate" dataDxfId="78"/>
    <tableColumn id="6" xr3:uid="{00000000-0010-0000-0400-000006000000}" name="carton_no" dataDxfId="77"/>
    <tableColumn id="7" xr3:uid="{00000000-0010-0000-0400-000007000000}" name="incoterms" dataDxfId="76"/>
    <tableColumn id="8" xr3:uid="{00000000-0010-0000-0400-000008000000}" name="pallet_type" dataDxfId="75"/>
    <tableColumn id="9" xr3:uid="{00000000-0010-0000-0400-000009000000}" name="pallet_no" dataDxfId="74"/>
    <tableColumn id="30" xr3:uid="{00000000-0010-0000-0400-00001E000000}" name="max_height" dataDxfId="73"/>
    <tableColumn id="31" xr3:uid="{00000000-0010-0000-0400-00001F000000}" name="port_of_loading" dataDxfId="72"/>
    <tableColumn id="24" xr3:uid="{00000000-0010-0000-0400-000018000000}" name="net_weight" dataDxfId="71"/>
    <tableColumn id="23" xr3:uid="{00000000-0010-0000-0400-000017000000}" name="gross_weight" dataDxfId="70"/>
    <tableColumn id="10" xr3:uid="{00000000-0010-0000-0400-00000A000000}" name="cbm" dataDxfId="69"/>
    <tableColumn id="11" xr3:uid="{00000000-0010-0000-0400-00000B000000}" name="carrier_name" dataDxfId="68"/>
    <tableColumn id="12" xr3:uid="{00000000-0010-0000-0400-00000C000000}" name="carrier_cost" dataDxfId="67"/>
    <tableColumn id="25" xr3:uid="{00000000-0010-0000-0400-000019000000}" name="other_cost" dataDxfId="66"/>
    <tableColumn id="13" xr3:uid="{00000000-0010-0000-0400-00000D000000}" name="status" dataDxfId="65"/>
    <tableColumn id="14" xr3:uid="{00000000-0010-0000-0400-00000E000000}" name="place_discharge" dataDxfId="64"/>
    <tableColumn id="15" xr3:uid="{00000000-0010-0000-0400-00000F000000}" name="invoice_no" dataDxfId="63"/>
    <tableColumn id="16" xr3:uid="{00000000-0010-0000-0400-000010000000}" name="invoice_date" dataDxfId="62"/>
    <tableColumn id="37" xr3:uid="{00000000-0010-0000-0400-000025000000}" name="order_type" dataDxfId="61"/>
    <tableColumn id="17" xr3:uid="{00000000-0010-0000-0400-000011000000}" name="payment_type" dataDxfId="60"/>
    <tableColumn id="18" xr3:uid="{00000000-0010-0000-0400-000012000000}" name="payment_date" dataDxfId="30"/>
    <tableColumn id="19" xr3:uid="{00000000-0010-0000-0400-000013000000}" name="payed" dataDxfId="28"/>
    <tableColumn id="20" xr3:uid="{00000000-0010-0000-0400-000014000000}" name="cost_of_goods" dataDxfId="29"/>
    <tableColumn id="21" xr3:uid="{00000000-0010-0000-0400-000015000000}" name="inv_amount" dataDxfId="59"/>
    <tableColumn id="22" xr3:uid="{00000000-0010-0000-0400-000016000000}" name="profit" dataDxfId="58"/>
    <tableColumn id="26" xr3:uid="{00000000-0010-0000-0400-00001A000000}" name="labor_hours" dataDxfId="57"/>
    <tableColumn id="27" xr3:uid="{00000000-0010-0000-0400-00001B000000}" name="labor_cost" dataDxfId="56"/>
    <tableColumn id="28" xr3:uid="{00000000-0010-0000-0400-00001C000000}" name="production_no" dataDxfId="55"/>
    <tableColumn id="29" xr3:uid="{00000000-0010-0000-0400-00001D000000}" name="produced" dataDxfId="33"/>
    <tableColumn id="32" xr3:uid="{00000000-0010-0000-0400-000020000000}" name="lock_goods" dataDxfId="31"/>
    <tableColumn id="33" xr3:uid="{00000000-0010-0000-0400-000021000000}" name="other_cost_desc" dataDxfId="32"/>
    <tableColumn id="34" xr3:uid="{00000000-0010-0000-0400-000022000000}" name="order_notes" dataDxfId="54"/>
    <tableColumn id="35" xr3:uid="{00000000-0010-0000-0400-000023000000}" name="shipping_method" dataDxfId="53"/>
    <tableColumn id="36" xr3:uid="{00000000-0010-0000-0400-000024000000}" name="accountable" dataDxfId="52"/>
    <tableColumn id="38" xr3:uid="{00000000-0010-0000-0400-000026000000}" name="vessel_name" dataDxfId="51"/>
    <tableColumn id="39" xr3:uid="{00000000-0010-0000-0400-000027000000}" name="container_no" dataDxfId="50"/>
    <tableColumn id="40" xr3:uid="{00000000-0010-0000-0400-000028000000}" name="container_type" dataDxfId="49"/>
    <tableColumn id="41" xr3:uid="{00000000-0010-0000-0400-000029000000}" name="seal_no" dataDxfId="48"/>
    <tableColumn id="42" xr3:uid="{00000000-0010-0000-0400-00002A000000}" name="pickup_date" dataDxfId="47"/>
    <tableColumn id="43" xr3:uid="{00000000-0010-0000-0400-00002B000000}" name="shipping_address1" dataDxfId="46"/>
    <tableColumn id="44" xr3:uid="{00000000-0010-0000-0400-00002C000000}" name="shipping_address2" dataDxfId="45"/>
    <tableColumn id="45" xr3:uid="{00000000-0010-0000-0400-00002D000000}" name="shipping_address3" dataDxfId="44"/>
    <tableColumn id="46" xr3:uid="{00000000-0010-0000-0400-00002E000000}" name="shipping_address4" dataDxfId="4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inventory" displayName="inventory" ref="A1:E186" totalsRowShown="0" headerRowDxfId="42">
  <autoFilter ref="A1:E186" xr:uid="{00000000-0009-0000-0100-000007000000}"/>
  <sortState xmlns:xlrd2="http://schemas.microsoft.com/office/spreadsheetml/2017/richdata2" ref="A2:E186">
    <sortCondition ref="B1:B186"/>
  </sortState>
  <tableColumns count="5">
    <tableColumn id="1" xr3:uid="{00000000-0010-0000-0500-000001000000}" name="ARTICOLO" dataDxfId="41"/>
    <tableColumn id="2" xr3:uid="{00000000-0010-0000-0500-000002000000}" name="DESCRIZIONE"/>
    <tableColumn id="3" xr3:uid="{00000000-0010-0000-0500-000003000000}" name="U.M." dataDxfId="40"/>
    <tableColumn id="4" xr3:uid="{00000000-0010-0000-0500-000004000000}" name="ESISTENZA" dataDxfId="39"/>
    <tableColumn id="5" xr3:uid="{00000000-0010-0000-0500-000005000000}" name="COSTO UNITARIO" dataCellStyle="Valuta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carriers" displayName="carriers" ref="A1:I12" totalsRowShown="0" headerRowDxfId="38">
  <autoFilter ref="A1:I12" xr:uid="{00000000-0009-0000-0100-000008000000}"/>
  <tableColumns count="9">
    <tableColumn id="1" xr3:uid="{00000000-0010-0000-0600-000001000000}" name="CARRIER_CODE"/>
    <tableColumn id="7" xr3:uid="{00000000-0010-0000-0600-000007000000}" name="CARRIER_NAME"/>
    <tableColumn id="2" xr3:uid="{00000000-0010-0000-0600-000002000000}" name="ADDRESS LINE 1"/>
    <tableColumn id="3" xr3:uid="{00000000-0010-0000-0600-000003000000}" name="ADDRESS LINE 2"/>
    <tableColumn id="4" xr3:uid="{00000000-0010-0000-0600-000004000000}" name="ADDRESS LINE 3"/>
    <tableColumn id="5" xr3:uid="{00000000-0010-0000-0600-000005000000}" name="ADDRESS LINE 4"/>
    <tableColumn id="6" xr3:uid="{00000000-0010-0000-0600-000006000000}" name="VAT NO" dataDxfId="37"/>
    <tableColumn id="8" xr3:uid="{00000000-0010-0000-0600-000008000000}" name="TEL" dataDxfId="36"/>
    <tableColumn id="9" xr3:uid="{00000000-0010-0000-0600-000009000000}" name="TEL2" dataDxfId="3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production" displayName="production" ref="A1:H2" insertRow="1" totalsRowShown="0" headerRowDxfId="34">
  <autoFilter ref="A1:H2" xr:uid="{00000000-0009-0000-0100-000006000000}"/>
  <tableColumns count="8">
    <tableColumn id="1" xr3:uid="{00000000-0010-0000-0700-000001000000}" name="production_id"/>
    <tableColumn id="2" xr3:uid="{00000000-0010-0000-0700-000002000000}" name="description"/>
    <tableColumn id="3" xr3:uid="{00000000-0010-0000-0700-000003000000}" name="prod_destroyed1"/>
    <tableColumn id="4" xr3:uid="{00000000-0010-0000-0700-000004000000}" name="prod_destroyed2"/>
    <tableColumn id="5" xr3:uid="{00000000-0010-0000-0700-000005000000}" name="prod_destroyed3"/>
    <tableColumn id="6" xr3:uid="{00000000-0010-0000-0700-000006000000}" name="prod_destroyed4"/>
    <tableColumn id="7" xr3:uid="{00000000-0010-0000-0700-000007000000}" name="prod_destroyed5"/>
    <tableColumn id="8" xr3:uid="{00000000-0010-0000-0700-000008000000}" name="prod_buil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BK192"/>
  <sheetViews>
    <sheetView zoomScale="90" zoomScaleNormal="90" workbookViewId="0">
      <pane ySplit="1" topLeftCell="A137" activePane="bottomLeft" state="frozen"/>
      <selection activeCell="H25" sqref="H25"/>
      <selection pane="bottomLeft" activeCell="G2" sqref="G2:G180"/>
    </sheetView>
  </sheetViews>
  <sheetFormatPr defaultColWidth="9.1796875" defaultRowHeight="14.5" x14ac:dyDescent="0.35"/>
  <cols>
    <col min="1" max="1" width="8.453125" style="61" bestFit="1" customWidth="1"/>
    <col min="2" max="2" width="21.54296875" style="61" customWidth="1"/>
    <col min="3" max="3" width="16.453125" style="61" customWidth="1"/>
    <col min="4" max="4" width="8.453125" style="61" bestFit="1" customWidth="1"/>
    <col min="5" max="5" width="15.81640625" style="61" customWidth="1"/>
    <col min="6" max="6" width="19.7265625" style="303" bestFit="1" customWidth="1"/>
    <col min="7" max="7" width="67.26953125" style="57" bestFit="1" customWidth="1"/>
    <col min="8" max="8" width="8.7265625" style="58" bestFit="1" customWidth="1"/>
    <col min="9" max="9" width="18.1796875" style="61" customWidth="1"/>
    <col min="10" max="10" width="19.81640625" style="61" customWidth="1"/>
    <col min="11" max="11" width="17" style="61" customWidth="1"/>
    <col min="12" max="12" width="20.54296875" style="61" bestFit="1" customWidth="1"/>
    <col min="13" max="13" width="18.7265625" style="61" customWidth="1"/>
    <col min="14" max="14" width="21" style="61" bestFit="1" customWidth="1"/>
    <col min="15" max="15" width="16.1796875" style="61" customWidth="1"/>
    <col min="19" max="19" width="13" style="58" bestFit="1" customWidth="1"/>
    <col min="20" max="20" width="15.1796875" style="58" customWidth="1"/>
    <col min="21" max="21" width="8.81640625" style="58" customWidth="1"/>
    <col min="22" max="22" width="13.1796875" style="58" customWidth="1"/>
    <col min="23" max="23" width="15" style="58" customWidth="1"/>
    <col min="24" max="26" width="18.1796875" style="58" bestFit="1" customWidth="1"/>
    <col min="27" max="27" width="17.81640625" style="58" customWidth="1"/>
    <col min="28" max="28" width="19.54296875" style="57" customWidth="1"/>
    <col min="29" max="29" width="12.453125" style="224" customWidth="1"/>
    <col min="30" max="30" width="21.54296875" style="58" customWidth="1"/>
    <col min="31" max="31" width="16.453125" style="58" customWidth="1"/>
    <col min="32" max="34" width="9.1796875" style="57"/>
    <col min="35" max="35" width="12.54296875" style="57" customWidth="1"/>
    <col min="36" max="62" width="9.1796875" style="57"/>
    <col min="64" max="16384" width="9.1796875" style="57"/>
  </cols>
  <sheetData>
    <row r="1" spans="1:63" s="62" customFormat="1" ht="28.5" customHeight="1" x14ac:dyDescent="0.35">
      <c r="A1" s="62" t="s">
        <v>0</v>
      </c>
      <c r="B1" s="62" t="s">
        <v>1</v>
      </c>
      <c r="C1" s="62" t="s">
        <v>2</v>
      </c>
      <c r="D1" s="62" t="s">
        <v>3</v>
      </c>
      <c r="E1" s="62" t="s">
        <v>4</v>
      </c>
      <c r="F1" s="309" t="s">
        <v>5</v>
      </c>
      <c r="G1" s="62" t="s">
        <v>6</v>
      </c>
      <c r="H1" s="62" t="s">
        <v>7</v>
      </c>
      <c r="I1" s="62" t="s">
        <v>8</v>
      </c>
      <c r="J1" s="62" t="s">
        <v>929</v>
      </c>
      <c r="K1" s="62" t="s">
        <v>9</v>
      </c>
      <c r="L1" s="62" t="s">
        <v>1104</v>
      </c>
      <c r="M1" s="62" t="s">
        <v>11</v>
      </c>
      <c r="N1" s="62" t="s">
        <v>1103</v>
      </c>
      <c r="O1" s="62" t="s">
        <v>10</v>
      </c>
      <c r="P1" s="62" t="s">
        <v>12</v>
      </c>
      <c r="Q1" s="62" t="s">
        <v>13</v>
      </c>
      <c r="R1" s="62" t="s">
        <v>14</v>
      </c>
      <c r="S1" s="62" t="s">
        <v>15</v>
      </c>
      <c r="T1" s="62" t="s">
        <v>16</v>
      </c>
      <c r="U1" s="62" t="s">
        <v>1105</v>
      </c>
      <c r="V1" s="62" t="s">
        <v>1106</v>
      </c>
      <c r="W1" s="62" t="s">
        <v>17</v>
      </c>
      <c r="X1" s="62" t="s">
        <v>18</v>
      </c>
      <c r="Y1" s="62" t="s">
        <v>19</v>
      </c>
      <c r="Z1" s="62" t="s">
        <v>20</v>
      </c>
      <c r="AA1" s="62" t="s">
        <v>21</v>
      </c>
      <c r="AB1" s="62" t="s">
        <v>22</v>
      </c>
      <c r="AD1" s="62" t="str">
        <f>IFERROR(bhpc_data[[#This Row],[net_weight]]*bhpc_data[[#This Row],[product1_weight]]/bhpc_data[[#This Row],[units_per_carton]]*#REF!,"")</f>
        <v/>
      </c>
    </row>
    <row r="2" spans="1:63" x14ac:dyDescent="0.35">
      <c r="A2" s="61" t="s">
        <v>79</v>
      </c>
      <c r="B2" s="61" t="s">
        <v>25</v>
      </c>
      <c r="C2" s="61">
        <v>2</v>
      </c>
      <c r="D2" s="61" t="s">
        <v>26</v>
      </c>
      <c r="E2" s="59">
        <v>6291107161006</v>
      </c>
      <c r="G2" s="57" t="s">
        <v>80</v>
      </c>
      <c r="H2" s="58" t="s">
        <v>28</v>
      </c>
      <c r="I2" s="61">
        <v>12</v>
      </c>
      <c r="J2" s="61">
        <v>48</v>
      </c>
      <c r="K2" s="223">
        <v>48</v>
      </c>
      <c r="M2" s="61">
        <v>6</v>
      </c>
      <c r="N2" s="223"/>
      <c r="O2" s="61">
        <v>8</v>
      </c>
      <c r="P2" s="58">
        <v>472</v>
      </c>
      <c r="Q2" s="58">
        <v>344</v>
      </c>
      <c r="R2" s="58">
        <v>201</v>
      </c>
      <c r="S2" s="58">
        <v>5.85</v>
      </c>
      <c r="T2" s="58">
        <v>6.6</v>
      </c>
      <c r="U2" s="58">
        <v>100</v>
      </c>
      <c r="V2" s="58">
        <v>175</v>
      </c>
      <c r="W2" s="58">
        <v>0</v>
      </c>
      <c r="X2" s="58">
        <v>0.55000000000000004</v>
      </c>
      <c r="Y2" s="58">
        <v>0.45</v>
      </c>
      <c r="Z2" s="58">
        <v>0</v>
      </c>
      <c r="AA2" s="58">
        <v>0</v>
      </c>
      <c r="AB2" s="58" t="s">
        <v>29</v>
      </c>
      <c r="AC2" s="57"/>
      <c r="AD2" s="57"/>
      <c r="AE2" s="57"/>
      <c r="BH2"/>
      <c r="BK2" s="57"/>
    </row>
    <row r="3" spans="1:63" x14ac:dyDescent="0.35">
      <c r="A3" s="61" t="s">
        <v>81</v>
      </c>
      <c r="B3" s="61" t="s">
        <v>25</v>
      </c>
      <c r="C3" s="61">
        <v>2</v>
      </c>
      <c r="D3" s="61" t="s">
        <v>26</v>
      </c>
      <c r="E3" s="59">
        <v>6291107161006</v>
      </c>
      <c r="G3" s="57" t="s">
        <v>82</v>
      </c>
      <c r="H3" s="58" t="s">
        <v>28</v>
      </c>
      <c r="I3" s="61">
        <v>12</v>
      </c>
      <c r="J3" s="61">
        <v>48</v>
      </c>
      <c r="K3" s="223">
        <v>48</v>
      </c>
      <c r="M3" s="61">
        <v>6</v>
      </c>
      <c r="N3" s="223"/>
      <c r="O3" s="61">
        <v>8</v>
      </c>
      <c r="P3" s="58">
        <v>472</v>
      </c>
      <c r="Q3" s="58">
        <v>344</v>
      </c>
      <c r="R3" s="58">
        <v>201</v>
      </c>
      <c r="S3" s="58">
        <v>5.85</v>
      </c>
      <c r="T3" s="58">
        <v>6.6</v>
      </c>
      <c r="U3" s="58">
        <v>100</v>
      </c>
      <c r="V3" s="58">
        <v>175</v>
      </c>
      <c r="W3" s="58">
        <v>0</v>
      </c>
      <c r="X3" s="58">
        <v>0.55000000000000004</v>
      </c>
      <c r="Y3" s="58">
        <v>0.45</v>
      </c>
      <c r="Z3" s="58">
        <v>0</v>
      </c>
      <c r="AA3" s="58">
        <v>0</v>
      </c>
      <c r="AB3" s="58" t="s">
        <v>29</v>
      </c>
      <c r="AC3" s="57"/>
      <c r="AD3" s="57"/>
      <c r="AE3" s="57"/>
      <c r="BH3"/>
      <c r="BK3" s="57"/>
    </row>
    <row r="4" spans="1:63" x14ac:dyDescent="0.35">
      <c r="A4" s="61" t="s">
        <v>83</v>
      </c>
      <c r="B4" s="61" t="s">
        <v>25</v>
      </c>
      <c r="C4" s="61">
        <v>2</v>
      </c>
      <c r="D4" s="61" t="s">
        <v>26</v>
      </c>
      <c r="E4" s="59">
        <v>6291107161013</v>
      </c>
      <c r="G4" s="57" t="s">
        <v>84</v>
      </c>
      <c r="H4" s="58" t="s">
        <v>28</v>
      </c>
      <c r="I4" s="61">
        <v>12</v>
      </c>
      <c r="J4" s="61">
        <v>48</v>
      </c>
      <c r="K4" s="223">
        <v>48</v>
      </c>
      <c r="M4" s="61">
        <v>6</v>
      </c>
      <c r="N4" s="223"/>
      <c r="O4" s="61">
        <v>8</v>
      </c>
      <c r="P4" s="58">
        <v>472</v>
      </c>
      <c r="Q4" s="58">
        <v>344</v>
      </c>
      <c r="R4" s="58">
        <v>201</v>
      </c>
      <c r="S4" s="58">
        <v>5.85</v>
      </c>
      <c r="T4" s="58">
        <v>6.6</v>
      </c>
      <c r="U4" s="58">
        <v>100</v>
      </c>
      <c r="V4" s="58">
        <v>175</v>
      </c>
      <c r="W4" s="58">
        <v>0</v>
      </c>
      <c r="X4" s="58">
        <v>0.55000000000000004</v>
      </c>
      <c r="Y4" s="58">
        <v>0.45</v>
      </c>
      <c r="Z4" s="58">
        <v>0</v>
      </c>
      <c r="AA4" s="58">
        <v>0</v>
      </c>
      <c r="AB4" s="58" t="s">
        <v>29</v>
      </c>
      <c r="AC4" s="57"/>
      <c r="AD4" s="57"/>
      <c r="AE4" s="57"/>
      <c r="BH4"/>
      <c r="BK4" s="57"/>
    </row>
    <row r="5" spans="1:63" x14ac:dyDescent="0.35">
      <c r="A5" s="61" t="s">
        <v>85</v>
      </c>
      <c r="B5" s="61" t="s">
        <v>25</v>
      </c>
      <c r="C5" s="61">
        <v>2</v>
      </c>
      <c r="D5" s="61" t="s">
        <v>26</v>
      </c>
      <c r="E5" s="59">
        <v>6291107161020</v>
      </c>
      <c r="G5" s="57" t="s">
        <v>86</v>
      </c>
      <c r="H5" s="58" t="s">
        <v>28</v>
      </c>
      <c r="I5" s="61">
        <v>12</v>
      </c>
      <c r="J5" s="61">
        <v>48</v>
      </c>
      <c r="K5" s="223">
        <v>48</v>
      </c>
      <c r="M5" s="61">
        <v>6</v>
      </c>
      <c r="N5" s="223"/>
      <c r="O5" s="61">
        <v>8</v>
      </c>
      <c r="P5" s="58">
        <v>472</v>
      </c>
      <c r="Q5" s="58">
        <v>344</v>
      </c>
      <c r="R5" s="58">
        <v>201</v>
      </c>
      <c r="S5" s="58">
        <v>5.85</v>
      </c>
      <c r="T5" s="58">
        <v>6.6</v>
      </c>
      <c r="U5" s="58">
        <v>100</v>
      </c>
      <c r="V5" s="58">
        <v>175</v>
      </c>
      <c r="W5" s="58">
        <v>0</v>
      </c>
      <c r="X5" s="58">
        <v>0.55000000000000004</v>
      </c>
      <c r="Y5" s="58">
        <v>0.45</v>
      </c>
      <c r="Z5" s="58">
        <v>0</v>
      </c>
      <c r="AA5" s="58">
        <v>0</v>
      </c>
      <c r="AB5" s="58" t="s">
        <v>29</v>
      </c>
      <c r="AC5" s="57"/>
      <c r="AD5" s="57"/>
      <c r="AE5" s="57"/>
      <c r="BH5"/>
      <c r="BK5" s="57"/>
    </row>
    <row r="6" spans="1:63" x14ac:dyDescent="0.35">
      <c r="A6" s="61" t="s">
        <v>24</v>
      </c>
      <c r="B6" s="61" t="s">
        <v>25</v>
      </c>
      <c r="C6" s="61">
        <v>2</v>
      </c>
      <c r="D6" s="61" t="s">
        <v>26</v>
      </c>
      <c r="E6" s="59">
        <v>6291107160993</v>
      </c>
      <c r="G6" s="57" t="s">
        <v>27</v>
      </c>
      <c r="H6" s="58" t="s">
        <v>28</v>
      </c>
      <c r="I6" s="61">
        <v>12</v>
      </c>
      <c r="J6" s="61">
        <v>42</v>
      </c>
      <c r="K6" s="223">
        <v>63</v>
      </c>
      <c r="M6" s="61">
        <v>7</v>
      </c>
      <c r="N6" s="223"/>
      <c r="O6" s="61">
        <v>6</v>
      </c>
      <c r="P6" s="58">
        <v>370</v>
      </c>
      <c r="Q6" s="58">
        <v>330</v>
      </c>
      <c r="R6" s="58">
        <v>230</v>
      </c>
      <c r="S6" s="58">
        <v>5.04</v>
      </c>
      <c r="T6" s="58">
        <v>5.79</v>
      </c>
      <c r="U6" s="58">
        <v>50</v>
      </c>
      <c r="V6" s="58">
        <v>175</v>
      </c>
      <c r="W6" s="58">
        <v>0</v>
      </c>
      <c r="X6" s="58">
        <v>0.55000000000000004</v>
      </c>
      <c r="Y6" s="58">
        <v>0.45</v>
      </c>
      <c r="Z6" s="58">
        <v>0</v>
      </c>
      <c r="AA6" s="58">
        <v>0</v>
      </c>
      <c r="AB6" s="58" t="s">
        <v>29</v>
      </c>
      <c r="AC6" s="57"/>
      <c r="AD6" s="57"/>
      <c r="AE6" s="57"/>
      <c r="BH6"/>
      <c r="BK6" s="57"/>
    </row>
    <row r="7" spans="1:63" x14ac:dyDescent="0.35">
      <c r="A7" s="61" t="s">
        <v>30</v>
      </c>
      <c r="B7" s="61" t="s">
        <v>25</v>
      </c>
      <c r="C7" s="61">
        <v>2</v>
      </c>
      <c r="D7" s="61" t="s">
        <v>26</v>
      </c>
      <c r="E7" s="59">
        <v>6291107161006</v>
      </c>
      <c r="G7" s="57" t="s">
        <v>31</v>
      </c>
      <c r="H7" s="58" t="s">
        <v>28</v>
      </c>
      <c r="I7" s="61">
        <v>12</v>
      </c>
      <c r="J7" s="61">
        <v>42</v>
      </c>
      <c r="K7" s="223">
        <v>63</v>
      </c>
      <c r="M7" s="61">
        <v>7</v>
      </c>
      <c r="N7" s="223"/>
      <c r="O7" s="61">
        <v>6</v>
      </c>
      <c r="P7" s="58">
        <v>370</v>
      </c>
      <c r="Q7" s="58">
        <v>330</v>
      </c>
      <c r="R7" s="58">
        <v>230</v>
      </c>
      <c r="S7" s="58">
        <v>5.04</v>
      </c>
      <c r="T7" s="58">
        <v>5.79</v>
      </c>
      <c r="U7" s="58">
        <v>50</v>
      </c>
      <c r="V7" s="58">
        <v>175</v>
      </c>
      <c r="W7" s="58">
        <v>0</v>
      </c>
      <c r="X7" s="58">
        <v>0.55000000000000004</v>
      </c>
      <c r="Y7" s="58">
        <v>0.45</v>
      </c>
      <c r="Z7" s="58">
        <v>0</v>
      </c>
      <c r="AA7" s="58">
        <v>0</v>
      </c>
      <c r="AB7" s="58" t="s">
        <v>29</v>
      </c>
      <c r="AC7" s="57"/>
      <c r="AD7" s="57"/>
      <c r="AE7" s="57"/>
      <c r="BH7"/>
      <c r="BK7" s="57"/>
    </row>
    <row r="8" spans="1:63" x14ac:dyDescent="0.35">
      <c r="A8" s="61" t="s">
        <v>32</v>
      </c>
      <c r="B8" s="61" t="s">
        <v>25</v>
      </c>
      <c r="C8" s="61">
        <v>2</v>
      </c>
      <c r="D8" s="61" t="s">
        <v>26</v>
      </c>
      <c r="E8" s="59">
        <v>6291107161013</v>
      </c>
      <c r="G8" s="57" t="s">
        <v>33</v>
      </c>
      <c r="H8" s="58" t="s">
        <v>28</v>
      </c>
      <c r="I8" s="61">
        <v>12</v>
      </c>
      <c r="J8" s="61">
        <v>42</v>
      </c>
      <c r="K8" s="223">
        <v>63</v>
      </c>
      <c r="M8" s="61">
        <v>7</v>
      </c>
      <c r="N8" s="223"/>
      <c r="O8" s="61">
        <v>6</v>
      </c>
      <c r="P8" s="58">
        <v>370</v>
      </c>
      <c r="Q8" s="58">
        <v>330</v>
      </c>
      <c r="R8" s="58">
        <v>230</v>
      </c>
      <c r="S8" s="58">
        <v>5.04</v>
      </c>
      <c r="T8" s="58">
        <v>5.79</v>
      </c>
      <c r="U8" s="58">
        <v>50</v>
      </c>
      <c r="V8" s="58">
        <v>175</v>
      </c>
      <c r="W8" s="58">
        <v>0</v>
      </c>
      <c r="X8" s="58">
        <v>0.55000000000000004</v>
      </c>
      <c r="Y8" s="58">
        <v>0.45</v>
      </c>
      <c r="Z8" s="58">
        <v>0</v>
      </c>
      <c r="AA8" s="58">
        <v>0</v>
      </c>
      <c r="AB8" s="58" t="s">
        <v>29</v>
      </c>
      <c r="AC8" s="57"/>
      <c r="AD8" s="57"/>
      <c r="AE8" s="57"/>
      <c r="BH8"/>
      <c r="BK8" s="57"/>
    </row>
    <row r="9" spans="1:63" x14ac:dyDescent="0.35">
      <c r="A9" s="61" t="s">
        <v>34</v>
      </c>
      <c r="B9" s="61" t="s">
        <v>25</v>
      </c>
      <c r="C9" s="61">
        <v>2</v>
      </c>
      <c r="D9" s="61" t="s">
        <v>26</v>
      </c>
      <c r="E9" s="59">
        <v>6291107161020</v>
      </c>
      <c r="G9" s="57" t="s">
        <v>35</v>
      </c>
      <c r="H9" s="58" t="s">
        <v>28</v>
      </c>
      <c r="I9" s="61">
        <v>12</v>
      </c>
      <c r="J9" s="61">
        <v>42</v>
      </c>
      <c r="K9" s="223">
        <v>63</v>
      </c>
      <c r="M9" s="61">
        <v>7</v>
      </c>
      <c r="N9" s="223"/>
      <c r="O9" s="61">
        <v>6</v>
      </c>
      <c r="P9" s="58">
        <v>370</v>
      </c>
      <c r="Q9" s="58">
        <v>330</v>
      </c>
      <c r="R9" s="58">
        <v>230</v>
      </c>
      <c r="S9" s="58">
        <v>5.04</v>
      </c>
      <c r="T9" s="58">
        <v>5.79</v>
      </c>
      <c r="U9" s="58">
        <v>50</v>
      </c>
      <c r="V9" s="58">
        <v>175</v>
      </c>
      <c r="W9" s="58">
        <v>0</v>
      </c>
      <c r="X9" s="58">
        <v>0.55000000000000004</v>
      </c>
      <c r="Y9" s="58">
        <v>0.45</v>
      </c>
      <c r="Z9" s="58">
        <v>0</v>
      </c>
      <c r="AA9" s="58">
        <v>0</v>
      </c>
      <c r="AB9" s="58" t="s">
        <v>29</v>
      </c>
      <c r="AC9" s="57"/>
      <c r="AD9" s="57"/>
      <c r="AE9" s="57"/>
      <c r="BH9"/>
      <c r="BK9" s="57"/>
    </row>
    <row r="10" spans="1:63" x14ac:dyDescent="0.35">
      <c r="A10" s="61" t="s">
        <v>36</v>
      </c>
      <c r="B10" s="61" t="s">
        <v>25</v>
      </c>
      <c r="C10" s="61">
        <v>2</v>
      </c>
      <c r="D10" s="61" t="s">
        <v>37</v>
      </c>
      <c r="E10" s="59">
        <v>6291107161037</v>
      </c>
      <c r="G10" s="57" t="s">
        <v>38</v>
      </c>
      <c r="H10" s="58" t="s">
        <v>28</v>
      </c>
      <c r="I10" s="61">
        <v>12</v>
      </c>
      <c r="J10" s="61">
        <v>42</v>
      </c>
      <c r="K10" s="223">
        <v>63</v>
      </c>
      <c r="M10" s="61">
        <v>7</v>
      </c>
      <c r="N10" s="223"/>
      <c r="O10" s="61">
        <v>6</v>
      </c>
      <c r="P10" s="58">
        <v>370</v>
      </c>
      <c r="Q10" s="58">
        <v>330</v>
      </c>
      <c r="R10" s="58">
        <v>230</v>
      </c>
      <c r="S10" s="58">
        <v>4.78</v>
      </c>
      <c r="T10" s="58">
        <v>5.25</v>
      </c>
      <c r="U10" s="58">
        <v>50</v>
      </c>
      <c r="V10" s="58">
        <v>150</v>
      </c>
      <c r="W10" s="58">
        <v>0</v>
      </c>
      <c r="X10" s="58">
        <v>0.55000000000000004</v>
      </c>
      <c r="Y10" s="58">
        <v>0.45</v>
      </c>
      <c r="Z10" s="58">
        <v>0</v>
      </c>
      <c r="AA10" s="58">
        <v>0</v>
      </c>
      <c r="AB10" s="58" t="s">
        <v>29</v>
      </c>
      <c r="AC10" s="57"/>
      <c r="AD10" s="57"/>
      <c r="AE10" s="57"/>
      <c r="BH10"/>
      <c r="BK10" s="57"/>
    </row>
    <row r="11" spans="1:63" x14ac:dyDescent="0.35">
      <c r="A11" s="61" t="s">
        <v>39</v>
      </c>
      <c r="B11" s="61" t="s">
        <v>25</v>
      </c>
      <c r="C11" s="61">
        <v>2</v>
      </c>
      <c r="D11" s="61" t="s">
        <v>37</v>
      </c>
      <c r="E11" s="59">
        <v>6291107161044</v>
      </c>
      <c r="G11" s="57" t="s">
        <v>40</v>
      </c>
      <c r="H11" s="58" t="s">
        <v>28</v>
      </c>
      <c r="I11" s="61">
        <v>12</v>
      </c>
      <c r="J11" s="61">
        <v>42</v>
      </c>
      <c r="K11" s="223">
        <v>63</v>
      </c>
      <c r="M11" s="61">
        <v>7</v>
      </c>
      <c r="N11" s="223"/>
      <c r="O11" s="61">
        <v>6</v>
      </c>
      <c r="P11" s="58">
        <v>370</v>
      </c>
      <c r="Q11" s="58">
        <v>330</v>
      </c>
      <c r="R11" s="58">
        <v>230</v>
      </c>
      <c r="S11" s="58">
        <v>4.78</v>
      </c>
      <c r="T11" s="58">
        <v>5.25</v>
      </c>
      <c r="U11" s="58">
        <v>50</v>
      </c>
      <c r="V11" s="58">
        <v>150</v>
      </c>
      <c r="W11" s="58">
        <v>0</v>
      </c>
      <c r="X11" s="58">
        <v>0.55000000000000004</v>
      </c>
      <c r="Y11" s="58">
        <v>0.45</v>
      </c>
      <c r="Z11" s="58">
        <v>0</v>
      </c>
      <c r="AA11" s="58">
        <v>0</v>
      </c>
      <c r="AB11" s="58" t="s">
        <v>29</v>
      </c>
      <c r="AC11" s="57"/>
      <c r="AD11" s="57"/>
      <c r="AE11" s="57"/>
      <c r="BH11"/>
      <c r="BK11" s="57"/>
    </row>
    <row r="12" spans="1:63" x14ac:dyDescent="0.35">
      <c r="A12" s="61" t="s">
        <v>41</v>
      </c>
      <c r="B12" s="61" t="s">
        <v>25</v>
      </c>
      <c r="C12" s="61">
        <v>2</v>
      </c>
      <c r="D12" s="61" t="s">
        <v>37</v>
      </c>
      <c r="E12" s="59">
        <v>6291107161051</v>
      </c>
      <c r="G12" s="57" t="s">
        <v>42</v>
      </c>
      <c r="H12" s="58" t="s">
        <v>28</v>
      </c>
      <c r="I12" s="61">
        <v>12</v>
      </c>
      <c r="J12" s="61">
        <v>42</v>
      </c>
      <c r="K12" s="223">
        <v>63</v>
      </c>
      <c r="M12" s="61">
        <v>7</v>
      </c>
      <c r="N12" s="223"/>
      <c r="O12" s="61">
        <v>6</v>
      </c>
      <c r="P12" s="58">
        <v>370</v>
      </c>
      <c r="Q12" s="58">
        <v>330</v>
      </c>
      <c r="R12" s="58">
        <v>230</v>
      </c>
      <c r="S12" s="58">
        <v>4.78</v>
      </c>
      <c r="T12" s="58">
        <v>5.25</v>
      </c>
      <c r="U12" s="58">
        <v>50</v>
      </c>
      <c r="V12" s="58">
        <v>150</v>
      </c>
      <c r="W12" s="58">
        <v>0</v>
      </c>
      <c r="X12" s="58">
        <v>0.55000000000000004</v>
      </c>
      <c r="Y12" s="58">
        <v>0.45</v>
      </c>
      <c r="Z12" s="58">
        <v>0</v>
      </c>
      <c r="AA12" s="58">
        <v>0</v>
      </c>
      <c r="AB12" s="58" t="s">
        <v>29</v>
      </c>
      <c r="AC12" s="57"/>
      <c r="AD12" s="57"/>
      <c r="AE12" s="57"/>
      <c r="BH12"/>
      <c r="BK12" s="57"/>
    </row>
    <row r="13" spans="1:63" x14ac:dyDescent="0.35">
      <c r="A13" s="61" t="s">
        <v>43</v>
      </c>
      <c r="B13" s="61" t="s">
        <v>25</v>
      </c>
      <c r="C13" s="61">
        <v>2</v>
      </c>
      <c r="D13" s="61" t="s">
        <v>37</v>
      </c>
      <c r="E13" s="59">
        <v>6291107161068</v>
      </c>
      <c r="G13" s="57" t="s">
        <v>44</v>
      </c>
      <c r="H13" s="58" t="s">
        <v>28</v>
      </c>
      <c r="I13" s="61">
        <v>12</v>
      </c>
      <c r="J13" s="61">
        <v>42</v>
      </c>
      <c r="K13" s="223">
        <v>63</v>
      </c>
      <c r="M13" s="61">
        <v>7</v>
      </c>
      <c r="N13" s="223"/>
      <c r="O13" s="61">
        <v>6</v>
      </c>
      <c r="P13" s="58">
        <v>370</v>
      </c>
      <c r="Q13" s="58">
        <v>330</v>
      </c>
      <c r="R13" s="58">
        <v>230</v>
      </c>
      <c r="S13" s="58">
        <v>4.78</v>
      </c>
      <c r="T13" s="58">
        <v>5.25</v>
      </c>
      <c r="U13" s="58">
        <v>50</v>
      </c>
      <c r="V13" s="58">
        <v>150</v>
      </c>
      <c r="W13" s="58">
        <v>0</v>
      </c>
      <c r="X13" s="58">
        <v>0.55000000000000004</v>
      </c>
      <c r="Y13" s="58">
        <v>0.45</v>
      </c>
      <c r="Z13" s="58">
        <v>0</v>
      </c>
      <c r="AA13" s="58">
        <v>0</v>
      </c>
      <c r="AB13" s="58" t="s">
        <v>29</v>
      </c>
      <c r="AC13" s="57"/>
      <c r="AD13" s="57"/>
      <c r="AE13" s="57"/>
      <c r="BH13"/>
      <c r="BK13" s="57"/>
    </row>
    <row r="14" spans="1:63" x14ac:dyDescent="0.35">
      <c r="A14" s="61" t="s">
        <v>87</v>
      </c>
      <c r="B14" s="61" t="s">
        <v>25</v>
      </c>
      <c r="C14" s="61">
        <v>2</v>
      </c>
      <c r="D14" s="61" t="s">
        <v>37</v>
      </c>
      <c r="E14" s="59">
        <v>6291107161037</v>
      </c>
      <c r="G14" s="57" t="s">
        <v>88</v>
      </c>
      <c r="H14" s="58" t="s">
        <v>28</v>
      </c>
      <c r="I14" s="61">
        <v>12</v>
      </c>
      <c r="J14" s="61">
        <v>48</v>
      </c>
      <c r="K14" s="223">
        <v>48</v>
      </c>
      <c r="M14" s="61">
        <v>6</v>
      </c>
      <c r="N14" s="223"/>
      <c r="O14" s="61">
        <v>8</v>
      </c>
      <c r="P14" s="58">
        <v>460</v>
      </c>
      <c r="Q14" s="58">
        <v>340</v>
      </c>
      <c r="R14" s="58">
        <v>205</v>
      </c>
      <c r="S14" s="58">
        <v>5.25</v>
      </c>
      <c r="T14" s="58">
        <v>6</v>
      </c>
      <c r="U14" s="58">
        <v>100</v>
      </c>
      <c r="V14" s="58">
        <v>150</v>
      </c>
      <c r="W14" s="58">
        <v>0</v>
      </c>
      <c r="X14" s="58">
        <v>0.55000000000000004</v>
      </c>
      <c r="Y14" s="58">
        <v>0.45</v>
      </c>
      <c r="Z14" s="58">
        <v>0</v>
      </c>
      <c r="AA14" s="58">
        <v>0</v>
      </c>
      <c r="AB14" s="58" t="s">
        <v>29</v>
      </c>
      <c r="AC14" s="57"/>
      <c r="AD14" s="57"/>
      <c r="AE14" s="57"/>
      <c r="BH14"/>
      <c r="BK14" s="57"/>
    </row>
    <row r="15" spans="1:63" x14ac:dyDescent="0.35">
      <c r="A15" s="61" t="s">
        <v>89</v>
      </c>
      <c r="B15" s="61" t="s">
        <v>25</v>
      </c>
      <c r="C15" s="61">
        <v>2</v>
      </c>
      <c r="D15" s="61" t="s">
        <v>37</v>
      </c>
      <c r="E15" s="59">
        <v>6291107161044</v>
      </c>
      <c r="G15" s="57" t="s">
        <v>90</v>
      </c>
      <c r="H15" s="58" t="s">
        <v>28</v>
      </c>
      <c r="I15" s="61">
        <v>12</v>
      </c>
      <c r="J15" s="61">
        <v>48</v>
      </c>
      <c r="K15" s="223">
        <v>48</v>
      </c>
      <c r="M15" s="61">
        <v>6</v>
      </c>
      <c r="N15" s="223"/>
      <c r="O15" s="61">
        <v>8</v>
      </c>
      <c r="P15" s="58">
        <v>460</v>
      </c>
      <c r="Q15" s="58">
        <v>340</v>
      </c>
      <c r="R15" s="58">
        <v>205</v>
      </c>
      <c r="S15" s="58">
        <v>5.25</v>
      </c>
      <c r="T15" s="58">
        <v>6</v>
      </c>
      <c r="U15" s="58">
        <v>100</v>
      </c>
      <c r="V15" s="58">
        <v>150</v>
      </c>
      <c r="W15" s="58">
        <v>0</v>
      </c>
      <c r="X15" s="58">
        <v>0.55000000000000004</v>
      </c>
      <c r="Y15" s="58">
        <v>0.45</v>
      </c>
      <c r="Z15" s="58">
        <v>0</v>
      </c>
      <c r="AA15" s="58">
        <v>0</v>
      </c>
      <c r="AB15" s="58" t="s">
        <v>29</v>
      </c>
      <c r="AC15" s="57"/>
      <c r="AD15" s="57"/>
      <c r="AE15" s="57"/>
      <c r="BH15"/>
      <c r="BK15" s="57"/>
    </row>
    <row r="16" spans="1:63" x14ac:dyDescent="0.35">
      <c r="A16" s="61" t="s">
        <v>91</v>
      </c>
      <c r="B16" s="61" t="s">
        <v>25</v>
      </c>
      <c r="C16" s="61">
        <v>2</v>
      </c>
      <c r="D16" s="61" t="s">
        <v>37</v>
      </c>
      <c r="E16" s="59">
        <v>6291107161051</v>
      </c>
      <c r="G16" s="57" t="s">
        <v>92</v>
      </c>
      <c r="H16" s="58" t="s">
        <v>28</v>
      </c>
      <c r="I16" s="61">
        <v>12</v>
      </c>
      <c r="J16" s="61">
        <v>48</v>
      </c>
      <c r="K16" s="223">
        <v>48</v>
      </c>
      <c r="M16" s="61">
        <v>6</v>
      </c>
      <c r="N16" s="223"/>
      <c r="O16" s="61">
        <v>8</v>
      </c>
      <c r="P16" s="58">
        <v>460</v>
      </c>
      <c r="Q16" s="58">
        <v>340</v>
      </c>
      <c r="R16" s="58">
        <v>205</v>
      </c>
      <c r="S16" s="58">
        <v>5.25</v>
      </c>
      <c r="T16" s="58">
        <v>6</v>
      </c>
      <c r="U16" s="58">
        <v>100</v>
      </c>
      <c r="V16" s="58">
        <v>150</v>
      </c>
      <c r="W16" s="58">
        <v>0</v>
      </c>
      <c r="X16" s="58">
        <v>0.55000000000000004</v>
      </c>
      <c r="Y16" s="58">
        <v>0.45</v>
      </c>
      <c r="Z16" s="58">
        <v>0</v>
      </c>
      <c r="AA16" s="58">
        <v>0</v>
      </c>
      <c r="AB16" s="58" t="s">
        <v>29</v>
      </c>
      <c r="AC16" s="57"/>
      <c r="AD16" s="57"/>
      <c r="AE16" s="57"/>
      <c r="BH16"/>
      <c r="BK16" s="57"/>
    </row>
    <row r="17" spans="1:63" x14ac:dyDescent="0.35">
      <c r="A17" s="61" t="s">
        <v>93</v>
      </c>
      <c r="B17" s="61" t="s">
        <v>25</v>
      </c>
      <c r="C17" s="61">
        <v>2</v>
      </c>
      <c r="D17" s="61" t="s">
        <v>37</v>
      </c>
      <c r="E17" s="59">
        <v>6291107161068</v>
      </c>
      <c r="G17" s="57" t="s">
        <v>94</v>
      </c>
      <c r="H17" s="58" t="s">
        <v>28</v>
      </c>
      <c r="I17" s="61">
        <v>12</v>
      </c>
      <c r="J17" s="61">
        <v>48</v>
      </c>
      <c r="K17" s="223">
        <v>48</v>
      </c>
      <c r="M17" s="61">
        <v>6</v>
      </c>
      <c r="N17" s="223"/>
      <c r="O17" s="61">
        <v>8</v>
      </c>
      <c r="P17" s="58">
        <v>460</v>
      </c>
      <c r="Q17" s="58">
        <v>340</v>
      </c>
      <c r="R17" s="58">
        <v>205</v>
      </c>
      <c r="S17" s="58">
        <v>5.25</v>
      </c>
      <c r="T17" s="58">
        <v>6</v>
      </c>
      <c r="U17" s="58">
        <v>100</v>
      </c>
      <c r="V17" s="58">
        <v>150</v>
      </c>
      <c r="W17" s="58">
        <v>0</v>
      </c>
      <c r="X17" s="58">
        <v>0.55000000000000004</v>
      </c>
      <c r="Y17" s="58">
        <v>0.45</v>
      </c>
      <c r="Z17" s="58">
        <v>0</v>
      </c>
      <c r="AA17" s="58">
        <v>0</v>
      </c>
      <c r="AB17" s="58" t="s">
        <v>29</v>
      </c>
      <c r="AC17" s="57"/>
      <c r="AD17" s="57"/>
      <c r="AE17" s="57"/>
      <c r="BH17"/>
      <c r="BK17" s="57"/>
    </row>
    <row r="18" spans="1:63" x14ac:dyDescent="0.35">
      <c r="A18" s="61" t="s">
        <v>45</v>
      </c>
      <c r="B18" s="61" t="s">
        <v>25</v>
      </c>
      <c r="C18" s="61">
        <v>3</v>
      </c>
      <c r="D18" s="61" t="s">
        <v>26</v>
      </c>
      <c r="E18" s="59"/>
      <c r="G18" s="57" t="s">
        <v>46</v>
      </c>
      <c r="H18" s="58" t="s">
        <v>28</v>
      </c>
      <c r="I18" s="61">
        <v>12</v>
      </c>
      <c r="J18" s="61">
        <v>48</v>
      </c>
      <c r="K18" s="223"/>
      <c r="M18" s="61">
        <v>6</v>
      </c>
      <c r="N18" s="223"/>
      <c r="O18" s="61">
        <v>8</v>
      </c>
      <c r="P18" s="58">
        <v>445</v>
      </c>
      <c r="Q18" s="58">
        <v>365</v>
      </c>
      <c r="R18" s="58">
        <v>240</v>
      </c>
      <c r="S18" s="58">
        <v>6.17</v>
      </c>
      <c r="T18" s="58">
        <v>6.77</v>
      </c>
      <c r="U18" s="58">
        <v>50</v>
      </c>
      <c r="V18" s="58">
        <v>175</v>
      </c>
      <c r="W18" s="58">
        <v>50</v>
      </c>
      <c r="X18" s="58">
        <v>0.55000000000000004</v>
      </c>
      <c r="Y18" s="58">
        <v>0.45</v>
      </c>
      <c r="Z18" s="58">
        <v>0</v>
      </c>
      <c r="AA18" s="58">
        <v>0</v>
      </c>
      <c r="AB18" s="58" t="s">
        <v>29</v>
      </c>
      <c r="AC18" s="57"/>
      <c r="AD18" s="57"/>
      <c r="AE18" s="57"/>
      <c r="BH18"/>
      <c r="BK18" s="57"/>
    </row>
    <row r="19" spans="1:63" x14ac:dyDescent="0.35">
      <c r="A19" s="61" t="s">
        <v>47</v>
      </c>
      <c r="B19" s="61" t="s">
        <v>25</v>
      </c>
      <c r="C19" s="61">
        <v>3</v>
      </c>
      <c r="D19" s="61" t="s">
        <v>26</v>
      </c>
      <c r="E19" s="59"/>
      <c r="G19" s="57" t="s">
        <v>48</v>
      </c>
      <c r="H19" s="58" t="s">
        <v>28</v>
      </c>
      <c r="I19" s="61">
        <v>12</v>
      </c>
      <c r="J19" s="61">
        <v>48</v>
      </c>
      <c r="M19" s="61">
        <v>6</v>
      </c>
      <c r="O19" s="61">
        <v>8</v>
      </c>
      <c r="P19" s="58">
        <v>445</v>
      </c>
      <c r="Q19" s="58">
        <v>365</v>
      </c>
      <c r="R19" s="58">
        <v>240</v>
      </c>
      <c r="S19" s="58">
        <v>6.17</v>
      </c>
      <c r="T19" s="58">
        <v>6.77</v>
      </c>
      <c r="U19" s="58">
        <v>50</v>
      </c>
      <c r="V19" s="58">
        <v>175</v>
      </c>
      <c r="W19" s="58">
        <v>50</v>
      </c>
      <c r="X19" s="58">
        <v>0.55000000000000004</v>
      </c>
      <c r="Y19" s="58">
        <v>0.45</v>
      </c>
      <c r="Z19" s="58">
        <v>0</v>
      </c>
      <c r="AA19" s="58">
        <v>0</v>
      </c>
      <c r="AB19" s="58" t="s">
        <v>29</v>
      </c>
      <c r="AC19" s="57"/>
      <c r="AD19" s="57"/>
      <c r="AE19" s="57"/>
      <c r="BH19"/>
      <c r="BK19" s="57"/>
    </row>
    <row r="20" spans="1:63" x14ac:dyDescent="0.35">
      <c r="A20" s="61" t="s">
        <v>49</v>
      </c>
      <c r="B20" s="61" t="s">
        <v>25</v>
      </c>
      <c r="C20" s="61">
        <v>3</v>
      </c>
      <c r="D20" s="61" t="s">
        <v>26</v>
      </c>
      <c r="E20" s="59"/>
      <c r="G20" s="57" t="s">
        <v>50</v>
      </c>
      <c r="H20" s="58" t="s">
        <v>28</v>
      </c>
      <c r="I20" s="61">
        <v>12</v>
      </c>
      <c r="J20" s="61">
        <v>48</v>
      </c>
      <c r="M20" s="61">
        <v>6</v>
      </c>
      <c r="O20" s="61">
        <v>8</v>
      </c>
      <c r="P20" s="58">
        <v>445</v>
      </c>
      <c r="Q20" s="58">
        <v>365</v>
      </c>
      <c r="R20" s="58">
        <v>240</v>
      </c>
      <c r="S20" s="58">
        <v>6.17</v>
      </c>
      <c r="T20" s="58">
        <v>6.77</v>
      </c>
      <c r="U20" s="58">
        <v>50</v>
      </c>
      <c r="V20" s="58">
        <v>175</v>
      </c>
      <c r="W20" s="58">
        <v>50</v>
      </c>
      <c r="X20" s="58">
        <v>0.55000000000000004</v>
      </c>
      <c r="Y20" s="58">
        <v>0.45</v>
      </c>
      <c r="Z20" s="58">
        <v>0</v>
      </c>
      <c r="AA20" s="58">
        <v>0</v>
      </c>
      <c r="AB20" s="58" t="s">
        <v>29</v>
      </c>
      <c r="AC20" s="57"/>
      <c r="AD20" s="57"/>
      <c r="AE20" s="57"/>
      <c r="BH20"/>
      <c r="BK20" s="57"/>
    </row>
    <row r="21" spans="1:63" x14ac:dyDescent="0.35">
      <c r="A21" s="61" t="s">
        <v>51</v>
      </c>
      <c r="B21" s="61" t="s">
        <v>25</v>
      </c>
      <c r="C21" s="61">
        <v>3</v>
      </c>
      <c r="D21" s="61" t="s">
        <v>26</v>
      </c>
      <c r="E21" s="59"/>
      <c r="G21" s="57" t="s">
        <v>52</v>
      </c>
      <c r="H21" s="58" t="s">
        <v>28</v>
      </c>
      <c r="I21" s="61">
        <v>12</v>
      </c>
      <c r="J21" s="61">
        <v>48</v>
      </c>
      <c r="M21" s="61">
        <v>6</v>
      </c>
      <c r="O21" s="61">
        <v>8</v>
      </c>
      <c r="P21" s="58">
        <v>445</v>
      </c>
      <c r="Q21" s="58">
        <v>365</v>
      </c>
      <c r="R21" s="58">
        <v>240</v>
      </c>
      <c r="S21" s="58">
        <v>6.17</v>
      </c>
      <c r="T21" s="58">
        <v>6.77</v>
      </c>
      <c r="U21" s="58">
        <v>50</v>
      </c>
      <c r="V21" s="58">
        <v>175</v>
      </c>
      <c r="W21" s="58">
        <v>50</v>
      </c>
      <c r="X21" s="58">
        <v>0.55000000000000004</v>
      </c>
      <c r="Y21" s="58">
        <v>0.45</v>
      </c>
      <c r="Z21" s="58">
        <v>0</v>
      </c>
      <c r="AA21" s="58">
        <v>0</v>
      </c>
      <c r="AB21" s="58" t="s">
        <v>29</v>
      </c>
      <c r="AC21" s="57"/>
      <c r="AD21" s="57"/>
      <c r="AE21" s="57"/>
      <c r="BH21"/>
      <c r="BK21" s="57"/>
    </row>
    <row r="22" spans="1:63" x14ac:dyDescent="0.35">
      <c r="A22" s="61" t="s">
        <v>53</v>
      </c>
      <c r="B22" s="61" t="s">
        <v>25</v>
      </c>
      <c r="C22" s="61">
        <v>3</v>
      </c>
      <c r="D22" s="61" t="s">
        <v>37</v>
      </c>
      <c r="E22" s="59"/>
      <c r="G22" s="57" t="s">
        <v>54</v>
      </c>
      <c r="H22" s="58" t="s">
        <v>28</v>
      </c>
      <c r="I22" s="61">
        <v>12</v>
      </c>
      <c r="J22" s="61">
        <v>48</v>
      </c>
      <c r="M22" s="61">
        <v>6</v>
      </c>
      <c r="O22" s="61">
        <v>8</v>
      </c>
      <c r="P22" s="58">
        <v>445</v>
      </c>
      <c r="Q22" s="58">
        <v>365</v>
      </c>
      <c r="R22" s="58">
        <v>240</v>
      </c>
      <c r="S22" s="58">
        <v>5.7</v>
      </c>
      <c r="T22" s="58">
        <v>6.3</v>
      </c>
      <c r="U22" s="58">
        <v>50</v>
      </c>
      <c r="V22" s="58">
        <v>150</v>
      </c>
      <c r="W22" s="58">
        <v>50</v>
      </c>
      <c r="X22" s="58">
        <v>0.55000000000000004</v>
      </c>
      <c r="Y22" s="58">
        <v>0.45</v>
      </c>
      <c r="Z22" s="58">
        <v>0</v>
      </c>
      <c r="AA22" s="58">
        <v>0</v>
      </c>
      <c r="AB22" s="58" t="s">
        <v>29</v>
      </c>
      <c r="AC22" s="57"/>
      <c r="AD22" s="57"/>
      <c r="AE22" s="57"/>
      <c r="BH22"/>
      <c r="BK22" s="57"/>
    </row>
    <row r="23" spans="1:63" x14ac:dyDescent="0.35">
      <c r="A23" s="61" t="s">
        <v>55</v>
      </c>
      <c r="B23" s="61" t="s">
        <v>25</v>
      </c>
      <c r="C23" s="61">
        <v>3</v>
      </c>
      <c r="D23" s="61" t="s">
        <v>37</v>
      </c>
      <c r="E23" s="59"/>
      <c r="G23" s="57" t="s">
        <v>56</v>
      </c>
      <c r="H23" s="58" t="s">
        <v>28</v>
      </c>
      <c r="I23" s="61">
        <v>12</v>
      </c>
      <c r="J23" s="61">
        <v>48</v>
      </c>
      <c r="M23" s="61">
        <v>6</v>
      </c>
      <c r="O23" s="61">
        <v>8</v>
      </c>
      <c r="P23" s="58">
        <v>445</v>
      </c>
      <c r="Q23" s="58">
        <v>365</v>
      </c>
      <c r="R23" s="58">
        <v>240</v>
      </c>
      <c r="S23" s="58">
        <v>5.7</v>
      </c>
      <c r="T23" s="58">
        <v>6.3</v>
      </c>
      <c r="U23" s="58">
        <v>50</v>
      </c>
      <c r="V23" s="58">
        <v>150</v>
      </c>
      <c r="W23" s="58">
        <v>50</v>
      </c>
      <c r="X23" s="58">
        <v>0.55000000000000004</v>
      </c>
      <c r="Y23" s="58">
        <v>0.45</v>
      </c>
      <c r="Z23" s="58">
        <v>0</v>
      </c>
      <c r="AA23" s="58">
        <v>0</v>
      </c>
      <c r="AB23" s="58" t="s">
        <v>29</v>
      </c>
      <c r="AC23" s="57"/>
      <c r="AD23" s="57"/>
      <c r="AE23" s="57"/>
      <c r="BH23"/>
      <c r="BK23" s="57"/>
    </row>
    <row r="24" spans="1:63" x14ac:dyDescent="0.35">
      <c r="A24" s="61" t="s">
        <v>57</v>
      </c>
      <c r="B24" s="61" t="s">
        <v>25</v>
      </c>
      <c r="C24" s="61">
        <v>3</v>
      </c>
      <c r="D24" s="61" t="s">
        <v>37</v>
      </c>
      <c r="E24" s="59"/>
      <c r="G24" s="57" t="s">
        <v>58</v>
      </c>
      <c r="H24" s="58" t="s">
        <v>28</v>
      </c>
      <c r="I24" s="61">
        <v>12</v>
      </c>
      <c r="J24" s="61">
        <v>48</v>
      </c>
      <c r="M24" s="61">
        <v>6</v>
      </c>
      <c r="O24" s="61">
        <v>8</v>
      </c>
      <c r="P24" s="58">
        <v>445</v>
      </c>
      <c r="Q24" s="58">
        <v>365</v>
      </c>
      <c r="R24" s="58">
        <v>240</v>
      </c>
      <c r="S24" s="58">
        <v>5.7</v>
      </c>
      <c r="T24" s="58">
        <v>6.3</v>
      </c>
      <c r="U24" s="58">
        <v>50</v>
      </c>
      <c r="V24" s="58">
        <v>150</v>
      </c>
      <c r="W24" s="58">
        <v>50</v>
      </c>
      <c r="X24" s="58">
        <v>0.55000000000000004</v>
      </c>
      <c r="Y24" s="58">
        <v>0.45</v>
      </c>
      <c r="Z24" s="58">
        <v>0</v>
      </c>
      <c r="AA24" s="58">
        <v>0</v>
      </c>
      <c r="AB24" s="58" t="s">
        <v>29</v>
      </c>
      <c r="AC24" s="57"/>
      <c r="AD24" s="57"/>
      <c r="AE24" s="57"/>
      <c r="BH24"/>
      <c r="BK24" s="57"/>
    </row>
    <row r="25" spans="1:63" x14ac:dyDescent="0.35">
      <c r="A25" s="61" t="s">
        <v>59</v>
      </c>
      <c r="B25" s="61" t="s">
        <v>25</v>
      </c>
      <c r="C25" s="61">
        <v>3</v>
      </c>
      <c r="D25" s="61" t="s">
        <v>37</v>
      </c>
      <c r="E25" s="59"/>
      <c r="G25" s="57" t="s">
        <v>60</v>
      </c>
      <c r="H25" s="58" t="s">
        <v>28</v>
      </c>
      <c r="I25" s="61">
        <v>12</v>
      </c>
      <c r="J25" s="61">
        <v>48</v>
      </c>
      <c r="M25" s="61">
        <v>6</v>
      </c>
      <c r="O25" s="61">
        <v>8</v>
      </c>
      <c r="P25" s="58">
        <v>445</v>
      </c>
      <c r="Q25" s="58">
        <v>365</v>
      </c>
      <c r="R25" s="58">
        <v>240</v>
      </c>
      <c r="S25" s="58">
        <v>5.7</v>
      </c>
      <c r="T25" s="58">
        <v>6.3</v>
      </c>
      <c r="U25" s="58">
        <v>50</v>
      </c>
      <c r="V25" s="58">
        <v>150</v>
      </c>
      <c r="W25" s="58">
        <v>50</v>
      </c>
      <c r="X25" s="58">
        <v>0.55000000000000004</v>
      </c>
      <c r="Y25" s="58">
        <v>0.45</v>
      </c>
      <c r="Z25" s="58">
        <v>0</v>
      </c>
      <c r="AA25" s="58">
        <v>0</v>
      </c>
      <c r="AB25" s="58" t="s">
        <v>29</v>
      </c>
      <c r="AC25" s="57"/>
      <c r="AD25" s="57"/>
      <c r="AE25" s="57"/>
      <c r="BH25"/>
      <c r="BK25" s="57"/>
    </row>
    <row r="26" spans="1:63" x14ac:dyDescent="0.35">
      <c r="A26" s="61" t="s">
        <v>197</v>
      </c>
      <c r="B26" s="61" t="s">
        <v>25</v>
      </c>
      <c r="C26" s="61">
        <v>2</v>
      </c>
      <c r="D26" s="61" t="s">
        <v>26</v>
      </c>
      <c r="E26" s="59">
        <v>6291107160733</v>
      </c>
      <c r="F26" s="303" t="s">
        <v>158</v>
      </c>
      <c r="G26" s="57" t="s">
        <v>198</v>
      </c>
      <c r="H26" s="58" t="s">
        <v>28</v>
      </c>
      <c r="P26" s="58"/>
      <c r="Q26" s="58"/>
      <c r="R26" s="58"/>
      <c r="AB26" s="58"/>
      <c r="AC26" s="57"/>
      <c r="AD26" s="57"/>
      <c r="AE26" s="57"/>
      <c r="BH26"/>
      <c r="BK26" s="57"/>
    </row>
    <row r="27" spans="1:63" x14ac:dyDescent="0.35">
      <c r="A27" s="61" t="s">
        <v>199</v>
      </c>
      <c r="B27" s="61" t="s">
        <v>25</v>
      </c>
      <c r="C27" s="61">
        <v>2</v>
      </c>
      <c r="D27" s="61" t="s">
        <v>26</v>
      </c>
      <c r="E27" s="60">
        <v>6291107160733</v>
      </c>
      <c r="F27" s="303" t="s">
        <v>158</v>
      </c>
      <c r="G27" s="57" t="s">
        <v>200</v>
      </c>
      <c r="H27" s="58" t="s">
        <v>28</v>
      </c>
      <c r="P27" s="58"/>
      <c r="Q27" s="58"/>
      <c r="R27" s="58"/>
      <c r="AB27" s="58"/>
      <c r="AC27" s="57"/>
      <c r="AD27" s="57"/>
      <c r="AE27" s="57"/>
      <c r="BH27"/>
      <c r="BK27" s="57"/>
    </row>
    <row r="28" spans="1:63" x14ac:dyDescent="0.35">
      <c r="A28" s="61" t="s">
        <v>201</v>
      </c>
      <c r="B28" s="61" t="s">
        <v>25</v>
      </c>
      <c r="C28" s="61">
        <v>2</v>
      </c>
      <c r="D28" s="61" t="s">
        <v>26</v>
      </c>
      <c r="E28" s="60">
        <v>6291107160733</v>
      </c>
      <c r="F28" s="303" t="s">
        <v>158</v>
      </c>
      <c r="G28" s="57" t="s">
        <v>202</v>
      </c>
      <c r="H28" s="58" t="s">
        <v>28</v>
      </c>
      <c r="P28" s="58"/>
      <c r="Q28" s="58"/>
      <c r="R28" s="58"/>
      <c r="AB28" s="58"/>
      <c r="AC28" s="57"/>
      <c r="AD28" s="57"/>
      <c r="AE28" s="57"/>
      <c r="BH28"/>
      <c r="BK28" s="57"/>
    </row>
    <row r="29" spans="1:63" x14ac:dyDescent="0.35">
      <c r="A29" s="61" t="s">
        <v>203</v>
      </c>
      <c r="B29" s="61" t="s">
        <v>25</v>
      </c>
      <c r="C29" s="61">
        <v>2</v>
      </c>
      <c r="D29" s="61" t="s">
        <v>26</v>
      </c>
      <c r="E29" s="60">
        <v>6291107160733</v>
      </c>
      <c r="F29" s="303" t="s">
        <v>158</v>
      </c>
      <c r="G29" s="57" t="s">
        <v>204</v>
      </c>
      <c r="H29" s="58" t="s">
        <v>28</v>
      </c>
      <c r="P29" s="58"/>
      <c r="Q29" s="58"/>
      <c r="R29" s="58"/>
      <c r="AB29" s="58"/>
      <c r="AC29" s="57"/>
      <c r="AD29" s="57"/>
      <c r="AE29" s="57"/>
      <c r="BH29"/>
      <c r="BK29" s="57"/>
    </row>
    <row r="30" spans="1:63" x14ac:dyDescent="0.35">
      <c r="A30" s="61" t="s">
        <v>205</v>
      </c>
      <c r="B30" s="61" t="s">
        <v>25</v>
      </c>
      <c r="C30" s="61">
        <v>2</v>
      </c>
      <c r="D30" s="61" t="s">
        <v>26</v>
      </c>
      <c r="E30" s="60">
        <v>6291107160733</v>
      </c>
      <c r="F30" s="303" t="s">
        <v>158</v>
      </c>
      <c r="G30" s="57" t="s">
        <v>206</v>
      </c>
      <c r="H30" s="58" t="s">
        <v>28</v>
      </c>
      <c r="P30" s="58"/>
      <c r="Q30" s="58"/>
      <c r="R30" s="58"/>
      <c r="AB30" s="58"/>
      <c r="AC30" s="57"/>
      <c r="AD30" s="57"/>
      <c r="AE30" s="57"/>
      <c r="BH30"/>
      <c r="BK30" s="57"/>
    </row>
    <row r="31" spans="1:63" x14ac:dyDescent="0.35">
      <c r="A31" s="61" t="s">
        <v>207</v>
      </c>
      <c r="B31" s="61" t="s">
        <v>25</v>
      </c>
      <c r="C31" s="61">
        <v>2</v>
      </c>
      <c r="D31" s="61" t="s">
        <v>26</v>
      </c>
      <c r="E31" s="60">
        <v>6291107160733</v>
      </c>
      <c r="F31" s="303" t="s">
        <v>158</v>
      </c>
      <c r="G31" s="57" t="s">
        <v>208</v>
      </c>
      <c r="H31" s="58" t="s">
        <v>28</v>
      </c>
      <c r="P31" s="58"/>
      <c r="Q31" s="58"/>
      <c r="R31" s="58"/>
      <c r="AB31" s="58"/>
      <c r="AC31" s="57"/>
      <c r="AD31" s="57"/>
      <c r="AE31" s="57"/>
      <c r="BH31"/>
      <c r="BK31" s="57"/>
    </row>
    <row r="32" spans="1:63" x14ac:dyDescent="0.35">
      <c r="A32" s="61" t="s">
        <v>95</v>
      </c>
      <c r="B32" s="61" t="s">
        <v>25</v>
      </c>
      <c r="C32" s="61">
        <v>2</v>
      </c>
      <c r="D32" s="61" t="s">
        <v>26</v>
      </c>
      <c r="E32" s="60"/>
      <c r="G32" s="57" t="s">
        <v>96</v>
      </c>
      <c r="H32" s="58" t="s">
        <v>28</v>
      </c>
      <c r="I32" s="61">
        <v>20</v>
      </c>
      <c r="J32" s="61">
        <v>18</v>
      </c>
      <c r="M32" s="61">
        <v>3</v>
      </c>
      <c r="O32" s="61">
        <v>6</v>
      </c>
      <c r="P32" s="58">
        <v>400</v>
      </c>
      <c r="Q32" s="58">
        <v>400</v>
      </c>
      <c r="R32" s="58">
        <v>460</v>
      </c>
      <c r="S32" s="58">
        <v>14.6</v>
      </c>
      <c r="T32" s="58">
        <v>20.5</v>
      </c>
      <c r="U32" s="58">
        <v>100</v>
      </c>
      <c r="V32" s="58">
        <v>300</v>
      </c>
      <c r="W32" s="58">
        <v>0</v>
      </c>
      <c r="X32" s="58">
        <v>0.6</v>
      </c>
      <c r="Y32" s="58">
        <v>0.4</v>
      </c>
      <c r="Z32" s="58">
        <v>0</v>
      </c>
      <c r="AA32" s="58">
        <v>0</v>
      </c>
      <c r="AB32" s="58" t="s">
        <v>29</v>
      </c>
      <c r="AC32" s="57"/>
      <c r="AD32" s="57"/>
      <c r="AE32" s="57"/>
      <c r="BH32"/>
      <c r="BK32" s="57"/>
    </row>
    <row r="33" spans="1:63" x14ac:dyDescent="0.35">
      <c r="A33" s="61" t="s">
        <v>209</v>
      </c>
      <c r="B33" s="61" t="s">
        <v>25</v>
      </c>
      <c r="C33" s="61">
        <v>2</v>
      </c>
      <c r="D33" s="61" t="s">
        <v>26</v>
      </c>
      <c r="E33" s="59">
        <v>6291107160740</v>
      </c>
      <c r="F33" s="303" t="s">
        <v>158</v>
      </c>
      <c r="G33" s="57" t="s">
        <v>210</v>
      </c>
      <c r="H33" s="58" t="s">
        <v>28</v>
      </c>
      <c r="P33" s="58"/>
      <c r="Q33" s="58"/>
      <c r="R33" s="58"/>
      <c r="AB33" s="58"/>
      <c r="AC33" s="57"/>
      <c r="AD33" s="57"/>
      <c r="AE33" s="57"/>
      <c r="BH33"/>
      <c r="BK33" s="57"/>
    </row>
    <row r="34" spans="1:63" x14ac:dyDescent="0.35">
      <c r="A34" s="61" t="s">
        <v>211</v>
      </c>
      <c r="B34" s="61" t="s">
        <v>25</v>
      </c>
      <c r="C34" s="61">
        <v>2</v>
      </c>
      <c r="D34" s="61" t="s">
        <v>26</v>
      </c>
      <c r="E34" s="60">
        <v>6291107160740</v>
      </c>
      <c r="F34" s="303" t="s">
        <v>158</v>
      </c>
      <c r="G34" s="57" t="s">
        <v>212</v>
      </c>
      <c r="H34" s="58" t="s">
        <v>28</v>
      </c>
      <c r="P34" s="58"/>
      <c r="Q34" s="58"/>
      <c r="R34" s="58"/>
      <c r="AB34" s="58"/>
      <c r="AC34" s="57"/>
      <c r="AD34" s="57"/>
      <c r="AE34" s="57"/>
      <c r="BH34"/>
      <c r="BK34" s="57"/>
    </row>
    <row r="35" spans="1:63" x14ac:dyDescent="0.35">
      <c r="A35" s="61" t="s">
        <v>213</v>
      </c>
      <c r="B35" s="61" t="s">
        <v>25</v>
      </c>
      <c r="C35" s="61">
        <v>2</v>
      </c>
      <c r="D35" s="61" t="s">
        <v>26</v>
      </c>
      <c r="E35" s="60">
        <v>6291107160740</v>
      </c>
      <c r="F35" s="303" t="s">
        <v>158</v>
      </c>
      <c r="G35" s="57" t="s">
        <v>214</v>
      </c>
      <c r="H35" s="58" t="s">
        <v>28</v>
      </c>
      <c r="P35" s="58"/>
      <c r="Q35" s="58"/>
      <c r="R35" s="58"/>
      <c r="AB35" s="58"/>
      <c r="AC35" s="57"/>
      <c r="AD35" s="57"/>
      <c r="AE35" s="57"/>
      <c r="BH35"/>
      <c r="BK35" s="57"/>
    </row>
    <row r="36" spans="1:63" x14ac:dyDescent="0.35">
      <c r="A36" s="61" t="s">
        <v>167</v>
      </c>
      <c r="B36" s="61" t="s">
        <v>157</v>
      </c>
      <c r="C36" s="61">
        <v>1</v>
      </c>
      <c r="D36" s="61" t="s">
        <v>26</v>
      </c>
      <c r="E36" s="60">
        <v>8718719850008</v>
      </c>
      <c r="F36" s="303" t="s">
        <v>158</v>
      </c>
      <c r="G36" s="57" t="s">
        <v>168</v>
      </c>
      <c r="H36" s="58" t="s">
        <v>160</v>
      </c>
      <c r="I36" s="61">
        <v>48</v>
      </c>
      <c r="J36" s="61">
        <v>36</v>
      </c>
      <c r="K36" s="61">
        <v>54</v>
      </c>
      <c r="M36" s="61">
        <v>9</v>
      </c>
      <c r="O36" s="61">
        <v>4</v>
      </c>
      <c r="P36" s="58">
        <v>485</v>
      </c>
      <c r="Q36" s="58">
        <v>360</v>
      </c>
      <c r="R36" s="58">
        <v>195</v>
      </c>
      <c r="S36" s="58">
        <v>7.48</v>
      </c>
      <c r="T36" s="58">
        <v>7.7</v>
      </c>
      <c r="U36" s="58">
        <v>175</v>
      </c>
      <c r="V36" s="58">
        <v>0</v>
      </c>
      <c r="W36" s="58">
        <v>0</v>
      </c>
      <c r="X36" s="58">
        <v>1</v>
      </c>
      <c r="Y36" s="58">
        <v>0</v>
      </c>
      <c r="Z36" s="58">
        <v>0</v>
      </c>
      <c r="AA36" s="58">
        <v>0</v>
      </c>
      <c r="AB36" s="58" t="s">
        <v>29</v>
      </c>
      <c r="AC36" s="57"/>
      <c r="AD36" s="57"/>
      <c r="AE36" s="57"/>
      <c r="BH36"/>
      <c r="BK36" s="57"/>
    </row>
    <row r="37" spans="1:63" x14ac:dyDescent="0.35">
      <c r="A37" s="61" t="s">
        <v>169</v>
      </c>
      <c r="B37" s="61" t="s">
        <v>157</v>
      </c>
      <c r="C37" s="61">
        <v>1</v>
      </c>
      <c r="D37" s="61" t="s">
        <v>26</v>
      </c>
      <c r="E37" s="59">
        <v>8718719850015</v>
      </c>
      <c r="F37" s="303" t="s">
        <v>158</v>
      </c>
      <c r="G37" s="57" t="s">
        <v>170</v>
      </c>
      <c r="H37" s="58" t="s">
        <v>160</v>
      </c>
      <c r="I37" s="61">
        <v>48</v>
      </c>
      <c r="J37" s="61">
        <v>36</v>
      </c>
      <c r="K37" s="61">
        <v>54</v>
      </c>
      <c r="M37" s="61">
        <v>9</v>
      </c>
      <c r="O37" s="61">
        <v>4</v>
      </c>
      <c r="P37" s="58">
        <v>485</v>
      </c>
      <c r="Q37" s="58">
        <v>360</v>
      </c>
      <c r="R37" s="58">
        <v>195</v>
      </c>
      <c r="S37" s="58">
        <v>7.48</v>
      </c>
      <c r="T37" s="58">
        <v>7.7</v>
      </c>
      <c r="U37" s="58">
        <v>175</v>
      </c>
      <c r="V37" s="58">
        <v>0</v>
      </c>
      <c r="W37" s="58">
        <v>0</v>
      </c>
      <c r="X37" s="58">
        <v>1</v>
      </c>
      <c r="Y37" s="58">
        <v>0</v>
      </c>
      <c r="Z37" s="58">
        <v>0</v>
      </c>
      <c r="AA37" s="58">
        <v>0</v>
      </c>
      <c r="AB37" s="58" t="s">
        <v>29</v>
      </c>
      <c r="AC37" s="57"/>
      <c r="AD37" s="57"/>
      <c r="AE37" s="57"/>
      <c r="BH37"/>
      <c r="BK37" s="57"/>
    </row>
    <row r="38" spans="1:63" x14ac:dyDescent="0.35">
      <c r="A38" s="61" t="s">
        <v>171</v>
      </c>
      <c r="B38" s="61" t="s">
        <v>157</v>
      </c>
      <c r="C38" s="61">
        <v>1</v>
      </c>
      <c r="D38" s="61" t="s">
        <v>26</v>
      </c>
      <c r="E38" s="59">
        <v>8718719850022</v>
      </c>
      <c r="F38" s="303" t="s">
        <v>158</v>
      </c>
      <c r="G38" s="57" t="s">
        <v>172</v>
      </c>
      <c r="H38" s="58" t="s">
        <v>160</v>
      </c>
      <c r="I38" s="61">
        <v>48</v>
      </c>
      <c r="J38" s="61">
        <v>36</v>
      </c>
      <c r="K38" s="61">
        <v>54</v>
      </c>
      <c r="M38" s="61">
        <v>9</v>
      </c>
      <c r="O38" s="61">
        <v>4</v>
      </c>
      <c r="P38" s="58">
        <v>485</v>
      </c>
      <c r="Q38" s="58">
        <v>360</v>
      </c>
      <c r="R38" s="58">
        <v>195</v>
      </c>
      <c r="S38" s="58">
        <v>7.48</v>
      </c>
      <c r="T38" s="58">
        <v>7.7</v>
      </c>
      <c r="U38" s="58">
        <v>175</v>
      </c>
      <c r="V38" s="58">
        <v>0</v>
      </c>
      <c r="W38" s="58">
        <v>0</v>
      </c>
      <c r="X38" s="58">
        <v>1</v>
      </c>
      <c r="Y38" s="58">
        <v>0</v>
      </c>
      <c r="Z38" s="58">
        <v>0</v>
      </c>
      <c r="AA38" s="58">
        <v>0</v>
      </c>
      <c r="AB38" s="58" t="s">
        <v>29</v>
      </c>
      <c r="AC38" s="57"/>
      <c r="AD38" s="57"/>
      <c r="AE38" s="57"/>
      <c r="BH38"/>
      <c r="BK38" s="57"/>
    </row>
    <row r="39" spans="1:63" x14ac:dyDescent="0.35">
      <c r="A39" s="61" t="s">
        <v>173</v>
      </c>
      <c r="B39" s="61" t="s">
        <v>157</v>
      </c>
      <c r="C39" s="61">
        <v>1</v>
      </c>
      <c r="D39" s="61" t="s">
        <v>26</v>
      </c>
      <c r="E39" s="59">
        <v>8718719850039</v>
      </c>
      <c r="F39" s="303" t="s">
        <v>158</v>
      </c>
      <c r="G39" s="57" t="s">
        <v>174</v>
      </c>
      <c r="H39" s="58" t="s">
        <v>160</v>
      </c>
      <c r="I39" s="61">
        <v>48</v>
      </c>
      <c r="J39" s="61">
        <v>36</v>
      </c>
      <c r="K39" s="61">
        <v>54</v>
      </c>
      <c r="M39" s="61">
        <v>9</v>
      </c>
      <c r="O39" s="61">
        <v>4</v>
      </c>
      <c r="P39" s="58">
        <v>485</v>
      </c>
      <c r="Q39" s="58">
        <v>360</v>
      </c>
      <c r="R39" s="58">
        <v>195</v>
      </c>
      <c r="S39" s="58">
        <v>7.48</v>
      </c>
      <c r="T39" s="58">
        <v>7.7</v>
      </c>
      <c r="U39" s="58">
        <v>175</v>
      </c>
      <c r="V39" s="58">
        <v>0</v>
      </c>
      <c r="W39" s="58">
        <v>0</v>
      </c>
      <c r="X39" s="58">
        <v>1</v>
      </c>
      <c r="Y39" s="58">
        <v>0</v>
      </c>
      <c r="Z39" s="58">
        <v>0</v>
      </c>
      <c r="AA39" s="58">
        <v>0</v>
      </c>
      <c r="AB39" s="58" t="s">
        <v>29</v>
      </c>
      <c r="AC39" s="57"/>
      <c r="AD39" s="57"/>
      <c r="AE39" s="57"/>
      <c r="BH39"/>
      <c r="BK39" s="57"/>
    </row>
    <row r="40" spans="1:63" x14ac:dyDescent="0.35">
      <c r="A40" s="61" t="s">
        <v>98</v>
      </c>
      <c r="B40" s="61" t="s">
        <v>1045</v>
      </c>
      <c r="C40" s="61">
        <v>1</v>
      </c>
      <c r="D40" s="61" t="s">
        <v>26</v>
      </c>
      <c r="E40" s="59">
        <v>8718719850046</v>
      </c>
      <c r="F40" s="303" t="s">
        <v>62</v>
      </c>
      <c r="G40" s="57" t="s">
        <v>99</v>
      </c>
      <c r="H40" s="58" t="s">
        <v>64</v>
      </c>
      <c r="I40" s="61">
        <v>24</v>
      </c>
      <c r="J40" s="61">
        <v>64</v>
      </c>
      <c r="K40" s="61">
        <v>64</v>
      </c>
      <c r="M40" s="61">
        <v>8</v>
      </c>
      <c r="O40" s="61">
        <v>8</v>
      </c>
      <c r="P40" s="58">
        <v>430</v>
      </c>
      <c r="Q40" s="58">
        <v>300</v>
      </c>
      <c r="R40" s="58">
        <v>174</v>
      </c>
      <c r="S40" s="58">
        <v>7.52</v>
      </c>
      <c r="T40" s="58">
        <v>8.23</v>
      </c>
      <c r="U40" s="58">
        <v>100</v>
      </c>
      <c r="V40" s="58">
        <v>0</v>
      </c>
      <c r="W40" s="58">
        <v>0</v>
      </c>
      <c r="X40" s="58">
        <v>1</v>
      </c>
      <c r="Y40" s="58">
        <v>0</v>
      </c>
      <c r="Z40" s="58">
        <v>0</v>
      </c>
      <c r="AA40" s="58">
        <v>0</v>
      </c>
      <c r="AB40" s="58" t="s">
        <v>29</v>
      </c>
      <c r="AC40" s="57"/>
      <c r="AD40" s="57"/>
      <c r="AE40" s="57"/>
      <c r="BH40"/>
      <c r="BK40" s="57"/>
    </row>
    <row r="41" spans="1:63" x14ac:dyDescent="0.35">
      <c r="A41" s="61" t="s">
        <v>100</v>
      </c>
      <c r="B41" s="61" t="s">
        <v>1045</v>
      </c>
      <c r="C41" s="61">
        <v>1</v>
      </c>
      <c r="D41" s="61" t="s">
        <v>26</v>
      </c>
      <c r="E41" s="59">
        <v>8718719850053</v>
      </c>
      <c r="F41" s="303" t="s">
        <v>62</v>
      </c>
      <c r="G41" s="57" t="s">
        <v>101</v>
      </c>
      <c r="H41" s="58" t="s">
        <v>64</v>
      </c>
      <c r="I41" s="61">
        <v>24</v>
      </c>
      <c r="J41" s="61">
        <v>64</v>
      </c>
      <c r="K41" s="61">
        <v>64</v>
      </c>
      <c r="M41" s="61">
        <v>8</v>
      </c>
      <c r="O41" s="61">
        <v>8</v>
      </c>
      <c r="P41" s="58">
        <v>430</v>
      </c>
      <c r="Q41" s="58">
        <v>300</v>
      </c>
      <c r="R41" s="58">
        <v>174</v>
      </c>
      <c r="S41" s="58">
        <v>7.52</v>
      </c>
      <c r="T41" s="58">
        <v>8.23</v>
      </c>
      <c r="U41" s="58">
        <v>100</v>
      </c>
      <c r="V41" s="58">
        <v>0</v>
      </c>
      <c r="W41" s="58">
        <v>0</v>
      </c>
      <c r="X41" s="58">
        <v>1</v>
      </c>
      <c r="Y41" s="58">
        <v>0</v>
      </c>
      <c r="Z41" s="58">
        <v>0</v>
      </c>
      <c r="AA41" s="58">
        <v>0</v>
      </c>
      <c r="AB41" s="58" t="s">
        <v>29</v>
      </c>
      <c r="AC41" s="57"/>
      <c r="AD41" s="57"/>
      <c r="AE41" s="57"/>
      <c r="BH41"/>
      <c r="BK41" s="57"/>
    </row>
    <row r="42" spans="1:63" x14ac:dyDescent="0.35">
      <c r="A42" s="61" t="s">
        <v>102</v>
      </c>
      <c r="B42" s="61" t="s">
        <v>1045</v>
      </c>
      <c r="C42" s="61">
        <v>1</v>
      </c>
      <c r="D42" s="61" t="s">
        <v>26</v>
      </c>
      <c r="E42" s="59">
        <v>8718719850060</v>
      </c>
      <c r="F42" s="303" t="s">
        <v>62</v>
      </c>
      <c r="G42" s="57" t="s">
        <v>103</v>
      </c>
      <c r="H42" s="58" t="s">
        <v>64</v>
      </c>
      <c r="I42" s="61">
        <v>24</v>
      </c>
      <c r="J42" s="61">
        <v>64</v>
      </c>
      <c r="K42" s="61">
        <v>64</v>
      </c>
      <c r="M42" s="61">
        <v>8</v>
      </c>
      <c r="O42" s="61">
        <v>8</v>
      </c>
      <c r="P42" s="58">
        <v>430</v>
      </c>
      <c r="Q42" s="58">
        <v>300</v>
      </c>
      <c r="R42" s="58">
        <v>174</v>
      </c>
      <c r="S42" s="58">
        <v>7.52</v>
      </c>
      <c r="T42" s="58">
        <v>8.23</v>
      </c>
      <c r="U42" s="58">
        <v>100</v>
      </c>
      <c r="V42" s="58">
        <v>0</v>
      </c>
      <c r="W42" s="58">
        <v>0</v>
      </c>
      <c r="X42" s="58">
        <v>1</v>
      </c>
      <c r="Y42" s="58">
        <v>0</v>
      </c>
      <c r="Z42" s="58">
        <v>0</v>
      </c>
      <c r="AA42" s="58">
        <v>0</v>
      </c>
      <c r="AB42" s="58" t="s">
        <v>29</v>
      </c>
      <c r="AC42" s="57"/>
      <c r="AD42" s="57"/>
      <c r="AE42" s="57"/>
      <c r="BH42"/>
      <c r="BK42" s="57"/>
    </row>
    <row r="43" spans="1:63" x14ac:dyDescent="0.35">
      <c r="A43" s="61" t="s">
        <v>104</v>
      </c>
      <c r="B43" s="61" t="s">
        <v>1045</v>
      </c>
      <c r="C43" s="61">
        <v>1</v>
      </c>
      <c r="D43" s="61" t="s">
        <v>26</v>
      </c>
      <c r="E43" s="59">
        <v>8718719850077</v>
      </c>
      <c r="F43" s="303" t="s">
        <v>62</v>
      </c>
      <c r="G43" s="57" t="s">
        <v>105</v>
      </c>
      <c r="H43" s="58" t="s">
        <v>64</v>
      </c>
      <c r="I43" s="61">
        <v>24</v>
      </c>
      <c r="J43" s="61">
        <v>64</v>
      </c>
      <c r="K43" s="61">
        <v>64</v>
      </c>
      <c r="M43" s="61">
        <v>8</v>
      </c>
      <c r="O43" s="61">
        <v>8</v>
      </c>
      <c r="P43" s="58">
        <v>430</v>
      </c>
      <c r="Q43" s="58">
        <v>300</v>
      </c>
      <c r="R43" s="58">
        <v>174</v>
      </c>
      <c r="S43" s="58">
        <v>7.52</v>
      </c>
      <c r="T43" s="58">
        <v>8.23</v>
      </c>
      <c r="U43" s="58">
        <v>100</v>
      </c>
      <c r="V43" s="58">
        <v>0</v>
      </c>
      <c r="W43" s="58">
        <v>0</v>
      </c>
      <c r="X43" s="58">
        <v>1</v>
      </c>
      <c r="Y43" s="58">
        <v>0</v>
      </c>
      <c r="Z43" s="58">
        <v>0</v>
      </c>
      <c r="AA43" s="58">
        <v>0</v>
      </c>
      <c r="AB43" s="58" t="s">
        <v>29</v>
      </c>
      <c r="AC43" s="57"/>
      <c r="AD43" s="57"/>
      <c r="AE43" s="57"/>
      <c r="BH43"/>
      <c r="BK43" s="57"/>
    </row>
    <row r="44" spans="1:63" x14ac:dyDescent="0.35">
      <c r="A44" s="61" t="s">
        <v>61</v>
      </c>
      <c r="B44" s="61" t="s">
        <v>1045</v>
      </c>
      <c r="C44" s="61">
        <v>1</v>
      </c>
      <c r="D44" s="61" t="s">
        <v>26</v>
      </c>
      <c r="E44" s="59">
        <v>8718719850084</v>
      </c>
      <c r="F44" s="303" t="s">
        <v>62</v>
      </c>
      <c r="G44" s="57" t="s">
        <v>63</v>
      </c>
      <c r="H44" s="58" t="s">
        <v>64</v>
      </c>
      <c r="I44" s="61">
        <v>24</v>
      </c>
      <c r="J44" s="61">
        <v>72</v>
      </c>
      <c r="K44" s="61">
        <v>88</v>
      </c>
      <c r="M44" s="61">
        <v>8</v>
      </c>
      <c r="O44" s="61">
        <v>9</v>
      </c>
      <c r="P44" s="58">
        <v>385</v>
      </c>
      <c r="Q44" s="58">
        <v>250</v>
      </c>
      <c r="R44" s="58">
        <v>150</v>
      </c>
      <c r="S44" s="58">
        <v>4.8</v>
      </c>
      <c r="T44" s="58">
        <v>5.2</v>
      </c>
      <c r="U44" s="58">
        <v>50</v>
      </c>
      <c r="V44" s="58">
        <v>0</v>
      </c>
      <c r="W44" s="58">
        <v>0</v>
      </c>
      <c r="X44" s="58">
        <v>1</v>
      </c>
      <c r="Y44" s="58">
        <v>0</v>
      </c>
      <c r="Z44" s="58">
        <v>0</v>
      </c>
      <c r="AA44" s="58">
        <v>0</v>
      </c>
      <c r="AB44" s="58" t="s">
        <v>29</v>
      </c>
      <c r="AC44" s="57"/>
      <c r="AD44" s="57"/>
      <c r="AE44" s="57"/>
      <c r="BH44"/>
      <c r="BK44" s="57"/>
    </row>
    <row r="45" spans="1:63" x14ac:dyDescent="0.35">
      <c r="A45" s="61" t="s">
        <v>65</v>
      </c>
      <c r="B45" s="61" t="s">
        <v>1045</v>
      </c>
      <c r="C45" s="61">
        <v>1</v>
      </c>
      <c r="D45" s="61" t="s">
        <v>26</v>
      </c>
      <c r="E45" s="59">
        <v>8718719850091</v>
      </c>
      <c r="F45" s="303" t="s">
        <v>62</v>
      </c>
      <c r="G45" s="57" t="s">
        <v>66</v>
      </c>
      <c r="H45" s="58" t="s">
        <v>64</v>
      </c>
      <c r="I45" s="61">
        <v>24</v>
      </c>
      <c r="J45" s="61">
        <v>72</v>
      </c>
      <c r="K45" s="61">
        <v>88</v>
      </c>
      <c r="M45" s="61">
        <v>8</v>
      </c>
      <c r="O45" s="61">
        <v>9</v>
      </c>
      <c r="P45" s="58">
        <v>385</v>
      </c>
      <c r="Q45" s="58">
        <v>250</v>
      </c>
      <c r="R45" s="58">
        <v>150</v>
      </c>
      <c r="S45" s="58">
        <v>4.8</v>
      </c>
      <c r="T45" s="58">
        <v>5.2</v>
      </c>
      <c r="U45" s="58">
        <v>50</v>
      </c>
      <c r="V45" s="58">
        <v>0</v>
      </c>
      <c r="W45" s="58">
        <v>0</v>
      </c>
      <c r="X45" s="58">
        <v>1</v>
      </c>
      <c r="Y45" s="58">
        <v>0</v>
      </c>
      <c r="Z45" s="58">
        <v>0</v>
      </c>
      <c r="AA45" s="58">
        <v>0</v>
      </c>
      <c r="AB45" s="58" t="s">
        <v>29</v>
      </c>
      <c r="AC45" s="57"/>
      <c r="AD45" s="57"/>
      <c r="AE45" s="57"/>
      <c r="BH45"/>
      <c r="BK45" s="57"/>
    </row>
    <row r="46" spans="1:63" x14ac:dyDescent="0.35">
      <c r="A46" s="61" t="s">
        <v>67</v>
      </c>
      <c r="B46" s="61" t="s">
        <v>1045</v>
      </c>
      <c r="C46" s="61">
        <v>1</v>
      </c>
      <c r="D46" s="61" t="s">
        <v>26</v>
      </c>
      <c r="E46" s="59">
        <v>8718719850107</v>
      </c>
      <c r="F46" s="303" t="s">
        <v>62</v>
      </c>
      <c r="G46" s="57" t="s">
        <v>68</v>
      </c>
      <c r="H46" s="58" t="s">
        <v>64</v>
      </c>
      <c r="I46" s="61">
        <v>24</v>
      </c>
      <c r="J46" s="61">
        <v>72</v>
      </c>
      <c r="K46" s="61">
        <v>88</v>
      </c>
      <c r="M46" s="61">
        <v>8</v>
      </c>
      <c r="O46" s="61">
        <v>9</v>
      </c>
      <c r="P46" s="58">
        <v>385</v>
      </c>
      <c r="Q46" s="58">
        <v>250</v>
      </c>
      <c r="R46" s="58">
        <v>150</v>
      </c>
      <c r="S46" s="58">
        <v>4.8</v>
      </c>
      <c r="T46" s="58">
        <v>5.2</v>
      </c>
      <c r="U46" s="58">
        <v>50</v>
      </c>
      <c r="V46" s="58">
        <v>0</v>
      </c>
      <c r="W46" s="58">
        <v>0</v>
      </c>
      <c r="X46" s="58">
        <v>1</v>
      </c>
      <c r="Y46" s="58">
        <v>0</v>
      </c>
      <c r="Z46" s="58">
        <v>0</v>
      </c>
      <c r="AA46" s="58">
        <v>0</v>
      </c>
      <c r="AB46" s="58" t="s">
        <v>29</v>
      </c>
      <c r="AC46" s="57"/>
      <c r="AD46" s="57"/>
      <c r="AE46" s="57"/>
      <c r="BH46"/>
      <c r="BK46" s="57"/>
    </row>
    <row r="47" spans="1:63" x14ac:dyDescent="0.35">
      <c r="A47" s="61" t="s">
        <v>69</v>
      </c>
      <c r="B47" s="61" t="s">
        <v>1045</v>
      </c>
      <c r="C47" s="61">
        <v>1</v>
      </c>
      <c r="D47" s="61" t="s">
        <v>26</v>
      </c>
      <c r="E47" s="59">
        <v>8718719850114</v>
      </c>
      <c r="F47" s="303" t="s">
        <v>62</v>
      </c>
      <c r="G47" s="57" t="s">
        <v>70</v>
      </c>
      <c r="H47" s="58" t="s">
        <v>64</v>
      </c>
      <c r="I47" s="61">
        <v>24</v>
      </c>
      <c r="J47" s="61">
        <v>72</v>
      </c>
      <c r="K47" s="61">
        <v>88</v>
      </c>
      <c r="M47" s="61">
        <v>8</v>
      </c>
      <c r="O47" s="61">
        <v>9</v>
      </c>
      <c r="P47" s="58">
        <v>385</v>
      </c>
      <c r="Q47" s="58">
        <v>250</v>
      </c>
      <c r="R47" s="58">
        <v>150</v>
      </c>
      <c r="S47" s="58">
        <v>4.8</v>
      </c>
      <c r="T47" s="58">
        <v>5.2</v>
      </c>
      <c r="U47" s="58">
        <v>50</v>
      </c>
      <c r="V47" s="58">
        <v>0</v>
      </c>
      <c r="W47" s="58">
        <v>0</v>
      </c>
      <c r="X47" s="58">
        <v>1</v>
      </c>
      <c r="Y47" s="58">
        <v>0</v>
      </c>
      <c r="Z47" s="58">
        <v>0</v>
      </c>
      <c r="AA47" s="58">
        <v>0</v>
      </c>
      <c r="AB47" s="58" t="s">
        <v>29</v>
      </c>
      <c r="AC47" s="57"/>
      <c r="AD47" s="57"/>
      <c r="AE47" s="57"/>
      <c r="BH47"/>
      <c r="BK47" s="57"/>
    </row>
    <row r="48" spans="1:63" x14ac:dyDescent="0.35">
      <c r="A48" s="61" t="s">
        <v>156</v>
      </c>
      <c r="B48" s="61" t="s">
        <v>157</v>
      </c>
      <c r="C48" s="61">
        <v>1</v>
      </c>
      <c r="D48" s="61" t="s">
        <v>37</v>
      </c>
      <c r="E48" s="59">
        <v>8718719850244</v>
      </c>
      <c r="F48" s="303" t="s">
        <v>158</v>
      </c>
      <c r="G48" s="57" t="s">
        <v>159</v>
      </c>
      <c r="H48" s="58" t="s">
        <v>160</v>
      </c>
      <c r="I48" s="61">
        <v>48</v>
      </c>
      <c r="J48" s="61">
        <v>48</v>
      </c>
      <c r="K48" s="61">
        <v>72</v>
      </c>
      <c r="M48" s="61">
        <v>8</v>
      </c>
      <c r="O48" s="61">
        <v>6</v>
      </c>
      <c r="P48" s="58">
        <v>400</v>
      </c>
      <c r="Q48" s="58">
        <v>320</v>
      </c>
      <c r="R48" s="58">
        <v>205</v>
      </c>
      <c r="S48" s="58">
        <v>6.2880000000000003</v>
      </c>
      <c r="T48" s="58">
        <v>7.0359999999999996</v>
      </c>
      <c r="U48" s="58">
        <v>150</v>
      </c>
      <c r="V48" s="58">
        <v>0</v>
      </c>
      <c r="W48" s="58">
        <v>0</v>
      </c>
      <c r="X48" s="58">
        <v>1</v>
      </c>
      <c r="Y48" s="58">
        <v>0</v>
      </c>
      <c r="Z48" s="58">
        <v>0</v>
      </c>
      <c r="AA48" s="58">
        <v>0</v>
      </c>
      <c r="AB48" s="58" t="s">
        <v>29</v>
      </c>
      <c r="AC48" s="57"/>
      <c r="AD48" s="57"/>
      <c r="AE48" s="57"/>
      <c r="BH48"/>
      <c r="BK48" s="57"/>
    </row>
    <row r="49" spans="1:63" x14ac:dyDescent="0.35">
      <c r="A49" s="61" t="s">
        <v>161</v>
      </c>
      <c r="B49" s="61" t="s">
        <v>157</v>
      </c>
      <c r="C49" s="61">
        <v>1</v>
      </c>
      <c r="D49" s="61" t="s">
        <v>37</v>
      </c>
      <c r="E49" s="59">
        <v>8718719850251</v>
      </c>
      <c r="F49" s="303" t="s">
        <v>158</v>
      </c>
      <c r="G49" s="57" t="s">
        <v>162</v>
      </c>
      <c r="H49" s="58" t="s">
        <v>160</v>
      </c>
      <c r="I49" s="61">
        <v>48</v>
      </c>
      <c r="J49" s="61">
        <v>48</v>
      </c>
      <c r="K49" s="61">
        <v>72</v>
      </c>
      <c r="M49" s="61">
        <v>8</v>
      </c>
      <c r="O49" s="61">
        <v>6</v>
      </c>
      <c r="P49" s="58">
        <v>400</v>
      </c>
      <c r="Q49" s="58">
        <v>320</v>
      </c>
      <c r="R49" s="58">
        <v>205</v>
      </c>
      <c r="S49" s="58">
        <v>6.2880000000000003</v>
      </c>
      <c r="T49" s="58">
        <v>7.0359999999999996</v>
      </c>
      <c r="U49" s="58">
        <v>150</v>
      </c>
      <c r="V49" s="58">
        <v>0</v>
      </c>
      <c r="W49" s="58">
        <v>0</v>
      </c>
      <c r="X49" s="58">
        <v>1</v>
      </c>
      <c r="Y49" s="58">
        <v>0</v>
      </c>
      <c r="Z49" s="58">
        <v>0</v>
      </c>
      <c r="AA49" s="58">
        <v>0</v>
      </c>
      <c r="AB49" s="58" t="s">
        <v>29</v>
      </c>
      <c r="AC49" s="57"/>
      <c r="AD49" s="57"/>
      <c r="AE49" s="57"/>
      <c r="BH49"/>
      <c r="BK49" s="57"/>
    </row>
    <row r="50" spans="1:63" x14ac:dyDescent="0.35">
      <c r="A50" s="61" t="s">
        <v>163</v>
      </c>
      <c r="B50" s="61" t="s">
        <v>157</v>
      </c>
      <c r="C50" s="61">
        <v>1</v>
      </c>
      <c r="D50" s="61" t="s">
        <v>37</v>
      </c>
      <c r="E50" s="59">
        <v>8718719850268</v>
      </c>
      <c r="F50" s="303" t="s">
        <v>158</v>
      </c>
      <c r="G50" s="57" t="s">
        <v>164</v>
      </c>
      <c r="H50" s="58" t="s">
        <v>160</v>
      </c>
      <c r="I50" s="61">
        <v>48</v>
      </c>
      <c r="J50" s="61">
        <v>48</v>
      </c>
      <c r="K50" s="61">
        <v>72</v>
      </c>
      <c r="M50" s="61">
        <v>8</v>
      </c>
      <c r="O50" s="61">
        <v>6</v>
      </c>
      <c r="P50" s="58">
        <v>400</v>
      </c>
      <c r="Q50" s="58">
        <v>320</v>
      </c>
      <c r="R50" s="58">
        <v>205</v>
      </c>
      <c r="S50" s="58">
        <v>6.2880000000000003</v>
      </c>
      <c r="T50" s="58">
        <v>7.0359999999999996</v>
      </c>
      <c r="U50" s="58">
        <v>150</v>
      </c>
      <c r="V50" s="58">
        <v>0</v>
      </c>
      <c r="W50" s="58">
        <v>0</v>
      </c>
      <c r="X50" s="58">
        <v>1</v>
      </c>
      <c r="Y50" s="58">
        <v>0</v>
      </c>
      <c r="Z50" s="58">
        <v>0</v>
      </c>
      <c r="AA50" s="58">
        <v>0</v>
      </c>
      <c r="AB50" s="58" t="s">
        <v>29</v>
      </c>
      <c r="AC50" s="57"/>
      <c r="AD50" s="57"/>
      <c r="AE50" s="57"/>
      <c r="BH50"/>
      <c r="BK50" s="57"/>
    </row>
    <row r="51" spans="1:63" x14ac:dyDescent="0.35">
      <c r="A51" s="61" t="s">
        <v>165</v>
      </c>
      <c r="B51" s="61" t="s">
        <v>157</v>
      </c>
      <c r="C51" s="61">
        <v>1</v>
      </c>
      <c r="D51" s="61" t="s">
        <v>37</v>
      </c>
      <c r="E51" s="59">
        <v>8718719850275</v>
      </c>
      <c r="F51" s="303" t="s">
        <v>158</v>
      </c>
      <c r="G51" s="57" t="s">
        <v>166</v>
      </c>
      <c r="H51" s="58" t="s">
        <v>160</v>
      </c>
      <c r="I51" s="61">
        <v>48</v>
      </c>
      <c r="J51" s="61">
        <v>48</v>
      </c>
      <c r="K51" s="61">
        <v>72</v>
      </c>
      <c r="M51" s="61">
        <v>8</v>
      </c>
      <c r="O51" s="61">
        <v>6</v>
      </c>
      <c r="P51" s="58">
        <v>400</v>
      </c>
      <c r="Q51" s="58">
        <v>320</v>
      </c>
      <c r="R51" s="58">
        <v>205</v>
      </c>
      <c r="S51" s="58">
        <v>6.2880000000000003</v>
      </c>
      <c r="T51" s="58">
        <v>7.0359999999999996</v>
      </c>
      <c r="U51" s="58">
        <v>150</v>
      </c>
      <c r="V51" s="58">
        <v>0</v>
      </c>
      <c r="W51" s="58">
        <v>0</v>
      </c>
      <c r="X51" s="58">
        <v>1</v>
      </c>
      <c r="Y51" s="58">
        <v>0</v>
      </c>
      <c r="Z51" s="58">
        <v>0</v>
      </c>
      <c r="AA51" s="58">
        <v>0</v>
      </c>
      <c r="AB51" s="58" t="s">
        <v>29</v>
      </c>
      <c r="AC51" s="57"/>
      <c r="AD51" s="57"/>
      <c r="AE51" s="57"/>
      <c r="BH51"/>
      <c r="BK51" s="57"/>
    </row>
    <row r="52" spans="1:63" x14ac:dyDescent="0.35">
      <c r="A52" s="61" t="s">
        <v>71</v>
      </c>
      <c r="B52" s="61" t="s">
        <v>1045</v>
      </c>
      <c r="C52" s="61">
        <v>1</v>
      </c>
      <c r="D52" s="61" t="s">
        <v>37</v>
      </c>
      <c r="E52" s="59">
        <v>8718719850282</v>
      </c>
      <c r="F52" s="303" t="s">
        <v>62</v>
      </c>
      <c r="G52" s="57" t="s">
        <v>72</v>
      </c>
      <c r="H52" s="58" t="s">
        <v>64</v>
      </c>
      <c r="I52" s="61">
        <v>24</v>
      </c>
      <c r="J52" s="61">
        <v>72</v>
      </c>
      <c r="K52" s="61">
        <v>88</v>
      </c>
      <c r="M52" s="61">
        <v>8</v>
      </c>
      <c r="O52" s="61">
        <v>9</v>
      </c>
      <c r="P52" s="58">
        <v>377</v>
      </c>
      <c r="Q52" s="58">
        <v>300</v>
      </c>
      <c r="R52" s="58">
        <v>163</v>
      </c>
      <c r="S52" s="58">
        <v>4.68</v>
      </c>
      <c r="T52" s="58">
        <v>5.08</v>
      </c>
      <c r="U52" s="58">
        <v>50</v>
      </c>
      <c r="V52" s="58">
        <v>0</v>
      </c>
      <c r="W52" s="58">
        <v>0</v>
      </c>
      <c r="X52" s="58">
        <v>1</v>
      </c>
      <c r="Y52" s="58">
        <v>0</v>
      </c>
      <c r="Z52" s="58">
        <v>0</v>
      </c>
      <c r="AA52" s="58">
        <v>0</v>
      </c>
      <c r="AB52" s="58" t="s">
        <v>29</v>
      </c>
      <c r="AC52" s="57"/>
      <c r="AD52" s="57"/>
      <c r="AE52" s="57"/>
      <c r="BH52"/>
      <c r="BK52" s="57"/>
    </row>
    <row r="53" spans="1:63" x14ac:dyDescent="0.35">
      <c r="A53" s="61" t="s">
        <v>73</v>
      </c>
      <c r="B53" s="61" t="s">
        <v>1045</v>
      </c>
      <c r="C53" s="61">
        <v>1</v>
      </c>
      <c r="D53" s="61" t="s">
        <v>37</v>
      </c>
      <c r="E53" s="59">
        <v>8718719850299</v>
      </c>
      <c r="F53" s="303" t="s">
        <v>62</v>
      </c>
      <c r="G53" s="57" t="s">
        <v>74</v>
      </c>
      <c r="H53" s="58" t="s">
        <v>64</v>
      </c>
      <c r="I53" s="61">
        <v>24</v>
      </c>
      <c r="J53" s="61">
        <v>72</v>
      </c>
      <c r="K53" s="61">
        <v>88</v>
      </c>
      <c r="M53" s="61">
        <v>8</v>
      </c>
      <c r="O53" s="61">
        <v>9</v>
      </c>
      <c r="P53" s="58">
        <v>377</v>
      </c>
      <c r="Q53" s="58">
        <v>300</v>
      </c>
      <c r="R53" s="58">
        <v>163</v>
      </c>
      <c r="S53" s="58">
        <v>4.68</v>
      </c>
      <c r="T53" s="58">
        <v>5.08</v>
      </c>
      <c r="U53" s="58">
        <v>50</v>
      </c>
      <c r="V53" s="58">
        <v>0</v>
      </c>
      <c r="W53" s="58">
        <v>0</v>
      </c>
      <c r="X53" s="58">
        <v>1</v>
      </c>
      <c r="Y53" s="58">
        <v>0</v>
      </c>
      <c r="Z53" s="58">
        <v>0</v>
      </c>
      <c r="AA53" s="58">
        <v>0</v>
      </c>
      <c r="AB53" s="58" t="s">
        <v>29</v>
      </c>
      <c r="AC53" s="57"/>
      <c r="AD53" s="57"/>
      <c r="AE53" s="57"/>
      <c r="BH53"/>
      <c r="BK53" s="57"/>
    </row>
    <row r="54" spans="1:63" x14ac:dyDescent="0.35">
      <c r="A54" s="61" t="s">
        <v>75</v>
      </c>
      <c r="B54" s="61" t="s">
        <v>1045</v>
      </c>
      <c r="C54" s="61">
        <v>1</v>
      </c>
      <c r="D54" s="61" t="s">
        <v>37</v>
      </c>
      <c r="E54" s="59">
        <v>8718719850305</v>
      </c>
      <c r="F54" s="303" t="s">
        <v>62</v>
      </c>
      <c r="G54" s="57" t="s">
        <v>76</v>
      </c>
      <c r="H54" s="58" t="s">
        <v>64</v>
      </c>
      <c r="I54" s="61">
        <v>24</v>
      </c>
      <c r="J54" s="61">
        <v>72</v>
      </c>
      <c r="K54" s="61">
        <v>88</v>
      </c>
      <c r="M54" s="61">
        <v>8</v>
      </c>
      <c r="O54" s="61">
        <v>9</v>
      </c>
      <c r="P54" s="58">
        <v>377</v>
      </c>
      <c r="Q54" s="58">
        <v>300</v>
      </c>
      <c r="R54" s="58">
        <v>163</v>
      </c>
      <c r="S54" s="58">
        <v>4.68</v>
      </c>
      <c r="T54" s="58">
        <v>5.08</v>
      </c>
      <c r="U54" s="58">
        <v>50</v>
      </c>
      <c r="V54" s="58">
        <v>0</v>
      </c>
      <c r="W54" s="58">
        <v>0</v>
      </c>
      <c r="X54" s="58">
        <v>1</v>
      </c>
      <c r="Y54" s="58">
        <v>0</v>
      </c>
      <c r="Z54" s="58">
        <v>0</v>
      </c>
      <c r="AA54" s="58">
        <v>0</v>
      </c>
      <c r="AB54" s="58" t="s">
        <v>29</v>
      </c>
      <c r="AC54" s="57"/>
      <c r="AD54" s="57"/>
      <c r="AE54" s="57"/>
      <c r="BH54"/>
      <c r="BK54" s="57"/>
    </row>
    <row r="55" spans="1:63" x14ac:dyDescent="0.35">
      <c r="A55" s="61" t="s">
        <v>77</v>
      </c>
      <c r="B55" s="61" t="s">
        <v>1045</v>
      </c>
      <c r="C55" s="61">
        <v>1</v>
      </c>
      <c r="D55" s="61" t="s">
        <v>37</v>
      </c>
      <c r="E55" s="59">
        <v>8718719850312</v>
      </c>
      <c r="F55" s="303" t="s">
        <v>62</v>
      </c>
      <c r="G55" s="57" t="s">
        <v>78</v>
      </c>
      <c r="H55" s="58" t="s">
        <v>64</v>
      </c>
      <c r="I55" s="61">
        <v>24</v>
      </c>
      <c r="J55" s="61">
        <v>72</v>
      </c>
      <c r="K55" s="61">
        <v>88</v>
      </c>
      <c r="M55" s="61">
        <v>8</v>
      </c>
      <c r="O55" s="61">
        <v>9</v>
      </c>
      <c r="P55" s="58">
        <v>377</v>
      </c>
      <c r="Q55" s="58">
        <v>300</v>
      </c>
      <c r="R55" s="58">
        <v>163</v>
      </c>
      <c r="S55" s="58">
        <v>4.68</v>
      </c>
      <c r="T55" s="58">
        <v>5.08</v>
      </c>
      <c r="U55" s="58">
        <v>50</v>
      </c>
      <c r="V55" s="58">
        <v>0</v>
      </c>
      <c r="W55" s="58">
        <v>0</v>
      </c>
      <c r="X55" s="58">
        <v>1</v>
      </c>
      <c r="Y55" s="58">
        <v>0</v>
      </c>
      <c r="Z55" s="58">
        <v>0</v>
      </c>
      <c r="AA55" s="58">
        <v>0</v>
      </c>
      <c r="AB55" s="58" t="s">
        <v>29</v>
      </c>
      <c r="AC55" s="57"/>
      <c r="AD55" s="57"/>
      <c r="AE55" s="57"/>
      <c r="BH55"/>
      <c r="BK55" s="57"/>
    </row>
    <row r="56" spans="1:63" x14ac:dyDescent="0.35">
      <c r="A56" s="61" t="s">
        <v>106</v>
      </c>
      <c r="B56" s="61" t="s">
        <v>1045</v>
      </c>
      <c r="C56" s="61">
        <v>1</v>
      </c>
      <c r="D56" s="61" t="s">
        <v>37</v>
      </c>
      <c r="E56" s="59">
        <v>6291107162713</v>
      </c>
      <c r="F56" s="303" t="s">
        <v>62</v>
      </c>
      <c r="G56" s="57" t="s">
        <v>107</v>
      </c>
      <c r="H56" s="58" t="s">
        <v>64</v>
      </c>
      <c r="I56" s="61">
        <v>24</v>
      </c>
      <c r="J56" s="61">
        <v>64</v>
      </c>
      <c r="K56" s="61">
        <v>64</v>
      </c>
      <c r="M56" s="61">
        <v>8</v>
      </c>
      <c r="O56" s="61">
        <v>8</v>
      </c>
      <c r="P56" s="58">
        <v>430</v>
      </c>
      <c r="Q56" s="58">
        <v>300</v>
      </c>
      <c r="R56" s="58">
        <v>195</v>
      </c>
      <c r="S56" s="58">
        <v>6.87</v>
      </c>
      <c r="T56" s="58">
        <v>7.56</v>
      </c>
      <c r="U56" s="58">
        <v>100</v>
      </c>
      <c r="V56" s="58">
        <v>0</v>
      </c>
      <c r="W56" s="58">
        <v>0</v>
      </c>
      <c r="X56" s="58">
        <v>1</v>
      </c>
      <c r="Y56" s="58">
        <v>0</v>
      </c>
      <c r="Z56" s="58">
        <v>0</v>
      </c>
      <c r="AA56" s="58">
        <v>0</v>
      </c>
      <c r="AB56" s="58" t="s">
        <v>29</v>
      </c>
      <c r="AC56" s="57"/>
      <c r="AD56" s="57"/>
      <c r="AE56" s="57"/>
      <c r="BH56"/>
      <c r="BK56" s="57"/>
    </row>
    <row r="57" spans="1:63" x14ac:dyDescent="0.35">
      <c r="A57" s="61" t="s">
        <v>108</v>
      </c>
      <c r="B57" s="61" t="s">
        <v>1045</v>
      </c>
      <c r="C57" s="61">
        <v>1</v>
      </c>
      <c r="D57" s="61" t="s">
        <v>37</v>
      </c>
      <c r="E57" s="59">
        <v>6291107162720</v>
      </c>
      <c r="F57" s="303" t="s">
        <v>62</v>
      </c>
      <c r="G57" s="57" t="s">
        <v>109</v>
      </c>
      <c r="H57" s="58" t="s">
        <v>64</v>
      </c>
      <c r="I57" s="61">
        <v>24</v>
      </c>
      <c r="J57" s="61">
        <v>64</v>
      </c>
      <c r="K57" s="61">
        <v>64</v>
      </c>
      <c r="M57" s="61">
        <v>8</v>
      </c>
      <c r="O57" s="61">
        <v>8</v>
      </c>
      <c r="P57" s="58">
        <v>430</v>
      </c>
      <c r="Q57" s="58">
        <v>300</v>
      </c>
      <c r="R57" s="58">
        <v>195</v>
      </c>
      <c r="S57" s="58">
        <v>6.87</v>
      </c>
      <c r="T57" s="58">
        <v>7.56</v>
      </c>
      <c r="U57" s="58">
        <v>100</v>
      </c>
      <c r="V57" s="58">
        <v>0</v>
      </c>
      <c r="W57" s="58">
        <v>0</v>
      </c>
      <c r="X57" s="58">
        <v>1</v>
      </c>
      <c r="Y57" s="58">
        <v>0</v>
      </c>
      <c r="Z57" s="58">
        <v>0</v>
      </c>
      <c r="AA57" s="58">
        <v>0</v>
      </c>
      <c r="AB57" s="58" t="s">
        <v>29</v>
      </c>
      <c r="AC57" s="57"/>
      <c r="AD57" s="57"/>
      <c r="AE57" s="57"/>
      <c r="BH57"/>
      <c r="BK57" s="57"/>
    </row>
    <row r="58" spans="1:63" x14ac:dyDescent="0.35">
      <c r="A58" s="61" t="s">
        <v>110</v>
      </c>
      <c r="B58" s="61" t="s">
        <v>1045</v>
      </c>
      <c r="C58" s="61">
        <v>1</v>
      </c>
      <c r="D58" s="61" t="s">
        <v>37</v>
      </c>
      <c r="E58" s="59">
        <v>6291107162737</v>
      </c>
      <c r="F58" s="303" t="s">
        <v>62</v>
      </c>
      <c r="G58" s="57" t="s">
        <v>111</v>
      </c>
      <c r="H58" s="58" t="s">
        <v>64</v>
      </c>
      <c r="I58" s="61">
        <v>24</v>
      </c>
      <c r="J58" s="61">
        <v>64</v>
      </c>
      <c r="K58" s="61">
        <v>64</v>
      </c>
      <c r="M58" s="61">
        <v>8</v>
      </c>
      <c r="O58" s="61">
        <v>8</v>
      </c>
      <c r="P58" s="58">
        <v>430</v>
      </c>
      <c r="Q58" s="58">
        <v>300</v>
      </c>
      <c r="R58" s="58">
        <v>195</v>
      </c>
      <c r="S58" s="58">
        <v>6.87</v>
      </c>
      <c r="T58" s="58">
        <v>7.56</v>
      </c>
      <c r="U58" s="58">
        <v>100</v>
      </c>
      <c r="V58" s="58">
        <v>0</v>
      </c>
      <c r="W58" s="58">
        <v>0</v>
      </c>
      <c r="X58" s="58">
        <v>1</v>
      </c>
      <c r="Y58" s="58">
        <v>0</v>
      </c>
      <c r="Z58" s="58">
        <v>0</v>
      </c>
      <c r="AA58" s="58">
        <v>0</v>
      </c>
      <c r="AB58" s="58" t="s">
        <v>29</v>
      </c>
      <c r="AC58" s="57"/>
      <c r="AD58" s="57"/>
      <c r="AE58" s="57"/>
      <c r="BH58"/>
      <c r="BK58" s="57"/>
    </row>
    <row r="59" spans="1:63" x14ac:dyDescent="0.35">
      <c r="A59" s="61" t="s">
        <v>112</v>
      </c>
      <c r="B59" s="61" t="s">
        <v>1045</v>
      </c>
      <c r="C59" s="61">
        <v>1</v>
      </c>
      <c r="D59" s="61" t="s">
        <v>37</v>
      </c>
      <c r="E59" s="59">
        <v>6291107162744</v>
      </c>
      <c r="F59" s="303" t="s">
        <v>62</v>
      </c>
      <c r="G59" s="57" t="s">
        <v>113</v>
      </c>
      <c r="H59" s="58" t="s">
        <v>64</v>
      </c>
      <c r="I59" s="61">
        <v>24</v>
      </c>
      <c r="J59" s="61">
        <v>64</v>
      </c>
      <c r="K59" s="61">
        <v>64</v>
      </c>
      <c r="M59" s="61">
        <v>8</v>
      </c>
      <c r="O59" s="61">
        <v>8</v>
      </c>
      <c r="P59" s="58">
        <v>430</v>
      </c>
      <c r="Q59" s="58">
        <v>300</v>
      </c>
      <c r="R59" s="58">
        <v>195</v>
      </c>
      <c r="S59" s="58">
        <v>6.87</v>
      </c>
      <c r="T59" s="58">
        <v>7.56</v>
      </c>
      <c r="U59" s="58">
        <v>100</v>
      </c>
      <c r="V59" s="58">
        <v>0</v>
      </c>
      <c r="W59" s="58">
        <v>0</v>
      </c>
      <c r="X59" s="58">
        <v>1</v>
      </c>
      <c r="Y59" s="58">
        <v>0</v>
      </c>
      <c r="Z59" s="58">
        <v>0</v>
      </c>
      <c r="AA59" s="58">
        <v>0</v>
      </c>
      <c r="AB59" s="58" t="s">
        <v>29</v>
      </c>
      <c r="AC59" s="57"/>
      <c r="AD59" s="57"/>
      <c r="AE59" s="57"/>
      <c r="BH59"/>
      <c r="BK59" s="57"/>
    </row>
    <row r="60" spans="1:63" x14ac:dyDescent="0.35">
      <c r="A60" s="61" t="s">
        <v>114</v>
      </c>
      <c r="B60" s="61" t="s">
        <v>115</v>
      </c>
      <c r="C60" s="61">
        <v>1</v>
      </c>
      <c r="D60" s="61" t="s">
        <v>26</v>
      </c>
      <c r="E60" s="59">
        <v>6291107160771</v>
      </c>
      <c r="F60" s="303" t="s">
        <v>62</v>
      </c>
      <c r="G60" s="57" t="s">
        <v>116</v>
      </c>
      <c r="H60" s="58" t="s">
        <v>64</v>
      </c>
      <c r="I60" s="61">
        <v>24</v>
      </c>
      <c r="J60" s="61">
        <v>48</v>
      </c>
      <c r="K60" s="61">
        <v>60</v>
      </c>
      <c r="M60" s="61">
        <v>6</v>
      </c>
      <c r="O60" s="61">
        <v>8</v>
      </c>
      <c r="P60" s="58">
        <v>370</v>
      </c>
      <c r="Q60" s="58">
        <v>275</v>
      </c>
      <c r="R60" s="58">
        <v>170</v>
      </c>
      <c r="S60" s="58">
        <v>9.48</v>
      </c>
      <c r="T60" s="58">
        <v>9.9</v>
      </c>
      <c r="U60" s="58">
        <v>100</v>
      </c>
      <c r="V60" s="58">
        <v>0</v>
      </c>
      <c r="W60" s="58">
        <v>0</v>
      </c>
      <c r="X60" s="58">
        <v>1</v>
      </c>
      <c r="Y60" s="58">
        <v>0</v>
      </c>
      <c r="Z60" s="58">
        <v>0</v>
      </c>
      <c r="AA60" s="58">
        <v>0</v>
      </c>
      <c r="AB60" s="58" t="s">
        <v>29</v>
      </c>
      <c r="AC60" s="57"/>
      <c r="AD60" s="57"/>
      <c r="AE60" s="57"/>
      <c r="BH60"/>
      <c r="BK60" s="57"/>
    </row>
    <row r="61" spans="1:63" x14ac:dyDescent="0.35">
      <c r="A61" s="61" t="s">
        <v>117</v>
      </c>
      <c r="B61" s="61" t="s">
        <v>115</v>
      </c>
      <c r="C61" s="61">
        <v>1</v>
      </c>
      <c r="D61" s="61" t="s">
        <v>26</v>
      </c>
      <c r="E61" s="59">
        <v>6291107160788</v>
      </c>
      <c r="F61" s="303" t="s">
        <v>62</v>
      </c>
      <c r="G61" s="57" t="s">
        <v>118</v>
      </c>
      <c r="H61" s="58" t="s">
        <v>64</v>
      </c>
      <c r="I61" s="61">
        <v>24</v>
      </c>
      <c r="J61" s="61">
        <v>48</v>
      </c>
      <c r="K61" s="61">
        <v>60</v>
      </c>
      <c r="M61" s="61">
        <v>6</v>
      </c>
      <c r="O61" s="61">
        <v>8</v>
      </c>
      <c r="P61" s="58">
        <v>370</v>
      </c>
      <c r="Q61" s="58">
        <v>275</v>
      </c>
      <c r="R61" s="58">
        <v>170</v>
      </c>
      <c r="S61" s="58">
        <v>9.48</v>
      </c>
      <c r="T61" s="58">
        <v>9.9</v>
      </c>
      <c r="U61" s="58">
        <v>100</v>
      </c>
      <c r="V61" s="58">
        <v>0</v>
      </c>
      <c r="W61" s="58">
        <v>0</v>
      </c>
      <c r="X61" s="58">
        <v>1</v>
      </c>
      <c r="Y61" s="58">
        <v>0</v>
      </c>
      <c r="Z61" s="58">
        <v>0</v>
      </c>
      <c r="AA61" s="58">
        <v>0</v>
      </c>
      <c r="AB61" s="58" t="s">
        <v>29</v>
      </c>
      <c r="AC61" s="57"/>
      <c r="AD61" s="57"/>
      <c r="AE61" s="57"/>
      <c r="BH61"/>
      <c r="BK61" s="57"/>
    </row>
    <row r="62" spans="1:63" x14ac:dyDescent="0.35">
      <c r="A62" s="61" t="s">
        <v>119</v>
      </c>
      <c r="B62" s="61" t="s">
        <v>115</v>
      </c>
      <c r="C62" s="61">
        <v>1</v>
      </c>
      <c r="D62" s="61" t="s">
        <v>26</v>
      </c>
      <c r="E62" s="59">
        <v>6291107160795</v>
      </c>
      <c r="F62" s="303" t="s">
        <v>62</v>
      </c>
      <c r="G62" s="57" t="s">
        <v>690</v>
      </c>
      <c r="H62" s="58" t="s">
        <v>64</v>
      </c>
      <c r="I62" s="61">
        <v>24</v>
      </c>
      <c r="J62" s="61">
        <v>48</v>
      </c>
      <c r="K62" s="61">
        <v>60</v>
      </c>
      <c r="M62" s="61">
        <v>6</v>
      </c>
      <c r="O62" s="61">
        <v>8</v>
      </c>
      <c r="P62" s="58">
        <v>370</v>
      </c>
      <c r="Q62" s="58">
        <v>275</v>
      </c>
      <c r="R62" s="58">
        <v>170</v>
      </c>
      <c r="S62" s="58">
        <v>9.48</v>
      </c>
      <c r="T62" s="58">
        <v>9.9</v>
      </c>
      <c r="U62" s="58">
        <v>100</v>
      </c>
      <c r="V62" s="58">
        <v>0</v>
      </c>
      <c r="W62" s="58">
        <v>0</v>
      </c>
      <c r="X62" s="58">
        <v>1</v>
      </c>
      <c r="Y62" s="58">
        <v>0</v>
      </c>
      <c r="Z62" s="58">
        <v>0</v>
      </c>
      <c r="AA62" s="58">
        <v>0</v>
      </c>
      <c r="AB62" s="58" t="s">
        <v>29</v>
      </c>
      <c r="AC62" s="57"/>
      <c r="AD62" s="57"/>
      <c r="AE62" s="57"/>
      <c r="BH62"/>
      <c r="BK62" s="57"/>
    </row>
    <row r="63" spans="1:63" x14ac:dyDescent="0.35">
      <c r="A63" s="61" t="s">
        <v>121</v>
      </c>
      <c r="B63" s="61" t="s">
        <v>115</v>
      </c>
      <c r="C63" s="61">
        <v>1</v>
      </c>
      <c r="D63" s="61" t="s">
        <v>26</v>
      </c>
      <c r="E63" s="59">
        <v>6291107160801</v>
      </c>
      <c r="F63" s="303" t="s">
        <v>62</v>
      </c>
      <c r="G63" s="57" t="s">
        <v>122</v>
      </c>
      <c r="H63" s="58" t="s">
        <v>64</v>
      </c>
      <c r="I63" s="61">
        <v>24</v>
      </c>
      <c r="J63" s="61">
        <v>48</v>
      </c>
      <c r="K63" s="61">
        <v>60</v>
      </c>
      <c r="M63" s="61">
        <v>6</v>
      </c>
      <c r="O63" s="61">
        <v>8</v>
      </c>
      <c r="P63" s="58">
        <v>370</v>
      </c>
      <c r="Q63" s="58">
        <v>275</v>
      </c>
      <c r="R63" s="58">
        <v>170</v>
      </c>
      <c r="S63" s="58">
        <v>9.48</v>
      </c>
      <c r="T63" s="58">
        <v>9.9</v>
      </c>
      <c r="U63" s="58">
        <v>100</v>
      </c>
      <c r="V63" s="58">
        <v>0</v>
      </c>
      <c r="W63" s="58">
        <v>0</v>
      </c>
      <c r="X63" s="58">
        <v>1</v>
      </c>
      <c r="Y63" s="58">
        <v>0</v>
      </c>
      <c r="Z63" s="58">
        <v>0</v>
      </c>
      <c r="AA63" s="58">
        <v>0</v>
      </c>
      <c r="AB63" s="58" t="s">
        <v>29</v>
      </c>
      <c r="AC63" s="57"/>
      <c r="AD63" s="57"/>
      <c r="AE63" s="57"/>
      <c r="BH63"/>
      <c r="BK63" s="57"/>
    </row>
    <row r="64" spans="1:63" x14ac:dyDescent="0.35">
      <c r="A64" s="61" t="s">
        <v>123</v>
      </c>
      <c r="B64" s="61" t="s">
        <v>115</v>
      </c>
      <c r="C64" s="61">
        <v>1</v>
      </c>
      <c r="D64" s="61" t="s">
        <v>37</v>
      </c>
      <c r="E64" s="59">
        <v>6291107160825</v>
      </c>
      <c r="F64" s="303" t="s">
        <v>62</v>
      </c>
      <c r="G64" s="57" t="s">
        <v>124</v>
      </c>
      <c r="H64" s="58" t="s">
        <v>64</v>
      </c>
      <c r="I64" s="61">
        <v>24</v>
      </c>
      <c r="J64" s="61">
        <v>48</v>
      </c>
      <c r="K64" s="61">
        <v>60</v>
      </c>
      <c r="M64" s="61">
        <v>6</v>
      </c>
      <c r="O64" s="61">
        <v>8</v>
      </c>
      <c r="P64" s="58">
        <v>375</v>
      </c>
      <c r="Q64" s="58">
        <v>275</v>
      </c>
      <c r="R64" s="58">
        <v>170</v>
      </c>
      <c r="S64" s="58">
        <v>9.1199999999999992</v>
      </c>
      <c r="T64" s="58">
        <v>9.5</v>
      </c>
      <c r="U64" s="58">
        <v>100</v>
      </c>
      <c r="V64" s="58">
        <v>0</v>
      </c>
      <c r="W64" s="58">
        <v>0</v>
      </c>
      <c r="X64" s="58">
        <v>1</v>
      </c>
      <c r="Y64" s="58">
        <v>0</v>
      </c>
      <c r="Z64" s="58">
        <v>0</v>
      </c>
      <c r="AA64" s="58">
        <v>0</v>
      </c>
      <c r="AB64" s="58" t="s">
        <v>29</v>
      </c>
      <c r="AC64" s="57"/>
      <c r="AD64" s="57"/>
      <c r="AE64" s="57"/>
      <c r="BH64"/>
      <c r="BK64" s="57"/>
    </row>
    <row r="65" spans="1:63" x14ac:dyDescent="0.35">
      <c r="A65" s="61" t="s">
        <v>125</v>
      </c>
      <c r="B65" s="61" t="s">
        <v>115</v>
      </c>
      <c r="C65" s="61">
        <v>1</v>
      </c>
      <c r="D65" s="61" t="s">
        <v>37</v>
      </c>
      <c r="E65" s="59">
        <v>6291107160818</v>
      </c>
      <c r="F65" s="303" t="s">
        <v>62</v>
      </c>
      <c r="G65" s="57" t="s">
        <v>126</v>
      </c>
      <c r="H65" s="58" t="s">
        <v>64</v>
      </c>
      <c r="I65" s="61">
        <v>24</v>
      </c>
      <c r="J65" s="61">
        <v>48</v>
      </c>
      <c r="K65" s="61">
        <v>60</v>
      </c>
      <c r="M65" s="61">
        <v>6</v>
      </c>
      <c r="O65" s="61">
        <v>8</v>
      </c>
      <c r="P65" s="58">
        <v>375</v>
      </c>
      <c r="Q65" s="58">
        <v>275</v>
      </c>
      <c r="R65" s="58">
        <v>170</v>
      </c>
      <c r="S65" s="58">
        <v>9.1199999999999992</v>
      </c>
      <c r="T65" s="58">
        <v>9.5</v>
      </c>
      <c r="U65" s="58">
        <v>100</v>
      </c>
      <c r="V65" s="58">
        <v>0</v>
      </c>
      <c r="W65" s="58">
        <v>0</v>
      </c>
      <c r="X65" s="58">
        <v>1</v>
      </c>
      <c r="Y65" s="58">
        <v>0</v>
      </c>
      <c r="Z65" s="58">
        <v>0</v>
      </c>
      <c r="AA65" s="58">
        <v>0</v>
      </c>
      <c r="AB65" s="58" t="s">
        <v>29</v>
      </c>
      <c r="AC65" s="57"/>
      <c r="AD65" s="57"/>
      <c r="AE65" s="57"/>
      <c r="BH65"/>
      <c r="BK65" s="57"/>
    </row>
    <row r="66" spans="1:63" x14ac:dyDescent="0.35">
      <c r="A66" s="61" t="s">
        <v>127</v>
      </c>
      <c r="B66" s="61" t="s">
        <v>115</v>
      </c>
      <c r="C66" s="61">
        <v>1</v>
      </c>
      <c r="D66" s="61" t="s">
        <v>37</v>
      </c>
      <c r="E66" s="59">
        <v>6291107162171</v>
      </c>
      <c r="F66" s="303" t="s">
        <v>62</v>
      </c>
      <c r="G66" s="57" t="s">
        <v>128</v>
      </c>
      <c r="H66" s="58" t="s">
        <v>64</v>
      </c>
      <c r="I66" s="61">
        <v>24</v>
      </c>
      <c r="J66" s="61">
        <v>48</v>
      </c>
      <c r="K66" s="61">
        <v>60</v>
      </c>
      <c r="M66" s="61">
        <v>6</v>
      </c>
      <c r="O66" s="61">
        <v>8</v>
      </c>
      <c r="P66" s="58">
        <v>375</v>
      </c>
      <c r="Q66" s="58">
        <v>275</v>
      </c>
      <c r="R66" s="58">
        <v>170</v>
      </c>
      <c r="S66" s="58">
        <v>9.1199999999999992</v>
      </c>
      <c r="T66" s="58">
        <v>9.5</v>
      </c>
      <c r="U66" s="58">
        <v>100</v>
      </c>
      <c r="V66" s="58">
        <v>0</v>
      </c>
      <c r="W66" s="58">
        <v>0</v>
      </c>
      <c r="X66" s="58">
        <v>1</v>
      </c>
      <c r="Y66" s="58">
        <v>0</v>
      </c>
      <c r="Z66" s="58">
        <v>0</v>
      </c>
      <c r="AA66" s="58">
        <v>0</v>
      </c>
      <c r="AB66" s="58" t="s">
        <v>29</v>
      </c>
      <c r="AC66" s="57"/>
      <c r="AD66" s="57"/>
      <c r="AE66" s="57"/>
      <c r="BH66"/>
      <c r="BK66" s="57"/>
    </row>
    <row r="67" spans="1:63" x14ac:dyDescent="0.35">
      <c r="A67" s="61" t="s">
        <v>129</v>
      </c>
      <c r="B67" s="61" t="s">
        <v>115</v>
      </c>
      <c r="C67" s="61">
        <v>1</v>
      </c>
      <c r="D67" s="61" t="s">
        <v>37</v>
      </c>
      <c r="E67" s="59">
        <v>6291107162188</v>
      </c>
      <c r="F67" s="303" t="s">
        <v>62</v>
      </c>
      <c r="G67" s="57" t="s">
        <v>130</v>
      </c>
      <c r="H67" s="58" t="s">
        <v>64</v>
      </c>
      <c r="I67" s="61">
        <v>24</v>
      </c>
      <c r="J67" s="61">
        <v>48</v>
      </c>
      <c r="K67" s="61">
        <v>60</v>
      </c>
      <c r="M67" s="61">
        <v>6</v>
      </c>
      <c r="O67" s="61">
        <v>8</v>
      </c>
      <c r="P67" s="58">
        <v>375</v>
      </c>
      <c r="Q67" s="58">
        <v>275</v>
      </c>
      <c r="R67" s="58">
        <v>170</v>
      </c>
      <c r="S67" s="58">
        <v>9.1199999999999992</v>
      </c>
      <c r="T67" s="58">
        <v>9.5</v>
      </c>
      <c r="U67" s="58">
        <v>100</v>
      </c>
      <c r="V67" s="58">
        <v>0</v>
      </c>
      <c r="W67" s="58">
        <v>0</v>
      </c>
      <c r="X67" s="58">
        <v>1</v>
      </c>
      <c r="Y67" s="58">
        <v>0</v>
      </c>
      <c r="Z67" s="58">
        <v>0</v>
      </c>
      <c r="AA67" s="58">
        <v>0</v>
      </c>
      <c r="AB67" s="58" t="s">
        <v>29</v>
      </c>
      <c r="AC67" s="57"/>
      <c r="AD67" s="57"/>
      <c r="AE67" s="57"/>
      <c r="BH67"/>
      <c r="BK67" s="57"/>
    </row>
    <row r="68" spans="1:63" x14ac:dyDescent="0.35">
      <c r="A68" s="61" t="s">
        <v>718</v>
      </c>
      <c r="B68" s="61" t="s">
        <v>157</v>
      </c>
      <c r="C68" s="61">
        <v>1</v>
      </c>
      <c r="D68" s="61" t="s">
        <v>37</v>
      </c>
      <c r="E68" s="59"/>
      <c r="F68" s="303" t="s">
        <v>158</v>
      </c>
      <c r="G68" s="57" t="s">
        <v>904</v>
      </c>
      <c r="H68" s="58" t="s">
        <v>160</v>
      </c>
      <c r="I68" s="61">
        <v>24</v>
      </c>
      <c r="O68" s="61">
        <v>11</v>
      </c>
      <c r="P68" s="58">
        <v>350</v>
      </c>
      <c r="Q68" s="58">
        <v>235</v>
      </c>
      <c r="R68" s="58">
        <v>195</v>
      </c>
      <c r="S68" s="58">
        <v>6.5039999999999996</v>
      </c>
      <c r="T68" s="58">
        <v>7.09</v>
      </c>
      <c r="U68" s="58">
        <v>100</v>
      </c>
      <c r="V68" s="58">
        <v>0</v>
      </c>
      <c r="W68" s="58">
        <v>0</v>
      </c>
      <c r="X68" s="58">
        <v>1</v>
      </c>
      <c r="Y68" s="58">
        <v>0</v>
      </c>
      <c r="Z68" s="58">
        <v>0</v>
      </c>
      <c r="AA68" s="58">
        <v>0</v>
      </c>
      <c r="AB68" s="58" t="s">
        <v>29</v>
      </c>
      <c r="AC68" s="57"/>
      <c r="AD68" s="57"/>
      <c r="AE68" s="57"/>
      <c r="BH68"/>
      <c r="BK68" s="57"/>
    </row>
    <row r="69" spans="1:63" x14ac:dyDescent="0.35">
      <c r="A69" s="221" t="s">
        <v>720</v>
      </c>
      <c r="B69" s="221" t="s">
        <v>157</v>
      </c>
      <c r="C69" s="221">
        <v>1</v>
      </c>
      <c r="D69" s="221" t="s">
        <v>37</v>
      </c>
      <c r="E69" s="166"/>
      <c r="F69" s="303" t="s">
        <v>158</v>
      </c>
      <c r="G69" s="165" t="s">
        <v>905</v>
      </c>
      <c r="H69" s="219" t="s">
        <v>160</v>
      </c>
      <c r="I69" s="61">
        <v>24</v>
      </c>
      <c r="J69" s="221"/>
      <c r="K69" s="221"/>
      <c r="L69" s="221"/>
      <c r="M69" s="221"/>
      <c r="N69" s="221"/>
      <c r="O69" s="221">
        <v>11</v>
      </c>
      <c r="P69" s="219">
        <v>350</v>
      </c>
      <c r="Q69" s="219">
        <v>235</v>
      </c>
      <c r="R69" s="219">
        <v>195</v>
      </c>
      <c r="S69" s="219">
        <v>6.5039999999999996</v>
      </c>
      <c r="T69" s="219">
        <v>7.09</v>
      </c>
      <c r="U69" s="58">
        <v>100</v>
      </c>
      <c r="V69" s="58">
        <v>0</v>
      </c>
      <c r="W69" s="58">
        <v>0</v>
      </c>
      <c r="X69" s="58">
        <v>1</v>
      </c>
      <c r="Y69" s="58">
        <v>0</v>
      </c>
      <c r="Z69" s="58">
        <v>0</v>
      </c>
      <c r="AA69" s="58">
        <v>0</v>
      </c>
      <c r="AB69" s="58" t="s">
        <v>29</v>
      </c>
      <c r="AC69" s="57"/>
      <c r="AD69" s="57"/>
      <c r="AE69" s="57"/>
      <c r="BH69"/>
      <c r="BK69" s="57"/>
    </row>
    <row r="70" spans="1:63" x14ac:dyDescent="0.35">
      <c r="A70" s="221" t="s">
        <v>722</v>
      </c>
      <c r="B70" s="221" t="s">
        <v>157</v>
      </c>
      <c r="C70" s="221">
        <v>1</v>
      </c>
      <c r="D70" s="221" t="s">
        <v>37</v>
      </c>
      <c r="E70" s="166"/>
      <c r="F70" s="303" t="s">
        <v>158</v>
      </c>
      <c r="G70" s="165" t="s">
        <v>906</v>
      </c>
      <c r="H70" s="219" t="s">
        <v>160</v>
      </c>
      <c r="I70" s="61">
        <v>24</v>
      </c>
      <c r="J70" s="221"/>
      <c r="K70" s="221"/>
      <c r="L70" s="221"/>
      <c r="M70" s="221"/>
      <c r="N70" s="221"/>
      <c r="O70" s="221">
        <v>11</v>
      </c>
      <c r="P70" s="219">
        <v>350</v>
      </c>
      <c r="Q70" s="219">
        <v>235</v>
      </c>
      <c r="R70" s="219">
        <v>195</v>
      </c>
      <c r="S70" s="219">
        <v>6.5039999999999996</v>
      </c>
      <c r="T70" s="219">
        <v>7.09</v>
      </c>
      <c r="U70" s="58">
        <v>100</v>
      </c>
      <c r="V70" s="58">
        <v>0</v>
      </c>
      <c r="W70" s="58">
        <v>0</v>
      </c>
      <c r="X70" s="58">
        <v>1</v>
      </c>
      <c r="Y70" s="58">
        <v>0</v>
      </c>
      <c r="Z70" s="58">
        <v>0</v>
      </c>
      <c r="AA70" s="58">
        <v>0</v>
      </c>
      <c r="AB70" s="58" t="s">
        <v>29</v>
      </c>
      <c r="AC70" s="57"/>
      <c r="AD70" s="57"/>
      <c r="AE70" s="57"/>
      <c r="BH70"/>
      <c r="BK70" s="57"/>
    </row>
    <row r="71" spans="1:63" x14ac:dyDescent="0.35">
      <c r="A71" s="221" t="s">
        <v>724</v>
      </c>
      <c r="B71" s="221" t="s">
        <v>157</v>
      </c>
      <c r="C71" s="221">
        <v>1</v>
      </c>
      <c r="D71" s="221" t="s">
        <v>37</v>
      </c>
      <c r="E71" s="166"/>
      <c r="F71" s="303" t="s">
        <v>158</v>
      </c>
      <c r="G71" s="165" t="s">
        <v>907</v>
      </c>
      <c r="H71" s="219" t="s">
        <v>160</v>
      </c>
      <c r="I71" s="61">
        <v>24</v>
      </c>
      <c r="J71" s="221"/>
      <c r="K71" s="221"/>
      <c r="L71" s="221"/>
      <c r="M71" s="221"/>
      <c r="N71" s="221"/>
      <c r="O71" s="221">
        <v>11</v>
      </c>
      <c r="P71" s="219">
        <v>350</v>
      </c>
      <c r="Q71" s="219">
        <v>235</v>
      </c>
      <c r="R71" s="219">
        <v>195</v>
      </c>
      <c r="S71" s="219">
        <v>6.5039999999999996</v>
      </c>
      <c r="T71" s="219">
        <v>7.09</v>
      </c>
      <c r="U71" s="58">
        <v>100</v>
      </c>
      <c r="V71" s="58">
        <v>0</v>
      </c>
      <c r="W71" s="58">
        <v>0</v>
      </c>
      <c r="X71" s="58">
        <v>1</v>
      </c>
      <c r="Y71" s="58">
        <v>0</v>
      </c>
      <c r="Z71" s="58">
        <v>0</v>
      </c>
      <c r="AA71" s="58">
        <v>0</v>
      </c>
      <c r="AB71" s="58" t="s">
        <v>29</v>
      </c>
      <c r="AC71" s="57"/>
      <c r="AD71" s="57"/>
      <c r="AE71" s="57"/>
      <c r="BH71"/>
      <c r="BK71" s="57"/>
    </row>
    <row r="72" spans="1:63" x14ac:dyDescent="0.35">
      <c r="A72" s="221" t="s">
        <v>726</v>
      </c>
      <c r="B72" s="221" t="s">
        <v>157</v>
      </c>
      <c r="C72" s="221">
        <v>1</v>
      </c>
      <c r="D72" s="221" t="s">
        <v>26</v>
      </c>
      <c r="E72" s="166"/>
      <c r="F72" s="303" t="s">
        <v>158</v>
      </c>
      <c r="G72" s="165" t="s">
        <v>900</v>
      </c>
      <c r="H72" s="219" t="s">
        <v>160</v>
      </c>
      <c r="I72" s="61">
        <v>24</v>
      </c>
      <c r="J72" s="221"/>
      <c r="K72" s="221"/>
      <c r="L72" s="221"/>
      <c r="M72" s="221"/>
      <c r="N72" s="221"/>
      <c r="O72" s="221">
        <v>8</v>
      </c>
      <c r="P72" s="219">
        <v>430</v>
      </c>
      <c r="Q72" s="219">
        <v>285</v>
      </c>
      <c r="R72" s="219">
        <v>185</v>
      </c>
      <c r="S72" s="219">
        <v>6.0960000000000001</v>
      </c>
      <c r="T72" s="219">
        <v>6.8</v>
      </c>
      <c r="U72" s="58">
        <v>100</v>
      </c>
      <c r="V72" s="58">
        <v>0</v>
      </c>
      <c r="W72" s="58">
        <v>0</v>
      </c>
      <c r="X72" s="58">
        <v>1</v>
      </c>
      <c r="Y72" s="58">
        <v>0</v>
      </c>
      <c r="Z72" s="58">
        <v>0</v>
      </c>
      <c r="AA72" s="58">
        <v>0</v>
      </c>
      <c r="AB72" s="58" t="s">
        <v>29</v>
      </c>
      <c r="AC72" s="57"/>
      <c r="AD72" s="57"/>
      <c r="AE72" s="57"/>
      <c r="BH72"/>
      <c r="BK72" s="57"/>
    </row>
    <row r="73" spans="1:63" x14ac:dyDescent="0.35">
      <c r="A73" s="221" t="s">
        <v>728</v>
      </c>
      <c r="B73" s="221" t="s">
        <v>157</v>
      </c>
      <c r="C73" s="221">
        <v>1</v>
      </c>
      <c r="D73" s="221" t="s">
        <v>26</v>
      </c>
      <c r="E73" s="166"/>
      <c r="F73" s="303" t="s">
        <v>158</v>
      </c>
      <c r="G73" s="165" t="s">
        <v>901</v>
      </c>
      <c r="H73" s="219" t="s">
        <v>160</v>
      </c>
      <c r="I73" s="61">
        <v>24</v>
      </c>
      <c r="J73" s="221"/>
      <c r="K73" s="221"/>
      <c r="L73" s="221"/>
      <c r="M73" s="221"/>
      <c r="N73" s="221"/>
      <c r="O73" s="221">
        <v>8</v>
      </c>
      <c r="P73" s="219">
        <v>430</v>
      </c>
      <c r="Q73" s="219">
        <v>285</v>
      </c>
      <c r="R73" s="219">
        <v>185</v>
      </c>
      <c r="S73" s="219">
        <v>6.0960000000000001</v>
      </c>
      <c r="T73" s="219">
        <v>6.8</v>
      </c>
      <c r="U73" s="58">
        <v>100</v>
      </c>
      <c r="V73" s="58">
        <v>0</v>
      </c>
      <c r="W73" s="58">
        <v>0</v>
      </c>
      <c r="X73" s="58">
        <v>1</v>
      </c>
      <c r="Y73" s="58">
        <v>0</v>
      </c>
      <c r="Z73" s="58">
        <v>0</v>
      </c>
      <c r="AA73" s="58">
        <v>0</v>
      </c>
      <c r="AB73" s="58" t="s">
        <v>29</v>
      </c>
      <c r="AC73" s="57"/>
      <c r="AD73" s="57"/>
      <c r="AE73" s="57"/>
      <c r="BH73"/>
      <c r="BK73" s="57"/>
    </row>
    <row r="74" spans="1:63" x14ac:dyDescent="0.35">
      <c r="A74" s="221" t="s">
        <v>730</v>
      </c>
      <c r="B74" s="221" t="s">
        <v>157</v>
      </c>
      <c r="C74" s="221">
        <v>1</v>
      </c>
      <c r="D74" s="221" t="s">
        <v>26</v>
      </c>
      <c r="E74" s="166"/>
      <c r="F74" s="303" t="s">
        <v>158</v>
      </c>
      <c r="G74" s="165" t="s">
        <v>903</v>
      </c>
      <c r="H74" s="219" t="s">
        <v>160</v>
      </c>
      <c r="I74" s="61">
        <v>24</v>
      </c>
      <c r="J74" s="221"/>
      <c r="K74" s="221"/>
      <c r="L74" s="221"/>
      <c r="M74" s="221"/>
      <c r="N74" s="221"/>
      <c r="O74" s="221">
        <v>8</v>
      </c>
      <c r="P74" s="219">
        <v>430</v>
      </c>
      <c r="Q74" s="219">
        <v>285</v>
      </c>
      <c r="R74" s="219">
        <v>185</v>
      </c>
      <c r="S74" s="219">
        <v>6.0960000000000001</v>
      </c>
      <c r="T74" s="219">
        <v>6.8</v>
      </c>
      <c r="U74" s="58">
        <v>100</v>
      </c>
      <c r="V74" s="58">
        <v>0</v>
      </c>
      <c r="W74" s="58">
        <v>0</v>
      </c>
      <c r="X74" s="58">
        <v>1</v>
      </c>
      <c r="Y74" s="58">
        <v>0</v>
      </c>
      <c r="Z74" s="58">
        <v>0</v>
      </c>
      <c r="AA74" s="58">
        <v>0</v>
      </c>
      <c r="AB74" s="58" t="s">
        <v>29</v>
      </c>
      <c r="AC74" s="57"/>
      <c r="AD74" s="57"/>
      <c r="AE74" s="57"/>
      <c r="BH74"/>
      <c r="BK74" s="57"/>
    </row>
    <row r="75" spans="1:63" x14ac:dyDescent="0.35">
      <c r="A75" s="221" t="s">
        <v>732</v>
      </c>
      <c r="B75" s="221" t="s">
        <v>157</v>
      </c>
      <c r="C75" s="221">
        <v>1</v>
      </c>
      <c r="D75" s="221" t="s">
        <v>26</v>
      </c>
      <c r="E75" s="166"/>
      <c r="F75" s="303" t="s">
        <v>158</v>
      </c>
      <c r="G75" s="165" t="s">
        <v>902</v>
      </c>
      <c r="H75" s="219" t="s">
        <v>160</v>
      </c>
      <c r="I75" s="61">
        <v>24</v>
      </c>
      <c r="J75" s="221"/>
      <c r="K75" s="221"/>
      <c r="L75" s="221"/>
      <c r="M75" s="221"/>
      <c r="N75" s="221"/>
      <c r="O75" s="221">
        <v>8</v>
      </c>
      <c r="P75" s="219">
        <v>430</v>
      </c>
      <c r="Q75" s="219">
        <v>285</v>
      </c>
      <c r="R75" s="219">
        <v>185</v>
      </c>
      <c r="S75" s="219">
        <v>6.0960000000000001</v>
      </c>
      <c r="T75" s="219">
        <v>6.8</v>
      </c>
      <c r="U75" s="58">
        <v>100</v>
      </c>
      <c r="V75" s="58">
        <v>0</v>
      </c>
      <c r="W75" s="58">
        <v>0</v>
      </c>
      <c r="X75" s="58">
        <v>1</v>
      </c>
      <c r="Y75" s="58">
        <v>0</v>
      </c>
      <c r="Z75" s="58">
        <v>0</v>
      </c>
      <c r="AA75" s="58">
        <v>0</v>
      </c>
      <c r="AB75" s="58" t="s">
        <v>29</v>
      </c>
      <c r="AC75" s="57"/>
      <c r="AD75" s="57"/>
      <c r="AE75" s="57"/>
      <c r="BH75"/>
      <c r="BK75" s="57"/>
    </row>
    <row r="76" spans="1:63" x14ac:dyDescent="0.35">
      <c r="A76" s="221" t="s">
        <v>148</v>
      </c>
      <c r="B76" s="221" t="s">
        <v>115</v>
      </c>
      <c r="C76" s="221">
        <v>1</v>
      </c>
      <c r="D76" s="221" t="s">
        <v>26</v>
      </c>
      <c r="E76" s="166">
        <v>6291107168852</v>
      </c>
      <c r="F76" s="303" t="s">
        <v>62</v>
      </c>
      <c r="G76" s="165" t="s">
        <v>149</v>
      </c>
      <c r="H76" s="219" t="s">
        <v>64</v>
      </c>
      <c r="I76" s="61">
        <v>24</v>
      </c>
      <c r="J76" s="221">
        <v>48</v>
      </c>
      <c r="K76" s="221">
        <v>60</v>
      </c>
      <c r="L76" s="221"/>
      <c r="M76" s="221">
        <v>6</v>
      </c>
      <c r="N76" s="221"/>
      <c r="O76" s="221">
        <v>8</v>
      </c>
      <c r="P76" s="219">
        <v>375</v>
      </c>
      <c r="Q76" s="219">
        <v>275</v>
      </c>
      <c r="R76" s="219">
        <v>170</v>
      </c>
      <c r="S76" s="219">
        <v>9.48</v>
      </c>
      <c r="T76" s="219">
        <v>9.9</v>
      </c>
      <c r="U76" s="58">
        <v>100</v>
      </c>
      <c r="V76" s="58">
        <v>0</v>
      </c>
      <c r="W76" s="58">
        <v>0</v>
      </c>
      <c r="X76" s="58">
        <v>1</v>
      </c>
      <c r="Y76" s="58">
        <v>0</v>
      </c>
      <c r="Z76" s="58">
        <v>0</v>
      </c>
      <c r="AA76" s="58">
        <v>0</v>
      </c>
      <c r="AB76" s="58" t="s">
        <v>29</v>
      </c>
      <c r="AC76" s="57"/>
      <c r="AD76" s="57"/>
      <c r="AE76" s="57"/>
      <c r="BH76"/>
      <c r="BK76" s="57"/>
    </row>
    <row r="77" spans="1:63" x14ac:dyDescent="0.35">
      <c r="A77" s="61" t="s">
        <v>150</v>
      </c>
      <c r="B77" s="61" t="s">
        <v>115</v>
      </c>
      <c r="C77" s="61">
        <v>1</v>
      </c>
      <c r="D77" s="61" t="s">
        <v>26</v>
      </c>
      <c r="E77" s="59">
        <v>6291107168869</v>
      </c>
      <c r="F77" s="303" t="s">
        <v>62</v>
      </c>
      <c r="G77" s="57" t="s">
        <v>151</v>
      </c>
      <c r="H77" s="58" t="s">
        <v>64</v>
      </c>
      <c r="I77" s="61">
        <v>24</v>
      </c>
      <c r="J77" s="61">
        <v>48</v>
      </c>
      <c r="K77" s="61">
        <v>60</v>
      </c>
      <c r="M77" s="61">
        <v>6</v>
      </c>
      <c r="O77" s="61">
        <v>8</v>
      </c>
      <c r="P77" s="58">
        <v>375</v>
      </c>
      <c r="Q77" s="58">
        <v>275</v>
      </c>
      <c r="R77" s="58">
        <v>170</v>
      </c>
      <c r="S77" s="58">
        <v>9.48</v>
      </c>
      <c r="T77" s="58">
        <v>9.9</v>
      </c>
      <c r="U77" s="58">
        <v>100</v>
      </c>
      <c r="V77" s="58">
        <v>0</v>
      </c>
      <c r="W77" s="58">
        <v>0</v>
      </c>
      <c r="X77" s="58">
        <v>1</v>
      </c>
      <c r="Y77" s="58">
        <v>0</v>
      </c>
      <c r="Z77" s="58">
        <v>0</v>
      </c>
      <c r="AA77" s="58">
        <v>0</v>
      </c>
      <c r="AB77" s="58" t="s">
        <v>29</v>
      </c>
      <c r="AC77" s="57"/>
      <c r="AD77" s="57"/>
      <c r="AE77" s="57"/>
      <c r="BH77"/>
      <c r="BK77" s="57"/>
    </row>
    <row r="78" spans="1:63" x14ac:dyDescent="0.35">
      <c r="A78" s="61" t="s">
        <v>188</v>
      </c>
      <c r="B78" s="61" t="s">
        <v>189</v>
      </c>
      <c r="C78" s="61">
        <v>1</v>
      </c>
      <c r="D78" s="61" t="s">
        <v>26</v>
      </c>
      <c r="E78" s="59"/>
      <c r="F78" s="303" t="s">
        <v>158</v>
      </c>
      <c r="G78" s="57" t="s">
        <v>190</v>
      </c>
      <c r="H78" s="58" t="s">
        <v>189</v>
      </c>
      <c r="I78" s="61">
        <v>12</v>
      </c>
      <c r="K78" s="61">
        <v>600</v>
      </c>
      <c r="M78" s="61">
        <v>15</v>
      </c>
      <c r="O78" s="61">
        <v>40</v>
      </c>
      <c r="P78" s="58">
        <v>195</v>
      </c>
      <c r="Q78" s="58">
        <v>150</v>
      </c>
      <c r="R78" s="58">
        <v>105</v>
      </c>
      <c r="S78" s="58">
        <v>1.26</v>
      </c>
      <c r="T78" s="58">
        <v>1.26</v>
      </c>
      <c r="AB78" s="58"/>
      <c r="AC78" s="57"/>
      <c r="AD78" s="57"/>
      <c r="AE78" s="57"/>
      <c r="BH78"/>
      <c r="BK78" s="57"/>
    </row>
    <row r="79" spans="1:63" x14ac:dyDescent="0.35">
      <c r="A79" s="61" t="s">
        <v>191</v>
      </c>
      <c r="B79" s="61" t="s">
        <v>189</v>
      </c>
      <c r="C79" s="61">
        <v>1</v>
      </c>
      <c r="D79" s="61" t="s">
        <v>26</v>
      </c>
      <c r="E79" s="59"/>
      <c r="F79" s="303" t="s">
        <v>158</v>
      </c>
      <c r="G79" s="57" t="s">
        <v>192</v>
      </c>
      <c r="H79" s="61" t="s">
        <v>189</v>
      </c>
      <c r="I79" s="61">
        <v>12</v>
      </c>
      <c r="K79" s="61">
        <v>600</v>
      </c>
      <c r="M79" s="61">
        <v>15</v>
      </c>
      <c r="O79" s="61">
        <v>40</v>
      </c>
      <c r="P79" s="58">
        <v>195</v>
      </c>
      <c r="Q79" s="58">
        <v>150</v>
      </c>
      <c r="R79" s="58">
        <v>105</v>
      </c>
      <c r="S79" s="58">
        <v>1.26</v>
      </c>
      <c r="T79" s="58">
        <v>1.26</v>
      </c>
      <c r="AB79" s="58"/>
      <c r="AC79" s="57"/>
      <c r="AD79" s="57"/>
      <c r="AE79" s="57"/>
      <c r="BH79"/>
      <c r="BK79" s="57"/>
    </row>
    <row r="80" spans="1:63" x14ac:dyDescent="0.35">
      <c r="A80" s="61" t="s">
        <v>193</v>
      </c>
      <c r="B80" s="61" t="s">
        <v>189</v>
      </c>
      <c r="C80" s="61">
        <v>1</v>
      </c>
      <c r="D80" s="61" t="s">
        <v>26</v>
      </c>
      <c r="E80" s="59"/>
      <c r="F80" s="303" t="s">
        <v>158</v>
      </c>
      <c r="G80" s="57" t="s">
        <v>194</v>
      </c>
      <c r="H80" s="61" t="s">
        <v>189</v>
      </c>
      <c r="I80" s="61">
        <v>12</v>
      </c>
      <c r="K80" s="61">
        <v>600</v>
      </c>
      <c r="M80" s="61">
        <v>15</v>
      </c>
      <c r="O80" s="61">
        <v>40</v>
      </c>
      <c r="P80" s="58">
        <v>195</v>
      </c>
      <c r="Q80" s="58">
        <v>150</v>
      </c>
      <c r="R80" s="58">
        <v>105</v>
      </c>
      <c r="S80" s="58">
        <v>1.26</v>
      </c>
      <c r="T80" s="58">
        <v>1.26</v>
      </c>
      <c r="AB80" s="58"/>
      <c r="AC80" s="57"/>
      <c r="AD80" s="57"/>
      <c r="AE80" s="57"/>
      <c r="BH80"/>
      <c r="BK80" s="57"/>
    </row>
    <row r="81" spans="1:63" x14ac:dyDescent="0.35">
      <c r="A81" s="61" t="s">
        <v>195</v>
      </c>
      <c r="B81" s="61" t="s">
        <v>189</v>
      </c>
      <c r="C81" s="61">
        <v>1</v>
      </c>
      <c r="D81" s="61" t="s">
        <v>26</v>
      </c>
      <c r="E81" s="59"/>
      <c r="F81" s="303" t="s">
        <v>158</v>
      </c>
      <c r="G81" s="57" t="s">
        <v>196</v>
      </c>
      <c r="H81" s="61" t="s">
        <v>189</v>
      </c>
      <c r="I81" s="61">
        <v>12</v>
      </c>
      <c r="K81" s="61">
        <v>600</v>
      </c>
      <c r="M81" s="61">
        <v>15</v>
      </c>
      <c r="O81" s="61">
        <v>40</v>
      </c>
      <c r="P81" s="58">
        <v>195</v>
      </c>
      <c r="Q81" s="58">
        <v>150</v>
      </c>
      <c r="R81" s="58">
        <v>105</v>
      </c>
      <c r="S81" s="58">
        <v>1.26</v>
      </c>
      <c r="T81" s="58">
        <v>1.26</v>
      </c>
      <c r="AB81" s="58"/>
      <c r="AC81" s="57"/>
      <c r="AD81" s="57"/>
      <c r="AE81" s="57"/>
      <c r="BH81"/>
      <c r="BK81" s="57"/>
    </row>
    <row r="82" spans="1:63" x14ac:dyDescent="0.35">
      <c r="A82" s="61" t="s">
        <v>175</v>
      </c>
      <c r="B82" s="61" t="s">
        <v>176</v>
      </c>
      <c r="C82" s="61">
        <v>1</v>
      </c>
      <c r="D82" s="61" t="s">
        <v>37</v>
      </c>
      <c r="E82" s="59">
        <v>6291107164236</v>
      </c>
      <c r="F82" s="303" t="s">
        <v>177</v>
      </c>
      <c r="G82" s="57" t="s">
        <v>178</v>
      </c>
      <c r="H82" s="61" t="s">
        <v>64</v>
      </c>
      <c r="I82" s="61">
        <v>24</v>
      </c>
      <c r="J82" s="61">
        <v>64</v>
      </c>
      <c r="M82" s="61">
        <v>8</v>
      </c>
      <c r="O82" s="61">
        <v>8</v>
      </c>
      <c r="P82" s="58">
        <v>330</v>
      </c>
      <c r="Q82" s="58">
        <v>210</v>
      </c>
      <c r="R82" s="58">
        <v>230</v>
      </c>
      <c r="S82" s="58">
        <v>6.35</v>
      </c>
      <c r="T82" s="58">
        <v>7</v>
      </c>
      <c r="U82" s="58">
        <v>200</v>
      </c>
      <c r="V82" s="58">
        <v>0</v>
      </c>
      <c r="W82" s="58">
        <v>0</v>
      </c>
      <c r="X82" s="58">
        <v>1</v>
      </c>
      <c r="Y82" s="58">
        <v>0</v>
      </c>
      <c r="Z82" s="58">
        <v>0</v>
      </c>
      <c r="AA82" s="58">
        <v>0</v>
      </c>
      <c r="AB82" s="58" t="s">
        <v>179</v>
      </c>
      <c r="AC82" s="57"/>
      <c r="AD82" s="57"/>
      <c r="AE82" s="57"/>
      <c r="BH82"/>
      <c r="BK82" s="57"/>
    </row>
    <row r="83" spans="1:63" x14ac:dyDescent="0.35">
      <c r="A83" s="61" t="s">
        <v>180</v>
      </c>
      <c r="B83" s="61" t="s">
        <v>176</v>
      </c>
      <c r="C83" s="61">
        <v>1</v>
      </c>
      <c r="D83" s="61" t="s">
        <v>37</v>
      </c>
      <c r="E83" s="59">
        <v>6291107164243</v>
      </c>
      <c r="F83" s="303" t="s">
        <v>177</v>
      </c>
      <c r="G83" s="57" t="s">
        <v>181</v>
      </c>
      <c r="H83" s="58" t="s">
        <v>64</v>
      </c>
      <c r="I83" s="61">
        <v>24</v>
      </c>
      <c r="J83" s="61">
        <v>64</v>
      </c>
      <c r="M83" s="61">
        <v>8</v>
      </c>
      <c r="O83" s="61">
        <v>8</v>
      </c>
      <c r="P83" s="58">
        <v>330</v>
      </c>
      <c r="Q83" s="58">
        <v>210</v>
      </c>
      <c r="R83" s="58">
        <v>230</v>
      </c>
      <c r="S83" s="58">
        <v>6.35</v>
      </c>
      <c r="T83" s="58">
        <v>7</v>
      </c>
      <c r="U83" s="58">
        <v>200</v>
      </c>
      <c r="V83" s="58">
        <v>0</v>
      </c>
      <c r="W83" s="58">
        <v>0</v>
      </c>
      <c r="X83" s="58">
        <v>1</v>
      </c>
      <c r="Y83" s="58">
        <v>0</v>
      </c>
      <c r="Z83" s="58">
        <v>0</v>
      </c>
      <c r="AA83" s="58">
        <v>0</v>
      </c>
      <c r="AB83" s="58" t="s">
        <v>179</v>
      </c>
      <c r="AC83" s="57"/>
      <c r="AD83" s="57"/>
      <c r="AE83" s="57"/>
      <c r="BH83"/>
      <c r="BK83" s="57"/>
    </row>
    <row r="84" spans="1:63" x14ac:dyDescent="0.35">
      <c r="A84" s="61" t="s">
        <v>182</v>
      </c>
      <c r="B84" s="61" t="s">
        <v>176</v>
      </c>
      <c r="C84" s="61">
        <v>1</v>
      </c>
      <c r="D84" s="61" t="s">
        <v>37</v>
      </c>
      <c r="E84" s="59">
        <v>6291107164250</v>
      </c>
      <c r="F84" s="303" t="s">
        <v>177</v>
      </c>
      <c r="G84" s="57" t="s">
        <v>183</v>
      </c>
      <c r="H84" s="58" t="s">
        <v>64</v>
      </c>
      <c r="I84" s="61">
        <v>24</v>
      </c>
      <c r="J84" s="61">
        <v>64</v>
      </c>
      <c r="M84" s="61">
        <v>8</v>
      </c>
      <c r="O84" s="61">
        <v>8</v>
      </c>
      <c r="P84" s="58">
        <v>330</v>
      </c>
      <c r="Q84" s="58">
        <v>210</v>
      </c>
      <c r="R84" s="58">
        <v>230</v>
      </c>
      <c r="S84" s="58">
        <v>6.35</v>
      </c>
      <c r="T84" s="58">
        <v>7</v>
      </c>
      <c r="U84" s="58">
        <v>200</v>
      </c>
      <c r="V84" s="58">
        <v>0</v>
      </c>
      <c r="W84" s="58">
        <v>0</v>
      </c>
      <c r="X84" s="58">
        <v>1</v>
      </c>
      <c r="Y84" s="58">
        <v>0</v>
      </c>
      <c r="Z84" s="58">
        <v>0</v>
      </c>
      <c r="AA84" s="58">
        <v>0</v>
      </c>
      <c r="AB84" s="58" t="s">
        <v>179</v>
      </c>
      <c r="AC84" s="57"/>
      <c r="AD84" s="57"/>
      <c r="AE84" s="57"/>
      <c r="BH84"/>
      <c r="BK84" s="57"/>
    </row>
    <row r="85" spans="1:63" x14ac:dyDescent="0.35">
      <c r="A85" s="61" t="s">
        <v>184</v>
      </c>
      <c r="B85" s="61" t="s">
        <v>176</v>
      </c>
      <c r="C85" s="61">
        <v>1</v>
      </c>
      <c r="D85" s="61" t="s">
        <v>37</v>
      </c>
      <c r="E85" s="59">
        <v>6291107164267</v>
      </c>
      <c r="F85" s="303" t="s">
        <v>177</v>
      </c>
      <c r="G85" s="57" t="s">
        <v>185</v>
      </c>
      <c r="H85" s="58" t="s">
        <v>64</v>
      </c>
      <c r="I85" s="61">
        <v>24</v>
      </c>
      <c r="J85" s="61">
        <v>64</v>
      </c>
      <c r="M85" s="61">
        <v>8</v>
      </c>
      <c r="O85" s="61">
        <v>8</v>
      </c>
      <c r="P85" s="58">
        <v>330</v>
      </c>
      <c r="Q85" s="58">
        <v>210</v>
      </c>
      <c r="R85" s="58">
        <v>230</v>
      </c>
      <c r="S85" s="58">
        <v>6.35</v>
      </c>
      <c r="T85" s="58">
        <v>7</v>
      </c>
      <c r="U85" s="58">
        <v>200</v>
      </c>
      <c r="V85" s="58">
        <v>0</v>
      </c>
      <c r="W85" s="58">
        <v>0</v>
      </c>
      <c r="X85" s="58">
        <v>1</v>
      </c>
      <c r="Y85" s="58">
        <v>0</v>
      </c>
      <c r="Z85" s="58">
        <v>0</v>
      </c>
      <c r="AA85" s="58">
        <v>0</v>
      </c>
      <c r="AB85" s="58" t="s">
        <v>179</v>
      </c>
      <c r="AC85" s="57"/>
      <c r="AD85" s="57"/>
      <c r="AE85" s="57"/>
      <c r="BH85"/>
      <c r="BK85" s="57"/>
    </row>
    <row r="86" spans="1:63" x14ac:dyDescent="0.35">
      <c r="A86" s="61" t="s">
        <v>131</v>
      </c>
      <c r="B86" s="61" t="s">
        <v>132</v>
      </c>
      <c r="C86" s="61">
        <v>1</v>
      </c>
      <c r="D86" s="61" t="s">
        <v>26</v>
      </c>
      <c r="E86" s="59"/>
      <c r="F86" s="303" t="s">
        <v>62</v>
      </c>
      <c r="G86" s="57" t="s">
        <v>133</v>
      </c>
      <c r="H86" s="58" t="s">
        <v>64</v>
      </c>
      <c r="I86" s="61">
        <v>24</v>
      </c>
      <c r="J86" s="61">
        <v>48</v>
      </c>
      <c r="M86" s="61">
        <v>6</v>
      </c>
      <c r="O86" s="61">
        <v>8</v>
      </c>
      <c r="P86" s="58">
        <v>375</v>
      </c>
      <c r="Q86" s="58">
        <v>275</v>
      </c>
      <c r="R86" s="58">
        <v>170</v>
      </c>
      <c r="S86" s="58">
        <v>9.1199999999999992</v>
      </c>
      <c r="T86" s="58">
        <v>9.5</v>
      </c>
      <c r="U86" s="58">
        <v>100</v>
      </c>
      <c r="V86" s="58">
        <v>0</v>
      </c>
      <c r="W86" s="58">
        <v>0</v>
      </c>
      <c r="X86" s="58">
        <v>1</v>
      </c>
      <c r="Y86" s="58">
        <v>0</v>
      </c>
      <c r="Z86" s="58">
        <v>0</v>
      </c>
      <c r="AA86" s="58">
        <v>0</v>
      </c>
      <c r="AB86" s="58" t="s">
        <v>29</v>
      </c>
      <c r="AC86" s="57"/>
      <c r="AD86" s="57"/>
      <c r="AE86" s="57"/>
      <c r="BH86"/>
      <c r="BK86" s="57"/>
    </row>
    <row r="87" spans="1:63" x14ac:dyDescent="0.35">
      <c r="A87" s="61" t="s">
        <v>134</v>
      </c>
      <c r="B87" s="61" t="s">
        <v>132</v>
      </c>
      <c r="C87" s="61">
        <v>1</v>
      </c>
      <c r="D87" s="61" t="s">
        <v>26</v>
      </c>
      <c r="E87" s="59"/>
      <c r="F87" s="303" t="s">
        <v>62</v>
      </c>
      <c r="G87" s="57" t="s">
        <v>135</v>
      </c>
      <c r="H87" s="58" t="s">
        <v>64</v>
      </c>
      <c r="I87" s="61">
        <v>24</v>
      </c>
      <c r="J87" s="61">
        <v>48</v>
      </c>
      <c r="M87" s="61">
        <v>6</v>
      </c>
      <c r="O87" s="61">
        <v>8</v>
      </c>
      <c r="P87" s="58">
        <v>375</v>
      </c>
      <c r="Q87" s="58">
        <v>275</v>
      </c>
      <c r="R87" s="58">
        <v>170</v>
      </c>
      <c r="S87" s="58">
        <v>9.1199999999999992</v>
      </c>
      <c r="T87" s="58">
        <v>9.5</v>
      </c>
      <c r="U87" s="58">
        <v>100</v>
      </c>
      <c r="V87" s="58">
        <v>0</v>
      </c>
      <c r="W87" s="58">
        <v>0</v>
      </c>
      <c r="X87" s="58">
        <v>1</v>
      </c>
      <c r="Y87" s="58">
        <v>0</v>
      </c>
      <c r="Z87" s="58">
        <v>0</v>
      </c>
      <c r="AA87" s="58">
        <v>0</v>
      </c>
      <c r="AB87" s="58" t="s">
        <v>29</v>
      </c>
      <c r="AC87" s="57"/>
      <c r="AD87" s="57"/>
      <c r="AE87" s="57"/>
      <c r="BH87"/>
      <c r="BK87" s="57"/>
    </row>
    <row r="88" spans="1:63" x14ac:dyDescent="0.35">
      <c r="A88" s="61" t="s">
        <v>136</v>
      </c>
      <c r="B88" s="61" t="s">
        <v>132</v>
      </c>
      <c r="C88" s="61">
        <v>1</v>
      </c>
      <c r="D88" s="61" t="s">
        <v>26</v>
      </c>
      <c r="E88" s="59"/>
      <c r="F88" s="303" t="s">
        <v>62</v>
      </c>
      <c r="G88" s="57" t="s">
        <v>689</v>
      </c>
      <c r="H88" s="58" t="s">
        <v>64</v>
      </c>
      <c r="I88" s="61">
        <v>24</v>
      </c>
      <c r="J88" s="61">
        <v>48</v>
      </c>
      <c r="M88" s="61">
        <v>6</v>
      </c>
      <c r="O88" s="61">
        <v>8</v>
      </c>
      <c r="P88" s="58">
        <v>375</v>
      </c>
      <c r="Q88" s="58">
        <v>275</v>
      </c>
      <c r="R88" s="58">
        <v>170</v>
      </c>
      <c r="S88" s="58">
        <v>9.1199999999999992</v>
      </c>
      <c r="T88" s="58">
        <v>9.5</v>
      </c>
      <c r="U88" s="58">
        <v>100</v>
      </c>
      <c r="V88" s="58">
        <v>0</v>
      </c>
      <c r="W88" s="58">
        <v>0</v>
      </c>
      <c r="X88" s="58">
        <v>1</v>
      </c>
      <c r="Y88" s="58">
        <v>0</v>
      </c>
      <c r="Z88" s="58">
        <v>0</v>
      </c>
      <c r="AA88" s="58">
        <v>0</v>
      </c>
      <c r="AB88" s="58" t="s">
        <v>29</v>
      </c>
      <c r="AC88" s="57"/>
      <c r="AD88" s="57"/>
      <c r="AE88" s="57"/>
      <c r="BH88"/>
      <c r="BK88" s="57"/>
    </row>
    <row r="89" spans="1:63" x14ac:dyDescent="0.35">
      <c r="A89" s="61" t="s">
        <v>138</v>
      </c>
      <c r="B89" s="61" t="s">
        <v>132</v>
      </c>
      <c r="C89" s="61">
        <v>1</v>
      </c>
      <c r="D89" s="61" t="s">
        <v>26</v>
      </c>
      <c r="E89" s="59"/>
      <c r="F89" s="303" t="s">
        <v>62</v>
      </c>
      <c r="G89" s="57" t="s">
        <v>139</v>
      </c>
      <c r="H89" s="58" t="s">
        <v>64</v>
      </c>
      <c r="I89" s="61">
        <v>24</v>
      </c>
      <c r="J89" s="61">
        <v>48</v>
      </c>
      <c r="M89" s="61">
        <v>6</v>
      </c>
      <c r="O89" s="61">
        <v>8</v>
      </c>
      <c r="P89" s="58">
        <v>375</v>
      </c>
      <c r="Q89" s="58">
        <v>275</v>
      </c>
      <c r="R89" s="58">
        <v>170</v>
      </c>
      <c r="S89" s="58">
        <v>9.1199999999999992</v>
      </c>
      <c r="T89" s="58">
        <v>9.5</v>
      </c>
      <c r="U89" s="58">
        <v>100</v>
      </c>
      <c r="V89" s="58">
        <v>0</v>
      </c>
      <c r="W89" s="58">
        <v>0</v>
      </c>
      <c r="X89" s="58">
        <v>1</v>
      </c>
      <c r="Y89" s="58">
        <v>0</v>
      </c>
      <c r="Z89" s="58">
        <v>0</v>
      </c>
      <c r="AA89" s="58">
        <v>0</v>
      </c>
      <c r="AB89" s="58" t="s">
        <v>29</v>
      </c>
      <c r="AC89" s="57"/>
      <c r="AD89" s="57"/>
      <c r="AE89" s="57"/>
      <c r="BH89"/>
      <c r="BK89" s="57"/>
    </row>
    <row r="90" spans="1:63" x14ac:dyDescent="0.35">
      <c r="A90" s="61" t="s">
        <v>140</v>
      </c>
      <c r="B90" s="61" t="s">
        <v>132</v>
      </c>
      <c r="C90" s="61">
        <v>1</v>
      </c>
      <c r="D90" s="61" t="s">
        <v>37</v>
      </c>
      <c r="E90" s="59"/>
      <c r="F90" s="303" t="s">
        <v>62</v>
      </c>
      <c r="G90" s="57" t="s">
        <v>141</v>
      </c>
      <c r="H90" s="58" t="s">
        <v>64</v>
      </c>
      <c r="I90" s="61">
        <v>24</v>
      </c>
      <c r="J90" s="61">
        <v>48</v>
      </c>
      <c r="M90" s="61">
        <v>6</v>
      </c>
      <c r="O90" s="61">
        <v>8</v>
      </c>
      <c r="P90" s="58">
        <v>375</v>
      </c>
      <c r="Q90" s="58">
        <v>275</v>
      </c>
      <c r="R90" s="58">
        <v>170</v>
      </c>
      <c r="S90" s="58">
        <v>9.1199999999999992</v>
      </c>
      <c r="T90" s="58">
        <v>9.5</v>
      </c>
      <c r="U90" s="58">
        <v>100</v>
      </c>
      <c r="V90" s="58">
        <v>0</v>
      </c>
      <c r="W90" s="58">
        <v>0</v>
      </c>
      <c r="X90" s="58">
        <v>1</v>
      </c>
      <c r="Y90" s="58">
        <v>0</v>
      </c>
      <c r="Z90" s="58">
        <v>0</v>
      </c>
      <c r="AA90" s="58">
        <v>0</v>
      </c>
      <c r="AB90" s="58" t="s">
        <v>29</v>
      </c>
      <c r="AC90" s="57"/>
      <c r="AD90" s="57"/>
      <c r="AE90" s="57"/>
      <c r="BH90"/>
      <c r="BK90" s="57"/>
    </row>
    <row r="91" spans="1:63" x14ac:dyDescent="0.35">
      <c r="A91" s="61" t="s">
        <v>142</v>
      </c>
      <c r="B91" s="61" t="s">
        <v>132</v>
      </c>
      <c r="C91" s="61">
        <v>1</v>
      </c>
      <c r="D91" s="61" t="s">
        <v>37</v>
      </c>
      <c r="E91" s="59"/>
      <c r="F91" s="303" t="s">
        <v>62</v>
      </c>
      <c r="G91" s="57" t="s">
        <v>143</v>
      </c>
      <c r="H91" s="58" t="s">
        <v>64</v>
      </c>
      <c r="I91" s="61">
        <v>24</v>
      </c>
      <c r="J91" s="61">
        <v>48</v>
      </c>
      <c r="M91" s="61">
        <v>6</v>
      </c>
      <c r="O91" s="61">
        <v>8</v>
      </c>
      <c r="P91" s="58">
        <v>375</v>
      </c>
      <c r="Q91" s="58">
        <v>275</v>
      </c>
      <c r="R91" s="58">
        <v>170</v>
      </c>
      <c r="S91" s="58">
        <v>9.1199999999999992</v>
      </c>
      <c r="T91" s="58">
        <v>9.5</v>
      </c>
      <c r="U91" s="58">
        <v>100</v>
      </c>
      <c r="V91" s="58">
        <v>0</v>
      </c>
      <c r="W91" s="58">
        <v>0</v>
      </c>
      <c r="X91" s="58">
        <v>1</v>
      </c>
      <c r="Y91" s="58">
        <v>0</v>
      </c>
      <c r="Z91" s="58">
        <v>0</v>
      </c>
      <c r="AA91" s="58">
        <v>0</v>
      </c>
      <c r="AB91" s="58" t="s">
        <v>29</v>
      </c>
      <c r="AC91" s="57"/>
      <c r="AD91" s="57"/>
      <c r="AE91" s="57"/>
      <c r="BH91"/>
      <c r="BK91" s="57"/>
    </row>
    <row r="92" spans="1:63" x14ac:dyDescent="0.35">
      <c r="A92" s="61" t="s">
        <v>144</v>
      </c>
      <c r="B92" s="61" t="s">
        <v>132</v>
      </c>
      <c r="C92" s="61">
        <v>1</v>
      </c>
      <c r="D92" s="61" t="s">
        <v>37</v>
      </c>
      <c r="E92" s="59"/>
      <c r="F92" s="303" t="s">
        <v>62</v>
      </c>
      <c r="G92" s="57" t="s">
        <v>145</v>
      </c>
      <c r="H92" s="58" t="s">
        <v>64</v>
      </c>
      <c r="I92" s="61">
        <v>24</v>
      </c>
      <c r="J92" s="61">
        <v>48</v>
      </c>
      <c r="M92" s="61">
        <v>6</v>
      </c>
      <c r="O92" s="61">
        <v>8</v>
      </c>
      <c r="P92" s="58">
        <v>375</v>
      </c>
      <c r="Q92" s="58">
        <v>275</v>
      </c>
      <c r="R92" s="58">
        <v>170</v>
      </c>
      <c r="S92" s="58">
        <v>9.1199999999999992</v>
      </c>
      <c r="T92" s="58">
        <v>9.5</v>
      </c>
      <c r="U92" s="58">
        <v>100</v>
      </c>
      <c r="V92" s="58">
        <v>0</v>
      </c>
      <c r="W92" s="58">
        <v>0</v>
      </c>
      <c r="X92" s="58">
        <v>1</v>
      </c>
      <c r="Y92" s="58">
        <v>0</v>
      </c>
      <c r="Z92" s="58">
        <v>0</v>
      </c>
      <c r="AA92" s="58">
        <v>0</v>
      </c>
      <c r="AB92" s="58" t="s">
        <v>29</v>
      </c>
      <c r="AC92" s="57"/>
      <c r="AD92" s="57"/>
      <c r="AE92" s="57"/>
      <c r="BH92"/>
      <c r="BK92" s="57"/>
    </row>
    <row r="93" spans="1:63" x14ac:dyDescent="0.35">
      <c r="A93" s="61" t="s">
        <v>146</v>
      </c>
      <c r="B93" s="61" t="s">
        <v>132</v>
      </c>
      <c r="C93" s="61">
        <v>1</v>
      </c>
      <c r="D93" s="61" t="s">
        <v>37</v>
      </c>
      <c r="E93" s="59"/>
      <c r="F93" s="303" t="s">
        <v>62</v>
      </c>
      <c r="G93" s="57" t="s">
        <v>147</v>
      </c>
      <c r="H93" s="58" t="s">
        <v>64</v>
      </c>
      <c r="I93" s="61">
        <v>24</v>
      </c>
      <c r="J93" s="61">
        <v>48</v>
      </c>
      <c r="M93" s="61">
        <v>6</v>
      </c>
      <c r="O93" s="61">
        <v>8</v>
      </c>
      <c r="P93" s="58">
        <v>375</v>
      </c>
      <c r="Q93" s="58">
        <v>275</v>
      </c>
      <c r="R93" s="58">
        <v>170</v>
      </c>
      <c r="S93" s="58">
        <v>9.1199999999999992</v>
      </c>
      <c r="T93" s="58">
        <v>9.5</v>
      </c>
      <c r="U93" s="58">
        <v>100</v>
      </c>
      <c r="V93" s="58">
        <v>0</v>
      </c>
      <c r="W93" s="58">
        <v>0</v>
      </c>
      <c r="X93" s="58">
        <v>1</v>
      </c>
      <c r="Y93" s="58">
        <v>0</v>
      </c>
      <c r="Z93" s="58">
        <v>0</v>
      </c>
      <c r="AA93" s="58">
        <v>0</v>
      </c>
      <c r="AB93" s="58" t="s">
        <v>29</v>
      </c>
      <c r="AC93" s="57"/>
      <c r="AD93" s="57"/>
      <c r="AE93" s="57"/>
      <c r="BH93"/>
      <c r="BK93" s="57"/>
    </row>
    <row r="94" spans="1:63" x14ac:dyDescent="0.35">
      <c r="A94" s="61" t="s">
        <v>152</v>
      </c>
      <c r="B94" s="61" t="s">
        <v>132</v>
      </c>
      <c r="C94" s="61">
        <v>1</v>
      </c>
      <c r="D94" s="61" t="s">
        <v>26</v>
      </c>
      <c r="E94" s="59">
        <v>6291107168838</v>
      </c>
      <c r="F94" s="303" t="s">
        <v>62</v>
      </c>
      <c r="G94" s="57" t="s">
        <v>153</v>
      </c>
      <c r="H94" s="58" t="s">
        <v>64</v>
      </c>
      <c r="I94" s="61">
        <v>24</v>
      </c>
      <c r="J94" s="61">
        <v>10</v>
      </c>
      <c r="M94" s="61">
        <v>6</v>
      </c>
      <c r="O94" s="61">
        <v>8</v>
      </c>
      <c r="P94" s="58">
        <v>370</v>
      </c>
      <c r="Q94" s="58">
        <v>275</v>
      </c>
      <c r="R94" s="58">
        <v>170</v>
      </c>
      <c r="S94" s="58">
        <v>9.48</v>
      </c>
      <c r="T94" s="58">
        <v>9.9</v>
      </c>
      <c r="U94" s="58">
        <v>100</v>
      </c>
      <c r="V94" s="58">
        <v>0</v>
      </c>
      <c r="W94" s="58">
        <v>0</v>
      </c>
      <c r="X94" s="58">
        <v>1</v>
      </c>
      <c r="Y94" s="58">
        <v>0</v>
      </c>
      <c r="Z94" s="58">
        <v>0</v>
      </c>
      <c r="AA94" s="58">
        <v>0</v>
      </c>
      <c r="AB94" s="58" t="s">
        <v>29</v>
      </c>
      <c r="AC94" s="57"/>
      <c r="AD94" s="57"/>
      <c r="AE94" s="57"/>
      <c r="BH94"/>
      <c r="BK94" s="57"/>
    </row>
    <row r="95" spans="1:63" x14ac:dyDescent="0.35">
      <c r="A95" s="61" t="s">
        <v>154</v>
      </c>
      <c r="B95" s="61" t="s">
        <v>132</v>
      </c>
      <c r="C95" s="61">
        <v>1</v>
      </c>
      <c r="D95" s="61" t="s">
        <v>26</v>
      </c>
      <c r="E95" s="60">
        <v>6291107168845</v>
      </c>
      <c r="F95" s="303" t="s">
        <v>62</v>
      </c>
      <c r="G95" s="57" t="s">
        <v>155</v>
      </c>
      <c r="H95" s="58" t="s">
        <v>64</v>
      </c>
      <c r="I95" s="61">
        <v>24</v>
      </c>
      <c r="J95" s="61">
        <v>10</v>
      </c>
      <c r="M95" s="61">
        <v>6</v>
      </c>
      <c r="O95" s="61">
        <v>8</v>
      </c>
      <c r="P95" s="58">
        <v>370</v>
      </c>
      <c r="Q95" s="58">
        <v>275</v>
      </c>
      <c r="R95" s="58">
        <v>170</v>
      </c>
      <c r="S95" s="58">
        <v>9.48</v>
      </c>
      <c r="T95" s="58">
        <v>9.9</v>
      </c>
      <c r="U95" s="58">
        <v>100</v>
      </c>
      <c r="V95" s="58">
        <v>0</v>
      </c>
      <c r="W95" s="58">
        <v>0</v>
      </c>
      <c r="X95" s="58">
        <v>1</v>
      </c>
      <c r="Y95" s="58">
        <v>0</v>
      </c>
      <c r="Z95" s="58">
        <v>0</v>
      </c>
      <c r="AA95" s="58">
        <v>0</v>
      </c>
      <c r="AB95" s="58" t="s">
        <v>29</v>
      </c>
      <c r="AC95" s="57"/>
      <c r="AD95" s="57"/>
      <c r="AE95" s="57"/>
      <c r="BH95"/>
      <c r="BK95" s="57"/>
    </row>
    <row r="96" spans="1:63" x14ac:dyDescent="0.35">
      <c r="A96" s="61" t="s">
        <v>454</v>
      </c>
      <c r="B96" s="583" t="s">
        <v>1219</v>
      </c>
      <c r="C96" s="61">
        <v>1</v>
      </c>
      <c r="D96" s="61" t="s">
        <v>26</v>
      </c>
      <c r="E96" s="60"/>
      <c r="G96" s="57" t="s">
        <v>455</v>
      </c>
      <c r="H96" s="58" t="s">
        <v>1107</v>
      </c>
      <c r="P96" s="58"/>
      <c r="Q96" s="58"/>
      <c r="R96" s="58"/>
      <c r="AB96" s="58"/>
      <c r="AC96" s="57"/>
      <c r="AD96" s="57"/>
      <c r="AE96" s="57"/>
      <c r="BH96"/>
      <c r="BK96" s="57"/>
    </row>
    <row r="97" spans="1:63" x14ac:dyDescent="0.35">
      <c r="A97" s="61" t="s">
        <v>456</v>
      </c>
      <c r="B97" s="583" t="s">
        <v>1219</v>
      </c>
      <c r="C97" s="61">
        <v>1</v>
      </c>
      <c r="D97" s="61" t="s">
        <v>37</v>
      </c>
      <c r="E97" s="60"/>
      <c r="G97" s="57" t="s">
        <v>457</v>
      </c>
      <c r="H97" s="58" t="s">
        <v>1107</v>
      </c>
      <c r="P97" s="58"/>
      <c r="Q97" s="58"/>
      <c r="R97" s="58"/>
      <c r="AB97" s="58"/>
      <c r="AC97" s="57"/>
      <c r="AD97" s="57"/>
      <c r="AE97" s="57"/>
      <c r="BH97"/>
      <c r="BK97" s="57"/>
    </row>
    <row r="98" spans="1:63" x14ac:dyDescent="0.35">
      <c r="A98" s="61" t="s">
        <v>766</v>
      </c>
      <c r="B98" s="583" t="s">
        <v>1219</v>
      </c>
      <c r="C98" s="61">
        <v>1</v>
      </c>
      <c r="D98" s="61" t="s">
        <v>26</v>
      </c>
      <c r="E98" s="60"/>
      <c r="G98" s="57" t="s">
        <v>774</v>
      </c>
      <c r="H98" s="58" t="s">
        <v>1107</v>
      </c>
      <c r="P98" s="58"/>
      <c r="Q98" s="58"/>
      <c r="R98" s="58"/>
      <c r="AB98" s="58"/>
      <c r="AC98" s="57"/>
      <c r="AD98" s="57"/>
      <c r="AE98" s="57"/>
      <c r="BH98"/>
      <c r="BK98" s="57"/>
    </row>
    <row r="99" spans="1:63" x14ac:dyDescent="0.35">
      <c r="A99" s="61" t="s">
        <v>767</v>
      </c>
      <c r="B99" s="583" t="s">
        <v>1219</v>
      </c>
      <c r="C99" s="61">
        <v>1</v>
      </c>
      <c r="D99" s="61" t="s">
        <v>26</v>
      </c>
      <c r="E99" s="60"/>
      <c r="G99" s="57" t="s">
        <v>775</v>
      </c>
      <c r="H99" s="58" t="s">
        <v>1107</v>
      </c>
      <c r="P99" s="58"/>
      <c r="Q99" s="58"/>
      <c r="R99" s="58"/>
      <c r="AB99" s="58"/>
      <c r="AC99" s="57"/>
      <c r="AD99" s="57"/>
      <c r="AE99" s="57"/>
      <c r="BH99"/>
      <c r="BK99" s="57"/>
    </row>
    <row r="100" spans="1:63" x14ac:dyDescent="0.35">
      <c r="A100" s="61" t="s">
        <v>768</v>
      </c>
      <c r="B100" s="583" t="s">
        <v>1219</v>
      </c>
      <c r="C100" s="61">
        <v>1</v>
      </c>
      <c r="D100" s="61" t="s">
        <v>26</v>
      </c>
      <c r="E100" s="60"/>
      <c r="G100" s="57" t="s">
        <v>776</v>
      </c>
      <c r="H100" s="58" t="s">
        <v>1107</v>
      </c>
      <c r="P100" s="58"/>
      <c r="Q100" s="58"/>
      <c r="R100" s="58"/>
      <c r="AB100" s="58"/>
      <c r="AC100" s="57"/>
      <c r="AD100" s="57"/>
      <c r="AE100" s="57"/>
      <c r="BH100"/>
      <c r="BK100" s="57"/>
    </row>
    <row r="101" spans="1:63" x14ac:dyDescent="0.35">
      <c r="A101" s="61" t="s">
        <v>769</v>
      </c>
      <c r="B101" s="583" t="s">
        <v>1219</v>
      </c>
      <c r="C101" s="61">
        <v>1</v>
      </c>
      <c r="D101" s="61" t="s">
        <v>26</v>
      </c>
      <c r="E101" s="60"/>
      <c r="G101" s="57" t="s">
        <v>777</v>
      </c>
      <c r="H101" s="58" t="s">
        <v>1107</v>
      </c>
      <c r="P101" s="58"/>
      <c r="Q101" s="58"/>
      <c r="R101" s="58"/>
      <c r="AB101" s="58"/>
      <c r="AC101" s="57"/>
      <c r="AD101" s="57"/>
      <c r="AE101" s="57"/>
      <c r="BH101"/>
      <c r="BK101" s="57"/>
    </row>
    <row r="102" spans="1:63" x14ac:dyDescent="0.35">
      <c r="A102" s="61" t="s">
        <v>778</v>
      </c>
      <c r="B102" s="583" t="s">
        <v>1219</v>
      </c>
      <c r="C102" s="61">
        <v>1</v>
      </c>
      <c r="D102" s="61" t="s">
        <v>26</v>
      </c>
      <c r="E102" s="60"/>
      <c r="G102" s="57" t="s">
        <v>779</v>
      </c>
      <c r="H102" s="58" t="s">
        <v>1107</v>
      </c>
      <c r="P102" s="58"/>
      <c r="Q102" s="58"/>
      <c r="R102" s="58"/>
      <c r="AB102" s="58"/>
      <c r="AC102" s="57"/>
      <c r="AD102" s="57"/>
      <c r="AE102" s="57"/>
      <c r="BH102"/>
      <c r="BK102" s="57"/>
    </row>
    <row r="103" spans="1:63" x14ac:dyDescent="0.35">
      <c r="A103" s="61" t="s">
        <v>780</v>
      </c>
      <c r="B103" s="583" t="s">
        <v>1219</v>
      </c>
      <c r="C103" s="61">
        <v>1</v>
      </c>
      <c r="D103" s="61" t="s">
        <v>26</v>
      </c>
      <c r="E103" s="60"/>
      <c r="G103" s="57" t="s">
        <v>781</v>
      </c>
      <c r="H103" s="58" t="s">
        <v>1107</v>
      </c>
      <c r="P103" s="58"/>
      <c r="Q103" s="58"/>
      <c r="R103" s="58"/>
      <c r="AB103" s="58"/>
      <c r="AC103" s="57"/>
      <c r="AD103" s="57"/>
      <c r="AE103" s="57"/>
      <c r="BH103"/>
      <c r="BK103" s="57"/>
    </row>
    <row r="104" spans="1:63" x14ac:dyDescent="0.35">
      <c r="A104" s="61" t="s">
        <v>782</v>
      </c>
      <c r="B104" s="583" t="s">
        <v>1219</v>
      </c>
      <c r="C104" s="61">
        <v>1</v>
      </c>
      <c r="D104" s="61" t="s">
        <v>26</v>
      </c>
      <c r="E104" s="60"/>
      <c r="G104" s="57" t="s">
        <v>783</v>
      </c>
      <c r="H104" s="58" t="s">
        <v>1107</v>
      </c>
      <c r="P104" s="58"/>
      <c r="Q104" s="58"/>
      <c r="R104" s="58"/>
      <c r="AB104" s="58"/>
      <c r="AC104" s="57"/>
      <c r="AD104" s="57"/>
      <c r="AE104" s="57"/>
      <c r="BH104"/>
      <c r="BK104" s="57"/>
    </row>
    <row r="105" spans="1:63" x14ac:dyDescent="0.35">
      <c r="A105" s="61" t="s">
        <v>784</v>
      </c>
      <c r="B105" s="583" t="s">
        <v>1219</v>
      </c>
      <c r="C105" s="61">
        <v>1</v>
      </c>
      <c r="D105" s="61" t="s">
        <v>26</v>
      </c>
      <c r="E105" s="60"/>
      <c r="G105" s="57" t="s">
        <v>785</v>
      </c>
      <c r="H105" s="58" t="s">
        <v>1107</v>
      </c>
      <c r="P105" s="58"/>
      <c r="Q105" s="58"/>
      <c r="R105" s="58"/>
      <c r="AB105" s="58"/>
      <c r="AC105" s="57"/>
      <c r="AD105" s="57"/>
      <c r="AE105" s="57"/>
      <c r="BH105"/>
      <c r="BK105" s="57"/>
    </row>
    <row r="106" spans="1:63" x14ac:dyDescent="0.35">
      <c r="A106" s="61" t="s">
        <v>786</v>
      </c>
      <c r="B106" s="583" t="s">
        <v>1219</v>
      </c>
      <c r="C106" s="61">
        <v>1</v>
      </c>
      <c r="D106" s="61" t="s">
        <v>37</v>
      </c>
      <c r="E106" s="60"/>
      <c r="G106" s="57" t="s">
        <v>787</v>
      </c>
      <c r="H106" s="58" t="s">
        <v>1107</v>
      </c>
      <c r="P106" s="58"/>
      <c r="Q106" s="58"/>
      <c r="R106" s="58"/>
      <c r="AB106" s="58"/>
      <c r="AC106" s="57"/>
      <c r="AD106" s="57"/>
      <c r="AE106" s="57"/>
      <c r="BH106"/>
      <c r="BK106" s="57"/>
    </row>
    <row r="107" spans="1:63" x14ac:dyDescent="0.35">
      <c r="A107" s="61" t="s">
        <v>788</v>
      </c>
      <c r="B107" s="583" t="s">
        <v>1219</v>
      </c>
      <c r="C107" s="61">
        <v>1</v>
      </c>
      <c r="D107" s="61" t="s">
        <v>37</v>
      </c>
      <c r="E107" s="60"/>
      <c r="G107" s="57" t="s">
        <v>789</v>
      </c>
      <c r="H107" s="58" t="s">
        <v>1107</v>
      </c>
      <c r="P107" s="58"/>
      <c r="Q107" s="58"/>
      <c r="R107" s="58"/>
      <c r="AB107" s="58"/>
      <c r="AC107" s="57"/>
      <c r="AD107" s="57"/>
      <c r="AE107" s="57"/>
      <c r="BH107"/>
      <c r="BK107" s="57"/>
    </row>
    <row r="108" spans="1:63" x14ac:dyDescent="0.35">
      <c r="A108" s="61" t="s">
        <v>790</v>
      </c>
      <c r="B108" s="583" t="s">
        <v>1219</v>
      </c>
      <c r="C108" s="61">
        <v>1</v>
      </c>
      <c r="D108" s="61" t="s">
        <v>37</v>
      </c>
      <c r="E108" s="60"/>
      <c r="G108" s="57" t="s">
        <v>791</v>
      </c>
      <c r="H108" s="58" t="s">
        <v>1107</v>
      </c>
      <c r="P108" s="58"/>
      <c r="Q108" s="58"/>
      <c r="R108" s="58"/>
      <c r="AB108" s="58"/>
      <c r="AC108" s="57"/>
      <c r="AD108" s="57"/>
      <c r="AE108" s="57"/>
      <c r="BH108"/>
      <c r="BK108" s="57"/>
    </row>
    <row r="109" spans="1:63" x14ac:dyDescent="0.35">
      <c r="A109" s="61" t="s">
        <v>792</v>
      </c>
      <c r="B109" s="583" t="s">
        <v>1219</v>
      </c>
      <c r="C109" s="61">
        <v>1</v>
      </c>
      <c r="D109" s="61" t="s">
        <v>37</v>
      </c>
      <c r="E109" s="60"/>
      <c r="G109" s="57" t="s">
        <v>793</v>
      </c>
      <c r="H109" s="58" t="s">
        <v>1107</v>
      </c>
      <c r="P109" s="58"/>
      <c r="Q109" s="58"/>
      <c r="R109" s="58"/>
      <c r="AB109" s="58"/>
      <c r="AC109" s="57"/>
      <c r="AD109" s="57"/>
      <c r="AE109" s="57"/>
      <c r="BH109"/>
      <c r="BK109" s="57"/>
    </row>
    <row r="110" spans="1:63" x14ac:dyDescent="0.35">
      <c r="A110" s="61" t="s">
        <v>770</v>
      </c>
      <c r="B110" s="583" t="s">
        <v>1219</v>
      </c>
      <c r="C110" s="61">
        <v>1</v>
      </c>
      <c r="D110" s="61" t="s">
        <v>37</v>
      </c>
      <c r="E110" s="60"/>
      <c r="G110" s="57" t="s">
        <v>794</v>
      </c>
      <c r="H110" s="58" t="s">
        <v>1107</v>
      </c>
      <c r="P110" s="58"/>
      <c r="Q110" s="58"/>
      <c r="R110" s="58"/>
      <c r="AB110" s="58"/>
      <c r="AC110" s="57"/>
      <c r="AD110" s="57"/>
      <c r="AE110" s="57"/>
      <c r="BH110"/>
      <c r="BK110" s="57"/>
    </row>
    <row r="111" spans="1:63" x14ac:dyDescent="0.35">
      <c r="A111" s="61" t="s">
        <v>771</v>
      </c>
      <c r="B111" s="583" t="s">
        <v>1219</v>
      </c>
      <c r="C111" s="61">
        <v>1</v>
      </c>
      <c r="D111" s="61" t="s">
        <v>37</v>
      </c>
      <c r="E111" s="60"/>
      <c r="G111" s="57" t="s">
        <v>795</v>
      </c>
      <c r="H111" s="58" t="s">
        <v>1107</v>
      </c>
      <c r="P111" s="58"/>
      <c r="Q111" s="58"/>
      <c r="R111" s="58"/>
      <c r="AB111" s="58"/>
      <c r="AC111" s="57"/>
      <c r="AD111" s="57"/>
      <c r="AE111" s="57"/>
      <c r="BH111"/>
      <c r="BK111" s="57"/>
    </row>
    <row r="112" spans="1:63" x14ac:dyDescent="0.35">
      <c r="A112" s="61" t="s">
        <v>772</v>
      </c>
      <c r="B112" s="583" t="s">
        <v>1219</v>
      </c>
      <c r="C112" s="61">
        <v>1</v>
      </c>
      <c r="D112" s="61" t="s">
        <v>37</v>
      </c>
      <c r="E112" s="60"/>
      <c r="G112" s="57" t="s">
        <v>796</v>
      </c>
      <c r="H112" s="58" t="s">
        <v>1107</v>
      </c>
      <c r="P112" s="58"/>
      <c r="Q112" s="58"/>
      <c r="R112" s="58"/>
      <c r="AB112" s="58"/>
      <c r="AC112" s="57"/>
      <c r="AD112" s="57"/>
      <c r="AE112" s="57"/>
      <c r="BH112"/>
      <c r="BK112" s="57"/>
    </row>
    <row r="113" spans="1:63" x14ac:dyDescent="0.35">
      <c r="A113" s="61" t="s">
        <v>773</v>
      </c>
      <c r="B113" s="583" t="s">
        <v>1219</v>
      </c>
      <c r="C113" s="61">
        <v>1</v>
      </c>
      <c r="D113" s="61" t="s">
        <v>37</v>
      </c>
      <c r="E113" s="60"/>
      <c r="G113" s="57" t="s">
        <v>797</v>
      </c>
      <c r="H113" s="58" t="s">
        <v>1107</v>
      </c>
      <c r="P113" s="58"/>
      <c r="Q113" s="58"/>
      <c r="R113" s="58"/>
      <c r="AB113" s="58"/>
      <c r="AC113" s="57"/>
      <c r="AD113" s="57"/>
      <c r="AE113" s="57"/>
      <c r="BH113"/>
      <c r="BK113" s="57"/>
    </row>
    <row r="114" spans="1:63" x14ac:dyDescent="0.35">
      <c r="A114" s="61" t="s">
        <v>798</v>
      </c>
      <c r="B114" s="583" t="s">
        <v>1219</v>
      </c>
      <c r="C114" s="61">
        <v>1</v>
      </c>
      <c r="D114" s="61" t="s">
        <v>26</v>
      </c>
      <c r="E114" s="60"/>
      <c r="G114" s="57" t="s">
        <v>799</v>
      </c>
      <c r="H114" s="58" t="s">
        <v>1107</v>
      </c>
      <c r="P114" s="58"/>
      <c r="Q114" s="58"/>
      <c r="R114" s="58"/>
      <c r="AB114" s="58"/>
      <c r="AC114" s="57"/>
      <c r="AD114" s="57"/>
      <c r="AE114" s="57"/>
      <c r="BH114"/>
      <c r="BK114" s="57"/>
    </row>
    <row r="115" spans="1:63" x14ac:dyDescent="0.35">
      <c r="A115" s="61" t="s">
        <v>800</v>
      </c>
      <c r="B115" s="583" t="s">
        <v>1219</v>
      </c>
      <c r="C115" s="61">
        <v>1</v>
      </c>
      <c r="D115" s="61" t="s">
        <v>37</v>
      </c>
      <c r="E115" s="60"/>
      <c r="G115" s="57" t="s">
        <v>801</v>
      </c>
      <c r="H115" s="58" t="s">
        <v>1107</v>
      </c>
      <c r="P115" s="58"/>
      <c r="Q115" s="58"/>
      <c r="R115" s="58"/>
      <c r="AB115" s="58"/>
      <c r="AC115" s="57"/>
      <c r="AD115" s="57"/>
      <c r="AE115" s="57"/>
      <c r="BH115"/>
      <c r="BK115" s="57"/>
    </row>
    <row r="116" spans="1:63" x14ac:dyDescent="0.35">
      <c r="A116" s="61" t="s">
        <v>802</v>
      </c>
      <c r="B116" s="583" t="s">
        <v>1219</v>
      </c>
      <c r="C116" s="61">
        <v>1</v>
      </c>
      <c r="D116" s="61" t="s">
        <v>26</v>
      </c>
      <c r="E116" s="60"/>
      <c r="G116" s="57" t="s">
        <v>803</v>
      </c>
      <c r="H116" s="58" t="s">
        <v>1107</v>
      </c>
      <c r="P116" s="58"/>
      <c r="Q116" s="58"/>
      <c r="R116" s="58"/>
      <c r="AB116" s="58"/>
      <c r="AC116" s="57"/>
      <c r="AD116" s="57"/>
      <c r="AE116" s="57"/>
      <c r="BH116"/>
      <c r="BK116" s="57"/>
    </row>
    <row r="117" spans="1:63" x14ac:dyDescent="0.35">
      <c r="A117" s="61" t="s">
        <v>458</v>
      </c>
      <c r="B117" s="583" t="s">
        <v>1219</v>
      </c>
      <c r="C117" s="61">
        <v>1</v>
      </c>
      <c r="D117" s="61" t="s">
        <v>26</v>
      </c>
      <c r="E117" s="60"/>
      <c r="G117" s="57" t="s">
        <v>459</v>
      </c>
      <c r="H117" s="58" t="s">
        <v>1107</v>
      </c>
      <c r="P117" s="58"/>
      <c r="Q117" s="58"/>
      <c r="R117" s="58"/>
      <c r="AB117" s="58"/>
      <c r="AC117" s="57"/>
      <c r="AD117" s="57"/>
      <c r="AE117" s="57"/>
      <c r="BH117"/>
      <c r="BK117" s="57"/>
    </row>
    <row r="118" spans="1:63" x14ac:dyDescent="0.35">
      <c r="A118" s="61" t="s">
        <v>460</v>
      </c>
      <c r="B118" s="583" t="s">
        <v>1219</v>
      </c>
      <c r="C118" s="61">
        <v>1</v>
      </c>
      <c r="D118" s="61" t="s">
        <v>37</v>
      </c>
      <c r="E118" s="60"/>
      <c r="G118" s="57" t="s">
        <v>461</v>
      </c>
      <c r="H118" s="58" t="s">
        <v>1107</v>
      </c>
      <c r="P118" s="58"/>
      <c r="Q118" s="58"/>
      <c r="R118" s="58"/>
      <c r="AB118" s="58"/>
      <c r="AC118" s="57"/>
      <c r="AD118" s="57"/>
      <c r="AE118" s="57"/>
      <c r="BH118"/>
      <c r="BK118" s="57"/>
    </row>
    <row r="119" spans="1:63" x14ac:dyDescent="0.35">
      <c r="A119" s="61" t="s">
        <v>804</v>
      </c>
      <c r="B119" s="583" t="s">
        <v>1219</v>
      </c>
      <c r="C119" s="61">
        <v>1</v>
      </c>
      <c r="D119" s="61" t="s">
        <v>26</v>
      </c>
      <c r="E119" s="60"/>
      <c r="G119" s="57" t="s">
        <v>805</v>
      </c>
      <c r="H119" s="58" t="s">
        <v>1108</v>
      </c>
      <c r="P119" s="58"/>
      <c r="Q119" s="58"/>
      <c r="R119" s="58"/>
      <c r="AB119" s="58"/>
      <c r="AC119" s="57"/>
      <c r="AD119" s="57"/>
      <c r="AE119" s="57"/>
      <c r="BH119"/>
      <c r="BK119" s="57"/>
    </row>
    <row r="120" spans="1:63" x14ac:dyDescent="0.35">
      <c r="A120" s="61" t="s">
        <v>806</v>
      </c>
      <c r="B120" s="583" t="s">
        <v>1219</v>
      </c>
      <c r="C120" s="61">
        <v>1</v>
      </c>
      <c r="D120" s="61" t="s">
        <v>37</v>
      </c>
      <c r="E120" s="60"/>
      <c r="G120" s="57" t="s">
        <v>807</v>
      </c>
      <c r="H120" s="58" t="s">
        <v>1108</v>
      </c>
      <c r="P120" s="58"/>
      <c r="Q120" s="58"/>
      <c r="R120" s="58"/>
      <c r="AB120" s="58"/>
      <c r="AC120" s="57"/>
      <c r="AD120" s="57"/>
      <c r="AE120" s="57"/>
      <c r="BH120"/>
      <c r="BK120" s="57"/>
    </row>
    <row r="121" spans="1:63" x14ac:dyDescent="0.35">
      <c r="A121" s="61" t="s">
        <v>808</v>
      </c>
      <c r="B121" s="583" t="s">
        <v>1219</v>
      </c>
      <c r="C121" s="61">
        <v>1</v>
      </c>
      <c r="D121" s="61" t="s">
        <v>26</v>
      </c>
      <c r="E121" s="60"/>
      <c r="G121" s="57" t="s">
        <v>809</v>
      </c>
      <c r="H121" s="58" t="s">
        <v>1108</v>
      </c>
      <c r="P121" s="58"/>
      <c r="Q121" s="58"/>
      <c r="R121" s="58"/>
      <c r="AB121" s="58"/>
      <c r="AC121" s="57"/>
      <c r="AD121" s="57"/>
      <c r="AE121" s="57"/>
      <c r="BH121"/>
      <c r="BK121" s="57"/>
    </row>
    <row r="122" spans="1:63" x14ac:dyDescent="0.35">
      <c r="A122" s="61" t="s">
        <v>810</v>
      </c>
      <c r="B122" s="583" t="s">
        <v>1219</v>
      </c>
      <c r="C122" s="61">
        <v>1</v>
      </c>
      <c r="D122" s="61" t="s">
        <v>37</v>
      </c>
      <c r="E122" s="60"/>
      <c r="G122" s="57" t="s">
        <v>811</v>
      </c>
      <c r="H122" s="58" t="s">
        <v>1108</v>
      </c>
      <c r="P122" s="58"/>
      <c r="Q122" s="58"/>
      <c r="R122" s="58"/>
      <c r="AB122" s="58"/>
      <c r="AC122" s="57"/>
      <c r="AD122" s="57"/>
      <c r="AE122" s="57"/>
      <c r="BH122"/>
      <c r="BK122" s="57"/>
    </row>
    <row r="123" spans="1:63" x14ac:dyDescent="0.35">
      <c r="A123" s="61" t="s">
        <v>819</v>
      </c>
      <c r="B123" s="61" t="s">
        <v>923</v>
      </c>
      <c r="C123" s="61">
        <v>1</v>
      </c>
      <c r="D123" s="61" t="s">
        <v>26</v>
      </c>
      <c r="E123" s="60" t="s">
        <v>940</v>
      </c>
      <c r="F123" s="303" t="s">
        <v>1130</v>
      </c>
      <c r="G123" s="57" t="s">
        <v>857</v>
      </c>
      <c r="H123" s="58" t="s">
        <v>924</v>
      </c>
      <c r="I123" s="61">
        <v>100</v>
      </c>
      <c r="P123" s="58"/>
      <c r="Q123" s="58"/>
      <c r="R123" s="58"/>
      <c r="S123" s="58">
        <v>3.75</v>
      </c>
      <c r="T123" s="58">
        <v>4.4119999999999999</v>
      </c>
      <c r="AB123" s="58" t="s">
        <v>291</v>
      </c>
      <c r="AC123" s="57"/>
      <c r="AD123" s="57"/>
      <c r="AE123" s="57"/>
      <c r="BH123"/>
      <c r="BK123" s="57"/>
    </row>
    <row r="124" spans="1:63" x14ac:dyDescent="0.35">
      <c r="A124" s="61" t="s">
        <v>820</v>
      </c>
      <c r="B124" s="61" t="s">
        <v>923</v>
      </c>
      <c r="C124" s="61">
        <v>1</v>
      </c>
      <c r="D124" s="61" t="s">
        <v>26</v>
      </c>
      <c r="E124" s="60" t="s">
        <v>941</v>
      </c>
      <c r="F124" s="303" t="s">
        <v>1130</v>
      </c>
      <c r="G124" s="57" t="s">
        <v>858</v>
      </c>
      <c r="H124" s="58" t="s">
        <v>924</v>
      </c>
      <c r="I124" s="61">
        <v>100</v>
      </c>
      <c r="P124" s="58"/>
      <c r="Q124" s="58"/>
      <c r="R124" s="58"/>
      <c r="S124" s="58">
        <v>3.75</v>
      </c>
      <c r="T124" s="58">
        <v>4.4119999999999999</v>
      </c>
      <c r="AB124" s="58" t="s">
        <v>291</v>
      </c>
      <c r="AC124" s="57"/>
      <c r="AD124" s="57"/>
      <c r="AE124" s="57"/>
      <c r="BH124"/>
      <c r="BK124" s="57"/>
    </row>
    <row r="125" spans="1:63" x14ac:dyDescent="0.35">
      <c r="A125" s="61" t="s">
        <v>821</v>
      </c>
      <c r="B125" s="61" t="s">
        <v>923</v>
      </c>
      <c r="C125" s="61">
        <v>1</v>
      </c>
      <c r="D125" s="61" t="s">
        <v>26</v>
      </c>
      <c r="E125" s="60" t="s">
        <v>942</v>
      </c>
      <c r="F125" s="303" t="s">
        <v>1130</v>
      </c>
      <c r="G125" s="57" t="s">
        <v>859</v>
      </c>
      <c r="H125" s="58" t="s">
        <v>924</v>
      </c>
      <c r="I125" s="61">
        <v>100</v>
      </c>
      <c r="P125" s="58"/>
      <c r="Q125" s="58"/>
      <c r="R125" s="58"/>
      <c r="S125" s="58">
        <v>3.75</v>
      </c>
      <c r="T125" s="58">
        <v>4.4119999999999999</v>
      </c>
      <c r="AB125" s="58" t="s">
        <v>291</v>
      </c>
      <c r="AC125" s="57"/>
      <c r="AD125" s="57"/>
      <c r="AE125" s="57"/>
      <c r="BH125"/>
      <c r="BK125" s="57"/>
    </row>
    <row r="126" spans="1:63" x14ac:dyDescent="0.35">
      <c r="A126" s="61" t="s">
        <v>822</v>
      </c>
      <c r="B126" s="61" t="s">
        <v>923</v>
      </c>
      <c r="C126" s="61">
        <v>1</v>
      </c>
      <c r="D126" s="61" t="s">
        <v>26</v>
      </c>
      <c r="E126" s="60" t="s">
        <v>943</v>
      </c>
      <c r="F126" s="303" t="s">
        <v>1130</v>
      </c>
      <c r="G126" s="57" t="s">
        <v>860</v>
      </c>
      <c r="H126" s="58" t="s">
        <v>924</v>
      </c>
      <c r="I126" s="61">
        <v>100</v>
      </c>
      <c r="P126" s="58"/>
      <c r="Q126" s="58"/>
      <c r="R126" s="58"/>
      <c r="S126" s="58">
        <v>3.75</v>
      </c>
      <c r="T126" s="58">
        <v>4.4119999999999999</v>
      </c>
      <c r="AB126" s="58" t="s">
        <v>291</v>
      </c>
      <c r="AC126" s="57"/>
      <c r="AD126" s="57"/>
      <c r="AE126" s="57"/>
      <c r="BH126"/>
      <c r="BK126" s="57"/>
    </row>
    <row r="127" spans="1:63" x14ac:dyDescent="0.35">
      <c r="A127" s="61" t="s">
        <v>823</v>
      </c>
      <c r="B127" s="61" t="s">
        <v>923</v>
      </c>
      <c r="C127" s="61">
        <v>1</v>
      </c>
      <c r="D127" s="61" t="s">
        <v>26</v>
      </c>
      <c r="E127" s="60" t="s">
        <v>944</v>
      </c>
      <c r="F127" s="303" t="s">
        <v>1130</v>
      </c>
      <c r="G127" s="57" t="s">
        <v>861</v>
      </c>
      <c r="H127" s="58" t="s">
        <v>924</v>
      </c>
      <c r="I127" s="61">
        <v>100</v>
      </c>
      <c r="P127" s="58"/>
      <c r="Q127" s="58"/>
      <c r="R127" s="58"/>
      <c r="S127" s="58">
        <v>3.75</v>
      </c>
      <c r="T127" s="58">
        <v>4.4119999999999999</v>
      </c>
      <c r="AB127" s="58" t="s">
        <v>291</v>
      </c>
      <c r="AC127" s="57"/>
      <c r="AD127" s="57"/>
      <c r="AE127" s="57"/>
      <c r="BH127"/>
      <c r="BK127" s="57"/>
    </row>
    <row r="128" spans="1:63" x14ac:dyDescent="0.35">
      <c r="A128" s="61" t="s">
        <v>824</v>
      </c>
      <c r="B128" s="61" t="s">
        <v>923</v>
      </c>
      <c r="C128" s="61">
        <v>1</v>
      </c>
      <c r="D128" s="61" t="s">
        <v>26</v>
      </c>
      <c r="E128" s="60" t="s">
        <v>945</v>
      </c>
      <c r="F128" s="303" t="s">
        <v>1130</v>
      </c>
      <c r="G128" s="57" t="s">
        <v>862</v>
      </c>
      <c r="H128" s="58" t="s">
        <v>924</v>
      </c>
      <c r="I128" s="61">
        <v>100</v>
      </c>
      <c r="P128" s="58"/>
      <c r="Q128" s="58"/>
      <c r="R128" s="58"/>
      <c r="S128" s="58">
        <v>3.75</v>
      </c>
      <c r="T128" s="58">
        <v>4.4119999999999999</v>
      </c>
      <c r="AB128" s="58" t="s">
        <v>291</v>
      </c>
      <c r="AC128" s="57"/>
      <c r="AD128" s="57"/>
      <c r="AE128" s="57"/>
      <c r="BH128"/>
      <c r="BK128" s="57"/>
    </row>
    <row r="129" spans="1:63" x14ac:dyDescent="0.35">
      <c r="A129" s="61" t="s">
        <v>825</v>
      </c>
      <c r="B129" s="61" t="s">
        <v>923</v>
      </c>
      <c r="C129" s="61">
        <v>1</v>
      </c>
      <c r="D129" s="61" t="s">
        <v>26</v>
      </c>
      <c r="E129" s="60" t="s">
        <v>946</v>
      </c>
      <c r="F129" s="303" t="s">
        <v>1130</v>
      </c>
      <c r="G129" s="57" t="s">
        <v>863</v>
      </c>
      <c r="H129" s="58" t="s">
        <v>924</v>
      </c>
      <c r="I129" s="61">
        <v>100</v>
      </c>
      <c r="P129" s="58"/>
      <c r="Q129" s="58"/>
      <c r="R129" s="58"/>
      <c r="S129" s="58">
        <v>3.75</v>
      </c>
      <c r="T129" s="58">
        <v>4.4119999999999999</v>
      </c>
      <c r="AB129" s="58" t="s">
        <v>291</v>
      </c>
      <c r="AC129" s="57"/>
      <c r="AD129" s="57"/>
      <c r="AE129" s="57"/>
      <c r="BH129"/>
      <c r="BK129" s="57"/>
    </row>
    <row r="130" spans="1:63" x14ac:dyDescent="0.35">
      <c r="A130" s="61" t="s">
        <v>826</v>
      </c>
      <c r="B130" s="61" t="s">
        <v>923</v>
      </c>
      <c r="C130" s="61">
        <v>1</v>
      </c>
      <c r="D130" s="61" t="s">
        <v>26</v>
      </c>
      <c r="E130" s="60" t="s">
        <v>947</v>
      </c>
      <c r="F130" s="303" t="s">
        <v>1130</v>
      </c>
      <c r="G130" s="57" t="s">
        <v>864</v>
      </c>
      <c r="H130" s="58" t="s">
        <v>924</v>
      </c>
      <c r="I130" s="61">
        <v>100</v>
      </c>
      <c r="P130" s="58"/>
      <c r="Q130" s="58"/>
      <c r="R130" s="58"/>
      <c r="S130" s="58">
        <v>3.75</v>
      </c>
      <c r="T130" s="58">
        <v>4.4119999999999999</v>
      </c>
      <c r="AB130" s="58" t="s">
        <v>291</v>
      </c>
      <c r="AC130" s="57"/>
      <c r="AD130" s="57"/>
      <c r="AE130" s="57"/>
      <c r="BH130"/>
      <c r="BK130" s="57"/>
    </row>
    <row r="131" spans="1:63" x14ac:dyDescent="0.35">
      <c r="A131" s="61" t="s">
        <v>827</v>
      </c>
      <c r="B131" s="61" t="s">
        <v>923</v>
      </c>
      <c r="C131" s="61">
        <v>1</v>
      </c>
      <c r="D131" s="61" t="s">
        <v>26</v>
      </c>
      <c r="E131" s="60" t="s">
        <v>948</v>
      </c>
      <c r="F131" s="303" t="s">
        <v>1130</v>
      </c>
      <c r="G131" s="57" t="s">
        <v>865</v>
      </c>
      <c r="H131" s="58" t="s">
        <v>924</v>
      </c>
      <c r="I131" s="61">
        <v>100</v>
      </c>
      <c r="P131" s="58"/>
      <c r="Q131" s="58"/>
      <c r="R131" s="58"/>
      <c r="S131" s="58">
        <v>3.75</v>
      </c>
      <c r="T131" s="58">
        <v>4.4119999999999999</v>
      </c>
      <c r="AB131" s="58" t="s">
        <v>291</v>
      </c>
      <c r="AC131" s="57"/>
      <c r="AD131" s="57"/>
      <c r="AE131" s="57"/>
      <c r="BH131"/>
      <c r="BK131" s="57"/>
    </row>
    <row r="132" spans="1:63" x14ac:dyDescent="0.35">
      <c r="A132" s="61" t="s">
        <v>828</v>
      </c>
      <c r="B132" s="61" t="s">
        <v>923</v>
      </c>
      <c r="C132" s="61">
        <v>1</v>
      </c>
      <c r="D132" s="61" t="s">
        <v>26</v>
      </c>
      <c r="E132" s="60" t="s">
        <v>949</v>
      </c>
      <c r="F132" s="303" t="s">
        <v>1130</v>
      </c>
      <c r="G132" s="57" t="s">
        <v>866</v>
      </c>
      <c r="H132" s="58" t="s">
        <v>924</v>
      </c>
      <c r="I132" s="61">
        <v>100</v>
      </c>
      <c r="P132" s="58"/>
      <c r="Q132" s="58"/>
      <c r="R132" s="58"/>
      <c r="S132" s="58">
        <v>3.75</v>
      </c>
      <c r="T132" s="58">
        <v>4.4119999999999999</v>
      </c>
      <c r="AB132" s="58" t="s">
        <v>291</v>
      </c>
      <c r="AC132" s="57"/>
      <c r="AD132" s="57"/>
      <c r="AE132" s="57"/>
      <c r="BH132"/>
      <c r="BK132" s="57"/>
    </row>
    <row r="133" spans="1:63" x14ac:dyDescent="0.35">
      <c r="A133" s="61" t="s">
        <v>829</v>
      </c>
      <c r="B133" s="61" t="s">
        <v>923</v>
      </c>
      <c r="C133" s="61">
        <v>1</v>
      </c>
      <c r="D133" s="61" t="s">
        <v>26</v>
      </c>
      <c r="E133" s="60" t="s">
        <v>950</v>
      </c>
      <c r="F133" s="303" t="s">
        <v>1130</v>
      </c>
      <c r="G133" s="57" t="s">
        <v>867</v>
      </c>
      <c r="H133" s="58" t="s">
        <v>924</v>
      </c>
      <c r="I133" s="61">
        <v>100</v>
      </c>
      <c r="P133" s="58"/>
      <c r="Q133" s="58"/>
      <c r="R133" s="58"/>
      <c r="S133" s="58">
        <v>3.75</v>
      </c>
      <c r="T133" s="58">
        <v>4.4119999999999999</v>
      </c>
      <c r="AB133" s="58" t="s">
        <v>291</v>
      </c>
      <c r="AC133" s="57"/>
      <c r="AD133" s="57"/>
      <c r="AE133" s="57"/>
      <c r="BH133"/>
      <c r="BK133" s="57"/>
    </row>
    <row r="134" spans="1:63" x14ac:dyDescent="0.35">
      <c r="A134" s="61" t="s">
        <v>830</v>
      </c>
      <c r="B134" s="61" t="s">
        <v>923</v>
      </c>
      <c r="C134" s="61">
        <v>1</v>
      </c>
      <c r="D134" s="61" t="s">
        <v>26</v>
      </c>
      <c r="E134" s="60" t="s">
        <v>951</v>
      </c>
      <c r="F134" s="303" t="s">
        <v>1130</v>
      </c>
      <c r="G134" s="57" t="s">
        <v>868</v>
      </c>
      <c r="H134" s="58" t="s">
        <v>924</v>
      </c>
      <c r="I134" s="61">
        <v>100</v>
      </c>
      <c r="P134" s="58"/>
      <c r="Q134" s="58"/>
      <c r="R134" s="58"/>
      <c r="S134" s="58">
        <v>3.75</v>
      </c>
      <c r="T134" s="58">
        <v>4.4119999999999999</v>
      </c>
      <c r="AB134" s="58" t="s">
        <v>291</v>
      </c>
      <c r="AC134" s="57"/>
      <c r="AD134" s="57"/>
      <c r="AE134" s="57"/>
      <c r="BH134"/>
      <c r="BK134" s="57"/>
    </row>
    <row r="135" spans="1:63" x14ac:dyDescent="0.35">
      <c r="A135" s="61" t="s">
        <v>831</v>
      </c>
      <c r="B135" s="61" t="s">
        <v>923</v>
      </c>
      <c r="C135" s="61">
        <v>1</v>
      </c>
      <c r="D135" s="61" t="s">
        <v>26</v>
      </c>
      <c r="E135" s="60" t="s">
        <v>952</v>
      </c>
      <c r="F135" s="303" t="s">
        <v>1130</v>
      </c>
      <c r="G135" s="57" t="s">
        <v>869</v>
      </c>
      <c r="H135" s="58" t="s">
        <v>924</v>
      </c>
      <c r="I135" s="61">
        <v>100</v>
      </c>
      <c r="P135" s="58"/>
      <c r="Q135" s="58"/>
      <c r="R135" s="58"/>
      <c r="S135" s="58">
        <v>3.75</v>
      </c>
      <c r="T135" s="58">
        <v>4.4119999999999999</v>
      </c>
      <c r="AB135" s="58" t="s">
        <v>291</v>
      </c>
      <c r="AC135" s="57"/>
      <c r="AD135" s="57"/>
      <c r="AE135" s="57"/>
      <c r="BH135"/>
      <c r="BK135" s="57"/>
    </row>
    <row r="136" spans="1:63" x14ac:dyDescent="0.35">
      <c r="A136" s="61" t="s">
        <v>832</v>
      </c>
      <c r="B136" s="61" t="s">
        <v>923</v>
      </c>
      <c r="C136" s="61">
        <v>1</v>
      </c>
      <c r="D136" s="61" t="s">
        <v>26</v>
      </c>
      <c r="E136" s="60" t="s">
        <v>953</v>
      </c>
      <c r="F136" s="303" t="s">
        <v>1130</v>
      </c>
      <c r="G136" s="57" t="s">
        <v>870</v>
      </c>
      <c r="H136" s="58" t="s">
        <v>924</v>
      </c>
      <c r="I136" s="61">
        <v>100</v>
      </c>
      <c r="P136" s="58"/>
      <c r="Q136" s="58"/>
      <c r="R136" s="58"/>
      <c r="S136" s="58">
        <v>3.75</v>
      </c>
      <c r="T136" s="58">
        <v>4.4119999999999999</v>
      </c>
      <c r="AB136" s="58" t="s">
        <v>291</v>
      </c>
      <c r="AC136" s="57"/>
      <c r="AD136" s="57"/>
      <c r="AE136" s="57"/>
      <c r="BH136"/>
      <c r="BK136" s="57"/>
    </row>
    <row r="137" spans="1:63" x14ac:dyDescent="0.35">
      <c r="A137" s="61" t="s">
        <v>833</v>
      </c>
      <c r="B137" s="61" t="s">
        <v>923</v>
      </c>
      <c r="C137" s="61">
        <v>1</v>
      </c>
      <c r="D137" s="61" t="s">
        <v>26</v>
      </c>
      <c r="E137" s="60" t="s">
        <v>954</v>
      </c>
      <c r="F137" s="303" t="s">
        <v>1130</v>
      </c>
      <c r="G137" s="57" t="s">
        <v>871</v>
      </c>
      <c r="H137" s="58" t="s">
        <v>924</v>
      </c>
      <c r="I137" s="61">
        <v>100</v>
      </c>
      <c r="P137" s="58"/>
      <c r="Q137" s="58"/>
      <c r="R137" s="58"/>
      <c r="S137" s="58">
        <v>3.75</v>
      </c>
      <c r="T137" s="58">
        <v>4.4119999999999999</v>
      </c>
      <c r="AB137" s="58" t="s">
        <v>291</v>
      </c>
      <c r="AC137" s="57"/>
      <c r="AD137" s="57"/>
      <c r="AE137" s="57"/>
      <c r="BH137"/>
      <c r="BK137" s="57"/>
    </row>
    <row r="138" spans="1:63" x14ac:dyDescent="0.35">
      <c r="A138" s="61" t="s">
        <v>834</v>
      </c>
      <c r="B138" s="61" t="s">
        <v>923</v>
      </c>
      <c r="C138" s="61">
        <v>1</v>
      </c>
      <c r="D138" s="61" t="s">
        <v>26</v>
      </c>
      <c r="E138" s="60" t="s">
        <v>955</v>
      </c>
      <c r="F138" s="303" t="s">
        <v>1130</v>
      </c>
      <c r="G138" s="57" t="s">
        <v>872</v>
      </c>
      <c r="H138" s="58" t="s">
        <v>924</v>
      </c>
      <c r="I138" s="61">
        <v>100</v>
      </c>
      <c r="P138" s="58"/>
      <c r="Q138" s="58"/>
      <c r="R138" s="58"/>
      <c r="S138" s="58">
        <v>3.75</v>
      </c>
      <c r="T138" s="58">
        <v>4.4119999999999999</v>
      </c>
      <c r="AB138" s="58" t="s">
        <v>291</v>
      </c>
      <c r="AC138" s="57"/>
      <c r="AD138" s="57"/>
      <c r="AE138" s="57"/>
      <c r="BH138"/>
      <c r="BK138" s="57"/>
    </row>
    <row r="139" spans="1:63" x14ac:dyDescent="0.35">
      <c r="A139" s="61" t="s">
        <v>835</v>
      </c>
      <c r="B139" s="61" t="s">
        <v>923</v>
      </c>
      <c r="C139" s="61">
        <v>1</v>
      </c>
      <c r="D139" s="61" t="s">
        <v>26</v>
      </c>
      <c r="E139" s="60" t="s">
        <v>956</v>
      </c>
      <c r="F139" s="303" t="s">
        <v>1130</v>
      </c>
      <c r="G139" s="57" t="s">
        <v>873</v>
      </c>
      <c r="H139" s="58" t="s">
        <v>924</v>
      </c>
      <c r="I139" s="61">
        <v>100</v>
      </c>
      <c r="P139" s="58"/>
      <c r="Q139" s="58"/>
      <c r="R139" s="58"/>
      <c r="S139" s="58">
        <v>3.75</v>
      </c>
      <c r="T139" s="58">
        <v>4.4119999999999999</v>
      </c>
      <c r="AB139" s="58" t="s">
        <v>291</v>
      </c>
      <c r="AC139" s="57"/>
      <c r="AD139" s="57"/>
      <c r="AE139" s="57"/>
      <c r="BH139"/>
      <c r="BK139" s="57"/>
    </row>
    <row r="140" spans="1:63" x14ac:dyDescent="0.35">
      <c r="A140" s="61" t="s">
        <v>836</v>
      </c>
      <c r="B140" s="61" t="s">
        <v>923</v>
      </c>
      <c r="C140" s="61">
        <v>1</v>
      </c>
      <c r="D140" s="61" t="s">
        <v>26</v>
      </c>
      <c r="E140" s="60" t="s">
        <v>957</v>
      </c>
      <c r="F140" s="303" t="s">
        <v>1130</v>
      </c>
      <c r="G140" s="57" t="s">
        <v>874</v>
      </c>
      <c r="H140" s="58" t="s">
        <v>924</v>
      </c>
      <c r="I140" s="61">
        <v>100</v>
      </c>
      <c r="P140" s="58"/>
      <c r="Q140" s="58"/>
      <c r="R140" s="58"/>
      <c r="S140" s="58">
        <v>3.75</v>
      </c>
      <c r="T140" s="58">
        <v>4.4119999999999999</v>
      </c>
      <c r="AB140" s="58" t="s">
        <v>291</v>
      </c>
      <c r="AC140" s="57"/>
      <c r="AD140" s="57"/>
      <c r="AE140" s="57"/>
      <c r="BH140"/>
      <c r="BK140" s="57"/>
    </row>
    <row r="141" spans="1:63" x14ac:dyDescent="0.35">
      <c r="A141" s="61" t="s">
        <v>837</v>
      </c>
      <c r="B141" s="61" t="s">
        <v>923</v>
      </c>
      <c r="C141" s="61">
        <v>1</v>
      </c>
      <c r="D141" s="61" t="s">
        <v>26</v>
      </c>
      <c r="E141" s="60" t="s">
        <v>958</v>
      </c>
      <c r="F141" s="303" t="s">
        <v>1130</v>
      </c>
      <c r="G141" s="57" t="s">
        <v>875</v>
      </c>
      <c r="H141" s="58" t="s">
        <v>924</v>
      </c>
      <c r="I141" s="61">
        <v>100</v>
      </c>
      <c r="P141" s="58"/>
      <c r="Q141" s="58"/>
      <c r="R141" s="58"/>
      <c r="S141" s="58">
        <v>3.75</v>
      </c>
      <c r="T141" s="58">
        <v>4.4119999999999999</v>
      </c>
      <c r="AB141" s="58" t="s">
        <v>291</v>
      </c>
      <c r="AC141" s="57"/>
      <c r="AD141" s="57"/>
      <c r="AE141" s="57"/>
      <c r="BH141"/>
      <c r="BK141" s="57"/>
    </row>
    <row r="142" spans="1:63" x14ac:dyDescent="0.35">
      <c r="A142" s="61" t="s">
        <v>838</v>
      </c>
      <c r="B142" s="61" t="s">
        <v>923</v>
      </c>
      <c r="C142" s="61">
        <v>1</v>
      </c>
      <c r="D142" s="61" t="s">
        <v>26</v>
      </c>
      <c r="E142" s="60" t="s">
        <v>959</v>
      </c>
      <c r="F142" s="303" t="s">
        <v>1130</v>
      </c>
      <c r="G142" s="57" t="s">
        <v>876</v>
      </c>
      <c r="H142" s="58" t="s">
        <v>924</v>
      </c>
      <c r="I142" s="61">
        <v>100</v>
      </c>
      <c r="P142" s="58"/>
      <c r="Q142" s="58"/>
      <c r="R142" s="58"/>
      <c r="S142" s="58">
        <v>3.75</v>
      </c>
      <c r="T142" s="58">
        <v>4.4119999999999999</v>
      </c>
      <c r="AB142" s="58" t="s">
        <v>291</v>
      </c>
      <c r="AC142" s="57"/>
      <c r="AD142" s="57"/>
      <c r="AE142" s="57"/>
      <c r="BH142"/>
      <c r="BK142" s="57"/>
    </row>
    <row r="143" spans="1:63" x14ac:dyDescent="0.35">
      <c r="A143" s="61" t="s">
        <v>839</v>
      </c>
      <c r="B143" s="61" t="s">
        <v>923</v>
      </c>
      <c r="C143" s="61">
        <v>1</v>
      </c>
      <c r="D143" s="61" t="s">
        <v>26</v>
      </c>
      <c r="E143" s="60" t="s">
        <v>960</v>
      </c>
      <c r="F143" s="303" t="s">
        <v>1130</v>
      </c>
      <c r="G143" s="57" t="s">
        <v>877</v>
      </c>
      <c r="H143" s="58" t="s">
        <v>924</v>
      </c>
      <c r="I143" s="61">
        <v>100</v>
      </c>
      <c r="P143" s="58"/>
      <c r="Q143" s="58"/>
      <c r="R143" s="58"/>
      <c r="S143" s="58">
        <v>3.75</v>
      </c>
      <c r="T143" s="58">
        <v>4.4119999999999999</v>
      </c>
      <c r="AB143" s="58" t="s">
        <v>291</v>
      </c>
      <c r="AC143" s="57"/>
      <c r="AD143" s="57"/>
      <c r="AE143" s="57"/>
      <c r="BH143"/>
      <c r="BK143" s="57"/>
    </row>
    <row r="144" spans="1:63" x14ac:dyDescent="0.35">
      <c r="A144" s="61" t="s">
        <v>840</v>
      </c>
      <c r="B144" s="61" t="s">
        <v>923</v>
      </c>
      <c r="C144" s="61">
        <v>1</v>
      </c>
      <c r="D144" s="61" t="s">
        <v>37</v>
      </c>
      <c r="E144" s="60" t="s">
        <v>961</v>
      </c>
      <c r="F144" s="303" t="s">
        <v>1130</v>
      </c>
      <c r="G144" s="57" t="s">
        <v>878</v>
      </c>
      <c r="H144" s="58" t="s">
        <v>924</v>
      </c>
      <c r="I144" s="61">
        <v>100</v>
      </c>
      <c r="P144" s="58"/>
      <c r="Q144" s="58"/>
      <c r="R144" s="58"/>
      <c r="S144" s="58">
        <v>3.75</v>
      </c>
      <c r="T144" s="58">
        <v>4.4119999999999999</v>
      </c>
      <c r="AB144" s="58" t="s">
        <v>291</v>
      </c>
      <c r="AC144" s="57"/>
      <c r="AD144" s="57"/>
      <c r="AE144" s="57"/>
      <c r="BH144"/>
      <c r="BK144" s="57"/>
    </row>
    <row r="145" spans="1:63" x14ac:dyDescent="0.35">
      <c r="A145" s="61" t="s">
        <v>841</v>
      </c>
      <c r="B145" s="61" t="s">
        <v>923</v>
      </c>
      <c r="C145" s="61">
        <v>1</v>
      </c>
      <c r="D145" s="61" t="s">
        <v>37</v>
      </c>
      <c r="E145" s="60" t="s">
        <v>962</v>
      </c>
      <c r="F145" s="303" t="s">
        <v>1130</v>
      </c>
      <c r="G145" s="57" t="s">
        <v>879</v>
      </c>
      <c r="H145" s="58" t="s">
        <v>924</v>
      </c>
      <c r="I145" s="61">
        <v>100</v>
      </c>
      <c r="P145" s="58"/>
      <c r="Q145" s="58"/>
      <c r="R145" s="58"/>
      <c r="S145" s="58">
        <v>3.75</v>
      </c>
      <c r="T145" s="58">
        <v>4.4119999999999999</v>
      </c>
      <c r="AB145" s="58" t="s">
        <v>291</v>
      </c>
      <c r="AC145" s="57"/>
      <c r="AD145" s="57"/>
      <c r="AE145" s="57"/>
      <c r="BH145"/>
      <c r="BK145" s="57"/>
    </row>
    <row r="146" spans="1:63" x14ac:dyDescent="0.35">
      <c r="A146" s="61" t="s">
        <v>842</v>
      </c>
      <c r="B146" s="61" t="s">
        <v>923</v>
      </c>
      <c r="C146" s="61">
        <v>1</v>
      </c>
      <c r="D146" s="61" t="s">
        <v>37</v>
      </c>
      <c r="E146" s="60" t="s">
        <v>963</v>
      </c>
      <c r="F146" s="303" t="s">
        <v>1130</v>
      </c>
      <c r="G146" s="57" t="s">
        <v>880</v>
      </c>
      <c r="H146" s="58" t="s">
        <v>924</v>
      </c>
      <c r="I146" s="61">
        <v>100</v>
      </c>
      <c r="P146" s="58"/>
      <c r="Q146" s="58"/>
      <c r="R146" s="58"/>
      <c r="S146" s="58">
        <v>3.75</v>
      </c>
      <c r="T146" s="58">
        <v>4.4119999999999999</v>
      </c>
      <c r="AB146" s="58" t="s">
        <v>291</v>
      </c>
      <c r="AC146" s="57"/>
      <c r="AD146" s="57"/>
      <c r="AE146" s="57"/>
      <c r="BH146"/>
      <c r="BK146" s="57"/>
    </row>
    <row r="147" spans="1:63" x14ac:dyDescent="0.35">
      <c r="A147" s="61" t="s">
        <v>843</v>
      </c>
      <c r="B147" s="61" t="s">
        <v>923</v>
      </c>
      <c r="C147" s="61">
        <v>1</v>
      </c>
      <c r="D147" s="61" t="s">
        <v>37</v>
      </c>
      <c r="E147" s="60" t="s">
        <v>964</v>
      </c>
      <c r="F147" s="303" t="s">
        <v>1130</v>
      </c>
      <c r="G147" s="57" t="s">
        <v>881</v>
      </c>
      <c r="H147" s="58" t="s">
        <v>924</v>
      </c>
      <c r="I147" s="61">
        <v>100</v>
      </c>
      <c r="P147" s="58"/>
      <c r="Q147" s="58"/>
      <c r="R147" s="58"/>
      <c r="S147" s="58">
        <v>3.75</v>
      </c>
      <c r="T147" s="58">
        <v>4.4119999999999999</v>
      </c>
      <c r="AB147" s="58" t="s">
        <v>291</v>
      </c>
      <c r="AC147" s="57"/>
      <c r="AD147" s="57"/>
      <c r="AE147" s="57"/>
      <c r="BH147"/>
      <c r="BK147" s="57"/>
    </row>
    <row r="148" spans="1:63" x14ac:dyDescent="0.35">
      <c r="A148" s="61" t="s">
        <v>844</v>
      </c>
      <c r="B148" s="61" t="s">
        <v>923</v>
      </c>
      <c r="C148" s="61">
        <v>1</v>
      </c>
      <c r="D148" s="61" t="s">
        <v>37</v>
      </c>
      <c r="E148" s="60" t="s">
        <v>965</v>
      </c>
      <c r="F148" s="303" t="s">
        <v>1130</v>
      </c>
      <c r="G148" s="57" t="s">
        <v>882</v>
      </c>
      <c r="H148" s="58" t="s">
        <v>924</v>
      </c>
      <c r="I148" s="61">
        <v>100</v>
      </c>
      <c r="P148" s="58"/>
      <c r="Q148" s="58"/>
      <c r="R148" s="58"/>
      <c r="S148" s="58">
        <v>3.75</v>
      </c>
      <c r="T148" s="58">
        <v>4.4119999999999999</v>
      </c>
      <c r="AB148" s="58" t="s">
        <v>291</v>
      </c>
      <c r="AC148" s="57"/>
      <c r="AD148" s="57"/>
      <c r="AE148" s="57"/>
      <c r="BH148"/>
      <c r="BK148" s="57"/>
    </row>
    <row r="149" spans="1:63" x14ac:dyDescent="0.35">
      <c r="A149" s="61" t="s">
        <v>845</v>
      </c>
      <c r="B149" s="61" t="s">
        <v>923</v>
      </c>
      <c r="C149" s="61">
        <v>1</v>
      </c>
      <c r="D149" s="61" t="s">
        <v>37</v>
      </c>
      <c r="E149" s="60" t="s">
        <v>966</v>
      </c>
      <c r="F149" s="303" t="s">
        <v>1130</v>
      </c>
      <c r="G149" s="57" t="s">
        <v>883</v>
      </c>
      <c r="H149" s="58" t="s">
        <v>924</v>
      </c>
      <c r="I149" s="61">
        <v>100</v>
      </c>
      <c r="P149" s="58"/>
      <c r="Q149" s="58"/>
      <c r="R149" s="58"/>
      <c r="S149" s="58">
        <v>3.75</v>
      </c>
      <c r="T149" s="58">
        <v>4.4119999999999999</v>
      </c>
      <c r="AB149" s="58" t="s">
        <v>291</v>
      </c>
      <c r="AC149" s="57"/>
      <c r="AD149" s="57"/>
      <c r="AE149" s="57"/>
      <c r="BH149"/>
      <c r="BK149" s="57"/>
    </row>
    <row r="150" spans="1:63" x14ac:dyDescent="0.35">
      <c r="A150" s="61" t="s">
        <v>846</v>
      </c>
      <c r="B150" s="61" t="s">
        <v>923</v>
      </c>
      <c r="C150" s="61">
        <v>1</v>
      </c>
      <c r="D150" s="61" t="s">
        <v>37</v>
      </c>
      <c r="E150" s="60" t="s">
        <v>967</v>
      </c>
      <c r="F150" s="303" t="s">
        <v>1130</v>
      </c>
      <c r="G150" s="57" t="s">
        <v>884</v>
      </c>
      <c r="H150" s="58" t="s">
        <v>924</v>
      </c>
      <c r="I150" s="61">
        <v>100</v>
      </c>
      <c r="P150" s="58"/>
      <c r="Q150" s="58"/>
      <c r="R150" s="58"/>
      <c r="S150" s="58">
        <v>3.75</v>
      </c>
      <c r="T150" s="58">
        <v>4.4119999999999999</v>
      </c>
      <c r="AB150" s="58" t="s">
        <v>291</v>
      </c>
      <c r="AC150" s="57"/>
      <c r="AD150" s="57"/>
      <c r="AE150" s="57"/>
      <c r="BH150"/>
      <c r="BK150" s="57"/>
    </row>
    <row r="151" spans="1:63" x14ac:dyDescent="0.35">
      <c r="A151" s="61" t="s">
        <v>847</v>
      </c>
      <c r="B151" s="61" t="s">
        <v>923</v>
      </c>
      <c r="C151" s="61">
        <v>1</v>
      </c>
      <c r="D151" s="61" t="s">
        <v>37</v>
      </c>
      <c r="E151" s="60" t="s">
        <v>968</v>
      </c>
      <c r="F151" s="303" t="s">
        <v>1130</v>
      </c>
      <c r="G151" s="57" t="s">
        <v>885</v>
      </c>
      <c r="H151" s="58" t="s">
        <v>924</v>
      </c>
      <c r="I151" s="61">
        <v>100</v>
      </c>
      <c r="P151" s="58"/>
      <c r="Q151" s="58"/>
      <c r="R151" s="58"/>
      <c r="S151" s="58">
        <v>3.75</v>
      </c>
      <c r="T151" s="58">
        <v>4.4119999999999999</v>
      </c>
      <c r="AB151" s="58" t="s">
        <v>291</v>
      </c>
      <c r="AC151" s="57"/>
      <c r="AD151" s="57"/>
      <c r="AE151" s="57"/>
      <c r="BH151"/>
      <c r="BK151" s="57"/>
    </row>
    <row r="152" spans="1:63" x14ac:dyDescent="0.35">
      <c r="A152" s="61" t="s">
        <v>848</v>
      </c>
      <c r="B152" s="61" t="s">
        <v>923</v>
      </c>
      <c r="C152" s="61">
        <v>1</v>
      </c>
      <c r="D152" s="61" t="s">
        <v>37</v>
      </c>
      <c r="E152" s="60" t="s">
        <v>969</v>
      </c>
      <c r="F152" s="303" t="s">
        <v>1130</v>
      </c>
      <c r="G152" s="57" t="s">
        <v>886</v>
      </c>
      <c r="H152" s="58" t="s">
        <v>924</v>
      </c>
      <c r="I152" s="61">
        <v>100</v>
      </c>
      <c r="P152" s="58"/>
      <c r="Q152" s="58"/>
      <c r="R152" s="58"/>
      <c r="S152" s="58">
        <v>3.75</v>
      </c>
      <c r="T152" s="58">
        <v>4.4119999999999999</v>
      </c>
      <c r="AB152" s="58" t="s">
        <v>291</v>
      </c>
      <c r="AC152" s="57"/>
      <c r="AD152" s="57"/>
      <c r="AE152" s="57"/>
      <c r="BH152"/>
      <c r="BK152" s="57"/>
    </row>
    <row r="153" spans="1:63" x14ac:dyDescent="0.35">
      <c r="A153" s="61" t="s">
        <v>849</v>
      </c>
      <c r="B153" s="61" t="s">
        <v>923</v>
      </c>
      <c r="C153" s="61">
        <v>1</v>
      </c>
      <c r="D153" s="61" t="s">
        <v>37</v>
      </c>
      <c r="E153" s="60" t="s">
        <v>970</v>
      </c>
      <c r="F153" s="303" t="s">
        <v>1130</v>
      </c>
      <c r="G153" s="57" t="s">
        <v>887</v>
      </c>
      <c r="H153" s="58" t="s">
        <v>924</v>
      </c>
      <c r="I153" s="61">
        <v>100</v>
      </c>
      <c r="P153" s="58"/>
      <c r="Q153" s="58"/>
      <c r="R153" s="58"/>
      <c r="S153" s="58">
        <v>3.75</v>
      </c>
      <c r="T153" s="58">
        <v>4.4119999999999999</v>
      </c>
      <c r="AB153" s="58" t="s">
        <v>291</v>
      </c>
      <c r="AC153" s="57"/>
      <c r="AD153" s="57"/>
      <c r="AE153" s="57"/>
      <c r="BH153"/>
      <c r="BK153" s="57"/>
    </row>
    <row r="154" spans="1:63" x14ac:dyDescent="0.35">
      <c r="A154" s="61" t="s">
        <v>850</v>
      </c>
      <c r="B154" s="61" t="s">
        <v>923</v>
      </c>
      <c r="C154" s="61">
        <v>1</v>
      </c>
      <c r="D154" s="61" t="s">
        <v>37</v>
      </c>
      <c r="E154" s="60" t="s">
        <v>971</v>
      </c>
      <c r="F154" s="303" t="s">
        <v>1130</v>
      </c>
      <c r="G154" s="57" t="s">
        <v>888</v>
      </c>
      <c r="H154" s="58" t="s">
        <v>924</v>
      </c>
      <c r="I154" s="61">
        <v>100</v>
      </c>
      <c r="P154" s="58"/>
      <c r="Q154" s="58"/>
      <c r="R154" s="58"/>
      <c r="S154" s="58">
        <v>3.75</v>
      </c>
      <c r="T154" s="58">
        <v>4.4119999999999999</v>
      </c>
      <c r="AB154" s="58" t="s">
        <v>291</v>
      </c>
      <c r="AC154" s="57"/>
      <c r="AD154" s="57"/>
      <c r="AE154" s="57"/>
      <c r="BH154"/>
      <c r="BK154" s="57"/>
    </row>
    <row r="155" spans="1:63" x14ac:dyDescent="0.35">
      <c r="A155" s="61" t="s">
        <v>851</v>
      </c>
      <c r="B155" s="61" t="s">
        <v>923</v>
      </c>
      <c r="C155" s="61">
        <v>1</v>
      </c>
      <c r="D155" s="61" t="s">
        <v>37</v>
      </c>
      <c r="E155" s="60" t="s">
        <v>972</v>
      </c>
      <c r="F155" s="303" t="s">
        <v>1130</v>
      </c>
      <c r="G155" s="57" t="s">
        <v>889</v>
      </c>
      <c r="H155" s="58" t="s">
        <v>924</v>
      </c>
      <c r="I155" s="61">
        <v>100</v>
      </c>
      <c r="P155" s="58"/>
      <c r="Q155" s="58"/>
      <c r="R155" s="58"/>
      <c r="S155" s="58">
        <v>3.75</v>
      </c>
      <c r="T155" s="58">
        <v>4.4119999999999999</v>
      </c>
      <c r="AB155" s="58" t="s">
        <v>291</v>
      </c>
      <c r="AC155" s="57"/>
      <c r="AD155" s="57"/>
      <c r="AE155" s="57"/>
      <c r="BH155"/>
      <c r="BK155" s="57"/>
    </row>
    <row r="156" spans="1:63" x14ac:dyDescent="0.35">
      <c r="A156" s="61" t="s">
        <v>852</v>
      </c>
      <c r="B156" s="61" t="s">
        <v>923</v>
      </c>
      <c r="C156" s="61">
        <v>1</v>
      </c>
      <c r="D156" s="61" t="s">
        <v>37</v>
      </c>
      <c r="E156" s="60" t="s">
        <v>973</v>
      </c>
      <c r="F156" s="303" t="s">
        <v>1130</v>
      </c>
      <c r="G156" s="57" t="s">
        <v>890</v>
      </c>
      <c r="H156" s="58" t="s">
        <v>924</v>
      </c>
      <c r="I156" s="61">
        <v>100</v>
      </c>
      <c r="P156" s="58"/>
      <c r="Q156" s="58"/>
      <c r="R156" s="58"/>
      <c r="S156" s="58">
        <v>3.75</v>
      </c>
      <c r="T156" s="58">
        <v>4.4119999999999999</v>
      </c>
      <c r="AB156" s="58" t="s">
        <v>291</v>
      </c>
      <c r="AC156" s="57"/>
      <c r="AD156" s="57"/>
      <c r="AE156" s="57"/>
      <c r="BH156"/>
      <c r="BK156" s="57"/>
    </row>
    <row r="157" spans="1:63" x14ac:dyDescent="0.35">
      <c r="A157" s="61" t="s">
        <v>853</v>
      </c>
      <c r="B157" s="61" t="s">
        <v>923</v>
      </c>
      <c r="C157" s="61">
        <v>1</v>
      </c>
      <c r="D157" s="61" t="s">
        <v>37</v>
      </c>
      <c r="E157" s="60" t="s">
        <v>974</v>
      </c>
      <c r="F157" s="303" t="s">
        <v>1130</v>
      </c>
      <c r="G157" s="57" t="s">
        <v>891</v>
      </c>
      <c r="H157" s="58" t="s">
        <v>924</v>
      </c>
      <c r="I157" s="61">
        <v>100</v>
      </c>
      <c r="P157" s="58"/>
      <c r="Q157" s="58"/>
      <c r="R157" s="58"/>
      <c r="S157" s="58">
        <v>3.75</v>
      </c>
      <c r="T157" s="58">
        <v>4.4119999999999999</v>
      </c>
      <c r="AB157" s="58" t="s">
        <v>291</v>
      </c>
      <c r="AC157" s="57"/>
      <c r="AD157" s="57"/>
      <c r="AE157" s="57"/>
      <c r="BH157"/>
      <c r="BK157" s="57"/>
    </row>
    <row r="158" spans="1:63" x14ac:dyDescent="0.35">
      <c r="A158" s="61" t="s">
        <v>854</v>
      </c>
      <c r="B158" s="61" t="s">
        <v>923</v>
      </c>
      <c r="C158" s="61">
        <v>1</v>
      </c>
      <c r="D158" s="61" t="s">
        <v>37</v>
      </c>
      <c r="E158" s="60" t="s">
        <v>975</v>
      </c>
      <c r="F158" s="303" t="s">
        <v>1130</v>
      </c>
      <c r="G158" s="57" t="s">
        <v>892</v>
      </c>
      <c r="H158" s="58" t="s">
        <v>924</v>
      </c>
      <c r="I158" s="61">
        <v>100</v>
      </c>
      <c r="P158" s="58"/>
      <c r="Q158" s="58"/>
      <c r="R158" s="58"/>
      <c r="S158" s="58">
        <v>3.75</v>
      </c>
      <c r="T158" s="58">
        <v>4.4119999999999999</v>
      </c>
      <c r="AB158" s="58" t="s">
        <v>291</v>
      </c>
      <c r="AC158" s="57"/>
      <c r="AD158" s="57"/>
      <c r="AE158" s="57"/>
      <c r="BH158"/>
      <c r="BK158" s="57"/>
    </row>
    <row r="159" spans="1:63" x14ac:dyDescent="0.35">
      <c r="A159" s="61" t="s">
        <v>855</v>
      </c>
      <c r="B159" s="61" t="s">
        <v>923</v>
      </c>
      <c r="C159" s="61">
        <v>1</v>
      </c>
      <c r="D159" s="61" t="s">
        <v>26</v>
      </c>
      <c r="E159" s="60"/>
      <c r="F159" s="303" t="s">
        <v>1131</v>
      </c>
      <c r="G159" s="57" t="s">
        <v>893</v>
      </c>
      <c r="H159" s="58" t="s">
        <v>924</v>
      </c>
      <c r="I159" s="61">
        <v>100</v>
      </c>
      <c r="J159" s="61">
        <v>6</v>
      </c>
      <c r="M159" s="61">
        <v>3</v>
      </c>
      <c r="O159" s="61">
        <v>2</v>
      </c>
      <c r="P159" s="58"/>
      <c r="Q159" s="58"/>
      <c r="R159" s="58"/>
      <c r="S159" s="58">
        <v>6.84</v>
      </c>
      <c r="T159" s="58">
        <v>7.8430999999999997</v>
      </c>
      <c r="AB159" s="58" t="s">
        <v>1129</v>
      </c>
      <c r="AC159" s="57"/>
      <c r="AD159" s="57"/>
      <c r="AE159" s="57"/>
      <c r="BH159"/>
      <c r="BK159" s="57"/>
    </row>
    <row r="160" spans="1:63" x14ac:dyDescent="0.35">
      <c r="A160" s="61" t="s">
        <v>856</v>
      </c>
      <c r="B160" s="61" t="s">
        <v>923</v>
      </c>
      <c r="C160" s="61">
        <v>1</v>
      </c>
      <c r="D160" s="61" t="s">
        <v>37</v>
      </c>
      <c r="E160" s="60"/>
      <c r="F160" s="303" t="s">
        <v>1131</v>
      </c>
      <c r="G160" s="57" t="s">
        <v>894</v>
      </c>
      <c r="H160" s="58" t="s">
        <v>924</v>
      </c>
      <c r="I160" s="61">
        <v>100</v>
      </c>
      <c r="J160" s="61">
        <v>6</v>
      </c>
      <c r="M160" s="61">
        <v>3</v>
      </c>
      <c r="O160" s="61">
        <v>2</v>
      </c>
      <c r="P160" s="58"/>
      <c r="Q160" s="58"/>
      <c r="R160" s="58"/>
      <c r="S160" s="58">
        <v>6.84</v>
      </c>
      <c r="T160" s="58">
        <v>7.8430999999999997</v>
      </c>
      <c r="AB160" s="58" t="s">
        <v>1129</v>
      </c>
      <c r="AC160" s="57"/>
      <c r="AD160" s="57"/>
      <c r="AE160" s="57"/>
      <c r="BH160"/>
      <c r="BK160" s="57"/>
    </row>
    <row r="161" spans="1:63" x14ac:dyDescent="0.35">
      <c r="B161" s="61" t="s">
        <v>25</v>
      </c>
      <c r="C161" s="61">
        <v>2</v>
      </c>
      <c r="D161" s="61" t="s">
        <v>37</v>
      </c>
      <c r="E161" s="60"/>
      <c r="G161" s="57" t="s">
        <v>97</v>
      </c>
      <c r="H161" s="58" t="s">
        <v>28</v>
      </c>
      <c r="I161" s="61">
        <v>20</v>
      </c>
      <c r="J161" s="61">
        <v>18</v>
      </c>
      <c r="M161" s="61">
        <v>3</v>
      </c>
      <c r="O161" s="61">
        <v>6</v>
      </c>
      <c r="P161" s="58">
        <v>400</v>
      </c>
      <c r="Q161" s="58">
        <v>400</v>
      </c>
      <c r="R161" s="58">
        <v>460</v>
      </c>
      <c r="S161" s="58">
        <v>14.6</v>
      </c>
      <c r="T161" s="58">
        <v>20.5</v>
      </c>
      <c r="U161" s="58">
        <v>100</v>
      </c>
      <c r="V161" s="58">
        <v>250</v>
      </c>
      <c r="W161" s="58">
        <v>0</v>
      </c>
      <c r="X161" s="58">
        <v>0.6</v>
      </c>
      <c r="Y161" s="58">
        <v>0.4</v>
      </c>
      <c r="Z161" s="58">
        <v>0</v>
      </c>
      <c r="AA161" s="58">
        <v>0</v>
      </c>
      <c r="AB161" s="58" t="s">
        <v>29</v>
      </c>
      <c r="AC161" s="57"/>
      <c r="AD161" s="57"/>
      <c r="AE161" s="57"/>
      <c r="BH161"/>
      <c r="BK161" s="57"/>
    </row>
    <row r="162" spans="1:63" x14ac:dyDescent="0.35">
      <c r="B162" s="61" t="s">
        <v>157</v>
      </c>
      <c r="C162" s="61">
        <v>1</v>
      </c>
      <c r="D162" s="61" t="s">
        <v>37</v>
      </c>
      <c r="E162" s="59"/>
      <c r="G162" s="57" t="s">
        <v>186</v>
      </c>
      <c r="H162" s="58" t="s">
        <v>160</v>
      </c>
      <c r="I162" s="61">
        <v>24</v>
      </c>
      <c r="P162" s="58"/>
      <c r="Q162" s="58"/>
      <c r="R162" s="58"/>
      <c r="U162" s="58">
        <v>250</v>
      </c>
      <c r="V162" s="58">
        <v>0</v>
      </c>
      <c r="W162" s="58">
        <v>0</v>
      </c>
      <c r="X162" s="58">
        <v>1</v>
      </c>
      <c r="Y162" s="58">
        <v>0</v>
      </c>
      <c r="Z162" s="58">
        <v>0</v>
      </c>
      <c r="AA162" s="58">
        <v>0</v>
      </c>
      <c r="AB162" s="58" t="s">
        <v>29</v>
      </c>
      <c r="AC162" s="57"/>
      <c r="AD162" s="57"/>
      <c r="AE162" s="57"/>
      <c r="BH162"/>
      <c r="BK162" s="57"/>
    </row>
    <row r="163" spans="1:63" x14ac:dyDescent="0.35">
      <c r="B163" s="61" t="s">
        <v>157</v>
      </c>
      <c r="C163" s="61">
        <v>1</v>
      </c>
      <c r="D163" s="61" t="s">
        <v>26</v>
      </c>
      <c r="E163" s="60"/>
      <c r="G163" s="57" t="s">
        <v>187</v>
      </c>
      <c r="H163" s="58" t="s">
        <v>160</v>
      </c>
      <c r="I163" s="61">
        <v>24</v>
      </c>
      <c r="P163" s="58"/>
      <c r="Q163" s="58"/>
      <c r="R163" s="58"/>
      <c r="U163" s="58">
        <v>300</v>
      </c>
      <c r="V163" s="58">
        <v>0</v>
      </c>
      <c r="W163" s="58">
        <v>0</v>
      </c>
      <c r="X163" s="58">
        <v>1</v>
      </c>
      <c r="Y163" s="58">
        <v>0</v>
      </c>
      <c r="Z163" s="58">
        <v>0</v>
      </c>
      <c r="AA163" s="58">
        <v>0</v>
      </c>
      <c r="AB163" s="58" t="s">
        <v>29</v>
      </c>
      <c r="AC163" s="57"/>
      <c r="AD163" s="57"/>
      <c r="AE163" s="57"/>
      <c r="BH163"/>
      <c r="BK163" s="57"/>
    </row>
    <row r="164" spans="1:63" x14ac:dyDescent="0.35">
      <c r="A164" s="61" t="s">
        <v>446</v>
      </c>
      <c r="B164" s="61" t="s">
        <v>189</v>
      </c>
      <c r="C164" s="61">
        <v>1</v>
      </c>
      <c r="D164" s="61" t="s">
        <v>37</v>
      </c>
      <c r="E164" s="60"/>
      <c r="F164" s="303" t="s">
        <v>158</v>
      </c>
      <c r="G164" s="57" t="s">
        <v>447</v>
      </c>
      <c r="H164" s="58" t="s">
        <v>189</v>
      </c>
      <c r="I164" s="61">
        <v>12</v>
      </c>
      <c r="K164" s="61">
        <v>600</v>
      </c>
      <c r="M164" s="61">
        <v>15</v>
      </c>
      <c r="O164" s="61">
        <v>40</v>
      </c>
      <c r="P164" s="58">
        <v>195</v>
      </c>
      <c r="Q164" s="58">
        <v>150</v>
      </c>
      <c r="R164" s="58">
        <v>105</v>
      </c>
      <c r="S164" s="58">
        <v>1.26</v>
      </c>
      <c r="T164" s="58">
        <v>1.26</v>
      </c>
      <c r="AB164" s="58"/>
      <c r="AC164" s="57"/>
      <c r="AD164" s="57"/>
      <c r="AE164" s="57"/>
      <c r="BH164"/>
      <c r="BK164" s="57"/>
    </row>
    <row r="165" spans="1:63" x14ac:dyDescent="0.35">
      <c r="A165" s="61" t="s">
        <v>448</v>
      </c>
      <c r="B165" s="61" t="s">
        <v>189</v>
      </c>
      <c r="C165" s="61">
        <v>1</v>
      </c>
      <c r="D165" s="61" t="s">
        <v>37</v>
      </c>
      <c r="E165" s="60"/>
      <c r="F165" s="303" t="s">
        <v>158</v>
      </c>
      <c r="G165" s="57" t="s">
        <v>449</v>
      </c>
      <c r="H165" s="61" t="s">
        <v>189</v>
      </c>
      <c r="I165" s="61">
        <v>12</v>
      </c>
      <c r="K165" s="61">
        <v>600</v>
      </c>
      <c r="M165" s="61">
        <v>15</v>
      </c>
      <c r="O165" s="61">
        <v>40</v>
      </c>
      <c r="P165" s="58">
        <v>195</v>
      </c>
      <c r="Q165" s="58">
        <v>150</v>
      </c>
      <c r="R165" s="58">
        <v>105</v>
      </c>
      <c r="S165" s="58">
        <v>1.26</v>
      </c>
      <c r="T165" s="58">
        <v>1.26</v>
      </c>
      <c r="AB165" s="58"/>
      <c r="AC165" s="57"/>
      <c r="AD165" s="57"/>
      <c r="AE165" s="57"/>
      <c r="BH165"/>
      <c r="BK165" s="57"/>
    </row>
    <row r="166" spans="1:63" x14ac:dyDescent="0.35">
      <c r="A166" s="61" t="s">
        <v>450</v>
      </c>
      <c r="B166" s="61" t="s">
        <v>189</v>
      </c>
      <c r="C166" s="61">
        <v>1</v>
      </c>
      <c r="D166" s="61" t="s">
        <v>37</v>
      </c>
      <c r="E166" s="60"/>
      <c r="F166" s="303" t="s">
        <v>158</v>
      </c>
      <c r="G166" s="57" t="s">
        <v>451</v>
      </c>
      <c r="H166" s="61" t="s">
        <v>189</v>
      </c>
      <c r="I166" s="61">
        <v>12</v>
      </c>
      <c r="K166" s="61">
        <v>600</v>
      </c>
      <c r="M166" s="61">
        <v>15</v>
      </c>
      <c r="O166" s="61">
        <v>40</v>
      </c>
      <c r="P166" s="58">
        <v>195</v>
      </c>
      <c r="Q166" s="58">
        <v>150</v>
      </c>
      <c r="R166" s="58">
        <v>105</v>
      </c>
      <c r="S166" s="58">
        <v>1.26</v>
      </c>
      <c r="T166" s="58">
        <v>1.26</v>
      </c>
      <c r="AB166" s="58"/>
      <c r="AC166" s="57"/>
      <c r="AD166" s="57"/>
      <c r="AE166" s="57"/>
      <c r="BH166"/>
      <c r="BK166" s="57"/>
    </row>
    <row r="167" spans="1:63" x14ac:dyDescent="0.35">
      <c r="A167" s="61" t="s">
        <v>452</v>
      </c>
      <c r="B167" s="61" t="s">
        <v>189</v>
      </c>
      <c r="C167" s="61">
        <v>1</v>
      </c>
      <c r="D167" s="61" t="s">
        <v>37</v>
      </c>
      <c r="E167" s="60"/>
      <c r="F167" s="303" t="s">
        <v>158</v>
      </c>
      <c r="G167" s="57" t="s">
        <v>453</v>
      </c>
      <c r="H167" s="61" t="s">
        <v>189</v>
      </c>
      <c r="I167" s="61">
        <v>12</v>
      </c>
      <c r="K167" s="61">
        <v>600</v>
      </c>
      <c r="M167" s="61">
        <v>15</v>
      </c>
      <c r="O167" s="61">
        <v>40</v>
      </c>
      <c r="P167" s="58">
        <v>195</v>
      </c>
      <c r="Q167" s="58">
        <v>150</v>
      </c>
      <c r="R167" s="58">
        <v>105</v>
      </c>
      <c r="S167" s="58">
        <v>1.26</v>
      </c>
      <c r="T167" s="58">
        <v>1.26</v>
      </c>
      <c r="AB167" s="58"/>
      <c r="AC167" s="57"/>
      <c r="AD167" s="57"/>
      <c r="AE167" s="57"/>
      <c r="BH167"/>
      <c r="BK167" s="57"/>
    </row>
    <row r="168" spans="1:63" x14ac:dyDescent="0.35">
      <c r="A168" s="61" t="s">
        <v>452</v>
      </c>
      <c r="B168" s="61" t="s">
        <v>189</v>
      </c>
      <c r="C168" s="61">
        <v>1</v>
      </c>
      <c r="D168" s="61" t="s">
        <v>37</v>
      </c>
      <c r="E168" s="60"/>
      <c r="F168" s="303" t="s">
        <v>158</v>
      </c>
      <c r="G168" s="57" t="s">
        <v>453</v>
      </c>
      <c r="H168" s="61" t="s">
        <v>189</v>
      </c>
      <c r="I168" s="61">
        <v>12</v>
      </c>
      <c r="K168" s="61">
        <v>600</v>
      </c>
      <c r="M168" s="61">
        <v>15</v>
      </c>
      <c r="O168" s="61">
        <v>40</v>
      </c>
      <c r="P168" s="58">
        <v>195</v>
      </c>
      <c r="Q168" s="58">
        <v>150</v>
      </c>
      <c r="R168" s="58">
        <v>105</v>
      </c>
      <c r="S168" s="58">
        <v>1.26</v>
      </c>
      <c r="T168" s="58">
        <v>1.26</v>
      </c>
      <c r="AB168" s="58" t="s">
        <v>277</v>
      </c>
      <c r="AC168" s="57"/>
      <c r="AD168" s="57"/>
      <c r="AE168" s="57"/>
      <c r="BH168"/>
      <c r="BK168" s="57"/>
    </row>
    <row r="169" spans="1:63" x14ac:dyDescent="0.35">
      <c r="A169" s="583" t="s">
        <v>1195</v>
      </c>
      <c r="B169" s="583" t="s">
        <v>1219</v>
      </c>
      <c r="C169" s="583">
        <v>1</v>
      </c>
      <c r="D169" s="583" t="s">
        <v>26</v>
      </c>
      <c r="E169" s="584"/>
      <c r="F169" s="585"/>
      <c r="G169" s="586" t="s">
        <v>1194</v>
      </c>
      <c r="H169" s="587" t="s">
        <v>1108</v>
      </c>
      <c r="I169" s="583"/>
      <c r="J169" s="583"/>
      <c r="K169" s="583"/>
      <c r="M169" s="583"/>
      <c r="O169" s="583"/>
      <c r="P169" s="588"/>
      <c r="Q169" s="588"/>
      <c r="R169" s="588"/>
      <c r="S169" s="587"/>
      <c r="T169" s="587"/>
      <c r="U169" s="587"/>
      <c r="V169" s="587"/>
      <c r="W169" s="587"/>
      <c r="X169" s="587"/>
      <c r="Y169" s="587"/>
      <c r="Z169" s="587"/>
      <c r="AA169" s="587"/>
      <c r="AB169" s="587"/>
    </row>
    <row r="170" spans="1:63" x14ac:dyDescent="0.35">
      <c r="A170" s="583" t="s">
        <v>1196</v>
      </c>
      <c r="B170" s="583" t="s">
        <v>1219</v>
      </c>
      <c r="C170" s="583">
        <v>1</v>
      </c>
      <c r="D170" s="583" t="s">
        <v>37</v>
      </c>
      <c r="E170" s="584"/>
      <c r="F170" s="585"/>
      <c r="G170" s="586" t="s">
        <v>1197</v>
      </c>
      <c r="H170" s="587" t="s">
        <v>1108</v>
      </c>
      <c r="I170" s="583"/>
      <c r="J170" s="583"/>
      <c r="K170" s="583"/>
      <c r="M170" s="583"/>
      <c r="O170" s="583"/>
      <c r="P170" s="588"/>
      <c r="Q170" s="588"/>
      <c r="R170" s="588"/>
      <c r="S170" s="587"/>
      <c r="T170" s="587"/>
      <c r="U170" s="587"/>
      <c r="V170" s="587"/>
      <c r="W170" s="587"/>
      <c r="X170" s="587"/>
      <c r="Y170" s="587"/>
      <c r="Z170" s="587"/>
      <c r="AA170" s="587"/>
      <c r="AB170" s="587"/>
    </row>
    <row r="171" spans="1:63" x14ac:dyDescent="0.35">
      <c r="A171" s="583" t="s">
        <v>1200</v>
      </c>
      <c r="B171" s="583" t="s">
        <v>1219</v>
      </c>
      <c r="C171" s="583">
        <v>1</v>
      </c>
      <c r="D171" s="583"/>
      <c r="E171" s="584"/>
      <c r="F171" s="585"/>
      <c r="G171" s="586" t="s">
        <v>1198</v>
      </c>
      <c r="H171" s="587" t="s">
        <v>1202</v>
      </c>
      <c r="I171" s="583"/>
      <c r="J171" s="583"/>
      <c r="K171" s="583"/>
      <c r="M171" s="583"/>
      <c r="O171" s="583"/>
      <c r="P171" s="588"/>
      <c r="Q171" s="588"/>
      <c r="R171" s="588"/>
      <c r="S171" s="587"/>
      <c r="T171" s="587"/>
      <c r="U171" s="587"/>
      <c r="V171" s="587"/>
      <c r="W171" s="587"/>
      <c r="X171" s="587"/>
      <c r="Y171" s="587"/>
      <c r="Z171" s="587"/>
      <c r="AA171" s="587"/>
      <c r="AB171" s="587"/>
    </row>
    <row r="172" spans="1:63" x14ac:dyDescent="0.35">
      <c r="A172" s="583" t="s">
        <v>1201</v>
      </c>
      <c r="B172" s="583" t="s">
        <v>1219</v>
      </c>
      <c r="C172" s="583">
        <v>1</v>
      </c>
      <c r="D172" s="583"/>
      <c r="E172" s="584"/>
      <c r="F172" s="585"/>
      <c r="G172" s="586" t="s">
        <v>1199</v>
      </c>
      <c r="H172" s="587" t="s">
        <v>1202</v>
      </c>
      <c r="I172" s="583"/>
      <c r="J172" s="583"/>
      <c r="K172" s="583"/>
      <c r="M172" s="583"/>
      <c r="O172" s="583"/>
      <c r="P172" s="588"/>
      <c r="Q172" s="588"/>
      <c r="R172" s="588"/>
      <c r="S172" s="587"/>
      <c r="T172" s="587"/>
      <c r="U172" s="587"/>
      <c r="V172" s="587"/>
      <c r="W172" s="587"/>
      <c r="X172" s="587"/>
      <c r="Y172" s="587"/>
      <c r="Z172" s="587"/>
      <c r="AA172" s="587"/>
      <c r="AB172" s="587"/>
    </row>
    <row r="173" spans="1:63" x14ac:dyDescent="0.35">
      <c r="A173" s="583" t="s">
        <v>1203</v>
      </c>
      <c r="B173" s="583" t="s">
        <v>1219</v>
      </c>
      <c r="C173" s="583">
        <v>1</v>
      </c>
      <c r="D173" s="583" t="s">
        <v>26</v>
      </c>
      <c r="E173" s="584"/>
      <c r="F173" s="585"/>
      <c r="G173" s="586" t="s">
        <v>1211</v>
      </c>
      <c r="H173" s="587" t="s">
        <v>1107</v>
      </c>
      <c r="I173" s="583"/>
      <c r="J173" s="583"/>
      <c r="K173" s="583"/>
      <c r="M173" s="583"/>
      <c r="O173" s="583"/>
      <c r="P173" s="588"/>
      <c r="Q173" s="588"/>
      <c r="R173" s="588"/>
      <c r="S173" s="587"/>
      <c r="T173" s="587"/>
      <c r="U173" s="587"/>
      <c r="V173" s="587"/>
      <c r="W173" s="587"/>
      <c r="X173" s="587"/>
      <c r="Y173" s="587"/>
      <c r="Z173" s="587"/>
      <c r="AA173" s="587"/>
      <c r="AB173" s="587"/>
    </row>
    <row r="174" spans="1:63" x14ac:dyDescent="0.35">
      <c r="A174" s="583" t="s">
        <v>1204</v>
      </c>
      <c r="B174" s="583" t="s">
        <v>1219</v>
      </c>
      <c r="C174" s="583">
        <v>1</v>
      </c>
      <c r="D174" s="583" t="s">
        <v>26</v>
      </c>
      <c r="E174" s="584"/>
      <c r="F174" s="585"/>
      <c r="G174" s="586" t="s">
        <v>1212</v>
      </c>
      <c r="H174" s="587" t="s">
        <v>1107</v>
      </c>
      <c r="I174" s="583"/>
      <c r="J174" s="583"/>
      <c r="K174" s="583"/>
      <c r="M174" s="583"/>
      <c r="O174" s="583"/>
      <c r="P174" s="588"/>
      <c r="Q174" s="588"/>
      <c r="R174" s="588"/>
      <c r="S174" s="587"/>
      <c r="T174" s="587"/>
      <c r="U174" s="587"/>
      <c r="V174" s="587"/>
      <c r="W174" s="587"/>
      <c r="X174" s="587"/>
      <c r="Y174" s="587"/>
      <c r="Z174" s="587"/>
      <c r="AA174" s="587"/>
      <c r="AB174" s="587"/>
    </row>
    <row r="175" spans="1:63" x14ac:dyDescent="0.35">
      <c r="A175" s="583" t="s">
        <v>1205</v>
      </c>
      <c r="B175" s="583" t="s">
        <v>1219</v>
      </c>
      <c r="C175" s="583">
        <v>1</v>
      </c>
      <c r="D175" s="583" t="s">
        <v>26</v>
      </c>
      <c r="E175" s="584"/>
      <c r="F175" s="585"/>
      <c r="G175" s="586" t="s">
        <v>1213</v>
      </c>
      <c r="H175" s="587" t="s">
        <v>1107</v>
      </c>
      <c r="I175" s="583"/>
      <c r="J175" s="583"/>
      <c r="K175" s="583"/>
      <c r="M175" s="583"/>
      <c r="O175" s="583"/>
      <c r="P175" s="588"/>
      <c r="Q175" s="588"/>
      <c r="R175" s="588"/>
      <c r="S175" s="587"/>
      <c r="T175" s="587"/>
      <c r="U175" s="587"/>
      <c r="V175" s="587"/>
      <c r="W175" s="587"/>
      <c r="X175" s="587"/>
      <c r="Y175" s="587"/>
      <c r="Z175" s="587"/>
      <c r="AA175" s="587"/>
      <c r="AB175" s="587"/>
    </row>
    <row r="176" spans="1:63" x14ac:dyDescent="0.35">
      <c r="A176" s="583" t="s">
        <v>1206</v>
      </c>
      <c r="B176" s="583" t="s">
        <v>1219</v>
      </c>
      <c r="C176" s="583">
        <v>1</v>
      </c>
      <c r="D176" s="583" t="s">
        <v>26</v>
      </c>
      <c r="E176" s="584"/>
      <c r="F176" s="585"/>
      <c r="G176" s="586" t="s">
        <v>1214</v>
      </c>
      <c r="H176" s="587" t="s">
        <v>1107</v>
      </c>
      <c r="I176" s="583"/>
      <c r="J176" s="583"/>
      <c r="K176" s="583"/>
      <c r="M176" s="583"/>
      <c r="O176" s="583"/>
      <c r="P176" s="588"/>
      <c r="Q176" s="588"/>
      <c r="R176" s="588"/>
      <c r="S176" s="587"/>
      <c r="T176" s="587"/>
      <c r="U176" s="587"/>
      <c r="V176" s="587"/>
      <c r="W176" s="587"/>
      <c r="X176" s="587"/>
      <c r="Y176" s="587"/>
      <c r="Z176" s="587"/>
      <c r="AA176" s="587"/>
      <c r="AB176" s="587"/>
    </row>
    <row r="177" spans="1:31" x14ac:dyDescent="0.35">
      <c r="A177" s="583" t="s">
        <v>1207</v>
      </c>
      <c r="B177" s="583" t="s">
        <v>1219</v>
      </c>
      <c r="C177" s="583">
        <v>1</v>
      </c>
      <c r="D177" s="583" t="s">
        <v>37</v>
      </c>
      <c r="E177" s="584"/>
      <c r="F177" s="585"/>
      <c r="G177" s="586" t="s">
        <v>1215</v>
      </c>
      <c r="H177" s="587" t="s">
        <v>1107</v>
      </c>
      <c r="I177" s="583"/>
      <c r="J177" s="583"/>
      <c r="K177" s="583"/>
      <c r="M177" s="583"/>
      <c r="O177" s="583"/>
      <c r="P177" s="588"/>
      <c r="Q177" s="588"/>
      <c r="R177" s="588"/>
      <c r="S177" s="587"/>
      <c r="T177" s="587"/>
      <c r="U177" s="587"/>
      <c r="V177" s="587"/>
      <c r="W177" s="587"/>
      <c r="X177" s="587"/>
      <c r="Y177" s="587"/>
      <c r="Z177" s="587"/>
      <c r="AA177" s="587"/>
      <c r="AB177" s="587"/>
    </row>
    <row r="178" spans="1:31" x14ac:dyDescent="0.35">
      <c r="A178" s="583" t="s">
        <v>1208</v>
      </c>
      <c r="B178" s="583" t="s">
        <v>1219</v>
      </c>
      <c r="C178" s="583">
        <v>1</v>
      </c>
      <c r="D178" s="583" t="s">
        <v>37</v>
      </c>
      <c r="E178" s="584"/>
      <c r="F178" s="585"/>
      <c r="G178" s="586" t="s">
        <v>1216</v>
      </c>
      <c r="H178" s="587" t="s">
        <v>1107</v>
      </c>
      <c r="I178" s="583"/>
      <c r="J178" s="583"/>
      <c r="K178" s="583"/>
      <c r="M178" s="583"/>
      <c r="O178" s="583"/>
      <c r="P178" s="588"/>
      <c r="Q178" s="588"/>
      <c r="R178" s="588"/>
      <c r="S178" s="587"/>
      <c r="T178" s="587"/>
      <c r="U178" s="587"/>
      <c r="V178" s="587"/>
      <c r="W178" s="587"/>
      <c r="X178" s="587"/>
      <c r="Y178" s="587"/>
      <c r="Z178" s="587"/>
      <c r="AA178" s="587"/>
      <c r="AB178" s="587"/>
    </row>
    <row r="179" spans="1:31" x14ac:dyDescent="0.35">
      <c r="A179" s="583" t="s">
        <v>1209</v>
      </c>
      <c r="B179" s="583" t="s">
        <v>1219</v>
      </c>
      <c r="C179" s="583">
        <v>1</v>
      </c>
      <c r="D179" s="583" t="s">
        <v>37</v>
      </c>
      <c r="E179" s="584"/>
      <c r="F179" s="585"/>
      <c r="G179" s="586" t="s">
        <v>1217</v>
      </c>
      <c r="H179" s="587" t="s">
        <v>1107</v>
      </c>
      <c r="I179" s="583"/>
      <c r="J179" s="583"/>
      <c r="K179" s="583"/>
      <c r="M179" s="583"/>
      <c r="O179" s="583"/>
      <c r="P179" s="588"/>
      <c r="Q179" s="588"/>
      <c r="R179" s="588"/>
      <c r="S179" s="587"/>
      <c r="T179" s="587"/>
      <c r="U179" s="587"/>
      <c r="V179" s="587"/>
      <c r="W179" s="587"/>
      <c r="X179" s="587"/>
      <c r="Y179" s="587"/>
      <c r="Z179" s="587"/>
      <c r="AA179" s="587"/>
      <c r="AB179" s="587"/>
    </row>
    <row r="180" spans="1:31" x14ac:dyDescent="0.35">
      <c r="A180" s="583" t="s">
        <v>1210</v>
      </c>
      <c r="B180" s="583" t="s">
        <v>1219</v>
      </c>
      <c r="C180" s="583">
        <v>1</v>
      </c>
      <c r="D180" s="583" t="s">
        <v>37</v>
      </c>
      <c r="E180" s="584"/>
      <c r="F180" s="585"/>
      <c r="G180" s="586" t="s">
        <v>1218</v>
      </c>
      <c r="H180" s="587" t="s">
        <v>1107</v>
      </c>
      <c r="I180" s="583"/>
      <c r="J180" s="583"/>
      <c r="K180" s="583"/>
      <c r="M180" s="583"/>
      <c r="O180" s="583"/>
      <c r="P180" s="588"/>
      <c r="Q180" s="588"/>
      <c r="R180" s="588"/>
      <c r="S180" s="587"/>
      <c r="T180" s="587"/>
      <c r="U180" s="587"/>
      <c r="V180" s="587"/>
      <c r="W180" s="587"/>
      <c r="X180" s="587"/>
      <c r="Y180" s="587"/>
      <c r="Z180" s="587"/>
      <c r="AA180" s="587"/>
      <c r="AB180" s="587"/>
    </row>
    <row r="192" spans="1:31" x14ac:dyDescent="0.35"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C192" s="57"/>
      <c r="AD192" s="57"/>
      <c r="AE192" s="57"/>
    </row>
  </sheetData>
  <phoneticPr fontId="6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/>
  <dimension ref="A1:Z84"/>
  <sheetViews>
    <sheetView workbookViewId="0">
      <pane ySplit="1" topLeftCell="A2" activePane="bottomLeft" state="frozen"/>
      <selection pane="bottomLeft" activeCell="F5" sqref="F5"/>
    </sheetView>
  </sheetViews>
  <sheetFormatPr defaultRowHeight="14.5" x14ac:dyDescent="0.35"/>
  <cols>
    <col min="1" max="1" width="17.54296875" style="1" bestFit="1" customWidth="1"/>
    <col min="2" max="2" width="54.54296875" bestFit="1" customWidth="1"/>
    <col min="3" max="4" width="9" style="1" customWidth="1"/>
    <col min="5" max="5" width="10.1796875" style="1" customWidth="1"/>
    <col min="6" max="9" width="9" style="1" customWidth="1"/>
    <col min="10" max="25" width="9" customWidth="1"/>
    <col min="26" max="26" width="9.453125" customWidth="1"/>
  </cols>
  <sheetData>
    <row r="1" spans="1:7" s="3" customFormat="1" x14ac:dyDescent="0.35">
      <c r="A1" s="3" t="s">
        <v>899</v>
      </c>
      <c r="B1" s="3" t="s">
        <v>1109</v>
      </c>
      <c r="C1" s="3" t="s">
        <v>1110</v>
      </c>
      <c r="D1" s="3" t="s">
        <v>1111</v>
      </c>
      <c r="E1" s="3" t="s">
        <v>189</v>
      </c>
      <c r="F1" s="3" t="s">
        <v>1107</v>
      </c>
      <c r="G1" s="3" t="s">
        <v>1108</v>
      </c>
    </row>
    <row r="2" spans="1:7" x14ac:dyDescent="0.35">
      <c r="A2" s="1" t="s">
        <v>79</v>
      </c>
      <c r="B2" t="s">
        <v>80</v>
      </c>
      <c r="C2" s="1" t="s">
        <v>98</v>
      </c>
      <c r="D2" s="1" t="s">
        <v>167</v>
      </c>
      <c r="F2" s="1" t="s">
        <v>766</v>
      </c>
      <c r="G2" s="1" t="s">
        <v>808</v>
      </c>
    </row>
    <row r="3" spans="1:7" x14ac:dyDescent="0.35">
      <c r="A3" s="1" t="s">
        <v>81</v>
      </c>
      <c r="B3" t="s">
        <v>82</v>
      </c>
      <c r="C3" s="1" t="s">
        <v>100</v>
      </c>
      <c r="D3" s="1" t="s">
        <v>169</v>
      </c>
      <c r="F3" s="1" t="s">
        <v>767</v>
      </c>
      <c r="G3" s="1" t="s">
        <v>808</v>
      </c>
    </row>
    <row r="4" spans="1:7" x14ac:dyDescent="0.35">
      <c r="A4" s="1" t="s">
        <v>83</v>
      </c>
      <c r="B4" t="s">
        <v>84</v>
      </c>
      <c r="C4" s="1" t="s">
        <v>102</v>
      </c>
      <c r="D4" s="1" t="s">
        <v>171</v>
      </c>
      <c r="F4" s="1" t="s">
        <v>768</v>
      </c>
      <c r="G4" s="1" t="s">
        <v>808</v>
      </c>
    </row>
    <row r="5" spans="1:7" x14ac:dyDescent="0.35">
      <c r="A5" s="1" t="s">
        <v>85</v>
      </c>
      <c r="B5" t="s">
        <v>86</v>
      </c>
      <c r="C5" s="1" t="s">
        <v>104</v>
      </c>
      <c r="D5" s="1" t="s">
        <v>173</v>
      </c>
      <c r="F5" s="1" t="s">
        <v>769</v>
      </c>
      <c r="G5" s="1" t="s">
        <v>808</v>
      </c>
    </row>
    <row r="6" spans="1:7" x14ac:dyDescent="0.35">
      <c r="A6" s="1" t="s">
        <v>24</v>
      </c>
      <c r="B6" t="s">
        <v>27</v>
      </c>
      <c r="C6" s="1" t="s">
        <v>61</v>
      </c>
      <c r="D6" s="1" t="s">
        <v>167</v>
      </c>
      <c r="F6" s="1" t="s">
        <v>778</v>
      </c>
      <c r="G6" s="1" t="s">
        <v>804</v>
      </c>
    </row>
    <row r="7" spans="1:7" x14ac:dyDescent="0.35">
      <c r="A7" s="1" t="s">
        <v>30</v>
      </c>
      <c r="B7" t="s">
        <v>31</v>
      </c>
      <c r="C7" s="1" t="s">
        <v>65</v>
      </c>
      <c r="D7" s="1" t="s">
        <v>169</v>
      </c>
      <c r="F7" s="1" t="s">
        <v>780</v>
      </c>
      <c r="G7" s="1" t="s">
        <v>804</v>
      </c>
    </row>
    <row r="8" spans="1:7" x14ac:dyDescent="0.35">
      <c r="A8" s="1" t="s">
        <v>32</v>
      </c>
      <c r="B8" t="s">
        <v>33</v>
      </c>
      <c r="C8" s="1" t="s">
        <v>67</v>
      </c>
      <c r="D8" s="1" t="s">
        <v>171</v>
      </c>
      <c r="F8" s="1" t="s">
        <v>782</v>
      </c>
      <c r="G8" s="1" t="s">
        <v>804</v>
      </c>
    </row>
    <row r="9" spans="1:7" x14ac:dyDescent="0.35">
      <c r="A9" s="1" t="s">
        <v>34</v>
      </c>
      <c r="B9" t="s">
        <v>35</v>
      </c>
      <c r="C9" s="1" t="s">
        <v>69</v>
      </c>
      <c r="D9" s="1" t="s">
        <v>173</v>
      </c>
      <c r="F9" s="1" t="s">
        <v>784</v>
      </c>
      <c r="G9" s="1" t="s">
        <v>804</v>
      </c>
    </row>
    <row r="10" spans="1:7" x14ac:dyDescent="0.35">
      <c r="A10" s="1" t="s">
        <v>36</v>
      </c>
      <c r="B10" t="s">
        <v>38</v>
      </c>
      <c r="C10" s="1" t="s">
        <v>71</v>
      </c>
      <c r="D10" s="1" t="s">
        <v>156</v>
      </c>
      <c r="F10" s="1" t="s">
        <v>786</v>
      </c>
      <c r="G10" s="1" t="s">
        <v>806</v>
      </c>
    </row>
    <row r="11" spans="1:7" x14ac:dyDescent="0.35">
      <c r="A11" s="1" t="s">
        <v>39</v>
      </c>
      <c r="B11" t="s">
        <v>40</v>
      </c>
      <c r="C11" s="1" t="s">
        <v>73</v>
      </c>
      <c r="D11" s="1" t="s">
        <v>161</v>
      </c>
      <c r="F11" s="1" t="s">
        <v>788</v>
      </c>
      <c r="G11" s="1" t="s">
        <v>806</v>
      </c>
    </row>
    <row r="12" spans="1:7" x14ac:dyDescent="0.35">
      <c r="A12" s="1" t="s">
        <v>41</v>
      </c>
      <c r="B12" t="s">
        <v>42</v>
      </c>
      <c r="C12" s="1" t="s">
        <v>75</v>
      </c>
      <c r="D12" s="1" t="s">
        <v>163</v>
      </c>
      <c r="F12" s="1" t="s">
        <v>790</v>
      </c>
      <c r="G12" s="1" t="s">
        <v>806</v>
      </c>
    </row>
    <row r="13" spans="1:7" x14ac:dyDescent="0.35">
      <c r="A13" s="1" t="s">
        <v>43</v>
      </c>
      <c r="B13" t="s">
        <v>44</v>
      </c>
      <c r="C13" s="1" t="s">
        <v>77</v>
      </c>
      <c r="D13" s="1" t="s">
        <v>165</v>
      </c>
      <c r="F13" s="1" t="s">
        <v>792</v>
      </c>
      <c r="G13" s="1" t="s">
        <v>806</v>
      </c>
    </row>
    <row r="14" spans="1:7" x14ac:dyDescent="0.35">
      <c r="A14" s="1" t="s">
        <v>87</v>
      </c>
      <c r="B14" t="s">
        <v>88</v>
      </c>
      <c r="C14" s="1" t="s">
        <v>106</v>
      </c>
      <c r="D14" s="1" t="s">
        <v>156</v>
      </c>
      <c r="F14" s="1" t="s">
        <v>770</v>
      </c>
      <c r="G14" s="1" t="s">
        <v>810</v>
      </c>
    </row>
    <row r="15" spans="1:7" x14ac:dyDescent="0.35">
      <c r="A15" s="1" t="s">
        <v>89</v>
      </c>
      <c r="B15" t="s">
        <v>90</v>
      </c>
      <c r="C15" s="1" t="s">
        <v>108</v>
      </c>
      <c r="D15" s="1" t="s">
        <v>161</v>
      </c>
      <c r="F15" s="1" t="s">
        <v>771</v>
      </c>
      <c r="G15" s="1" t="s">
        <v>810</v>
      </c>
    </row>
    <row r="16" spans="1:7" x14ac:dyDescent="0.35">
      <c r="A16" s="1" t="s">
        <v>91</v>
      </c>
      <c r="B16" t="s">
        <v>92</v>
      </c>
      <c r="C16" s="1" t="s">
        <v>110</v>
      </c>
      <c r="D16" s="1" t="s">
        <v>163</v>
      </c>
      <c r="F16" s="1" t="s">
        <v>772</v>
      </c>
      <c r="G16" s="1" t="s">
        <v>810</v>
      </c>
    </row>
    <row r="17" spans="1:26" x14ac:dyDescent="0.35">
      <c r="A17" s="1" t="s">
        <v>93</v>
      </c>
      <c r="B17" t="s">
        <v>94</v>
      </c>
      <c r="C17" s="1" t="s">
        <v>112</v>
      </c>
      <c r="D17" s="1" t="s">
        <v>165</v>
      </c>
      <c r="F17" s="1" t="s">
        <v>773</v>
      </c>
      <c r="G17" s="1" t="s">
        <v>810</v>
      </c>
    </row>
    <row r="18" spans="1:26" x14ac:dyDescent="0.35">
      <c r="A18" s="1" t="s">
        <v>45</v>
      </c>
      <c r="B18" t="s">
        <v>46</v>
      </c>
      <c r="C18" s="1" t="s">
        <v>71</v>
      </c>
      <c r="D18" s="1" t="s">
        <v>167</v>
      </c>
      <c r="E18" s="1" t="s">
        <v>188</v>
      </c>
    </row>
    <row r="19" spans="1:26" x14ac:dyDescent="0.35">
      <c r="A19" s="1" t="s">
        <v>47</v>
      </c>
      <c r="B19" t="s">
        <v>48</v>
      </c>
      <c r="C19" s="1" t="s">
        <v>73</v>
      </c>
      <c r="D19" s="1" t="s">
        <v>169</v>
      </c>
      <c r="E19" s="1" t="s">
        <v>191</v>
      </c>
    </row>
    <row r="20" spans="1:26" x14ac:dyDescent="0.35">
      <c r="A20" s="1" t="s">
        <v>49</v>
      </c>
      <c r="B20" t="s">
        <v>50</v>
      </c>
      <c r="C20" s="1" t="s">
        <v>75</v>
      </c>
      <c r="D20" s="1" t="s">
        <v>171</v>
      </c>
      <c r="E20" s="1" t="s">
        <v>193</v>
      </c>
    </row>
    <row r="21" spans="1:26" x14ac:dyDescent="0.35">
      <c r="A21" s="1" t="s">
        <v>51</v>
      </c>
      <c r="B21" t="s">
        <v>52</v>
      </c>
      <c r="C21" s="1" t="s">
        <v>77</v>
      </c>
      <c r="D21" s="1" t="s">
        <v>173</v>
      </c>
      <c r="E21" s="1" t="s">
        <v>195</v>
      </c>
    </row>
    <row r="22" spans="1:26" x14ac:dyDescent="0.35">
      <c r="A22" s="1" t="s">
        <v>53</v>
      </c>
      <c r="B22" t="s">
        <v>54</v>
      </c>
      <c r="C22" s="1" t="s">
        <v>106</v>
      </c>
      <c r="D22" s="1" t="s">
        <v>156</v>
      </c>
      <c r="E22" s="1" t="s">
        <v>446</v>
      </c>
    </row>
    <row r="23" spans="1:26" x14ac:dyDescent="0.35">
      <c r="A23" s="1" t="s">
        <v>55</v>
      </c>
      <c r="B23" t="s">
        <v>56</v>
      </c>
      <c r="C23" s="1" t="s">
        <v>108</v>
      </c>
      <c r="D23" s="1" t="s">
        <v>161</v>
      </c>
      <c r="E23" s="1" t="s">
        <v>448</v>
      </c>
    </row>
    <row r="24" spans="1:26" x14ac:dyDescent="0.35">
      <c r="A24" s="1" t="s">
        <v>57</v>
      </c>
      <c r="B24" t="s">
        <v>58</v>
      </c>
      <c r="C24" s="1" t="s">
        <v>110</v>
      </c>
      <c r="D24" s="1" t="s">
        <v>163</v>
      </c>
      <c r="E24" s="1" t="s">
        <v>450</v>
      </c>
    </row>
    <row r="25" spans="1:26" x14ac:dyDescent="0.35">
      <c r="A25" s="1" t="s">
        <v>59</v>
      </c>
      <c r="B25" t="s">
        <v>60</v>
      </c>
      <c r="C25" s="1" t="s">
        <v>112</v>
      </c>
      <c r="D25" s="1" t="s">
        <v>165</v>
      </c>
      <c r="E25" s="1" t="s">
        <v>452</v>
      </c>
    </row>
    <row r="26" spans="1:26" x14ac:dyDescent="0.35">
      <c r="A26" s="1" t="s">
        <v>95</v>
      </c>
      <c r="B26" t="s">
        <v>96</v>
      </c>
      <c r="C26" s="1" t="s">
        <v>114</v>
      </c>
      <c r="D26" s="1" t="s">
        <v>726</v>
      </c>
      <c r="F26" s="1" t="s">
        <v>802</v>
      </c>
      <c r="G26" s="1" t="s">
        <v>1166</v>
      </c>
    </row>
    <row r="28" spans="1:26" x14ac:dyDescent="0.35">
      <c r="B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5">
      <c r="B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B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B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B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2:26" x14ac:dyDescent="0.35">
      <c r="B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2:26" x14ac:dyDescent="0.35">
      <c r="B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2:26" x14ac:dyDescent="0.35">
      <c r="B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2:26" x14ac:dyDescent="0.35">
      <c r="B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2:26" x14ac:dyDescent="0.35">
      <c r="B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2:26" x14ac:dyDescent="0.35">
      <c r="B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2:26" x14ac:dyDescent="0.35">
      <c r="B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2:26" x14ac:dyDescent="0.35">
      <c r="B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2:26" x14ac:dyDescent="0.35">
      <c r="B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2:26" x14ac:dyDescent="0.35">
      <c r="B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2:26" x14ac:dyDescent="0.35">
      <c r="B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2:26" x14ac:dyDescent="0.35">
      <c r="B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2:26" x14ac:dyDescent="0.35">
      <c r="B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2:26" x14ac:dyDescent="0.35">
      <c r="B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2:26" x14ac:dyDescent="0.35">
      <c r="B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2:26" x14ac:dyDescent="0.35">
      <c r="B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2:26" x14ac:dyDescent="0.35">
      <c r="B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2:26" x14ac:dyDescent="0.35">
      <c r="B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2:26" x14ac:dyDescent="0.35">
      <c r="B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2:26" x14ac:dyDescent="0.35">
      <c r="B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2:26" x14ac:dyDescent="0.35">
      <c r="B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2:26" x14ac:dyDescent="0.35">
      <c r="B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2:26" x14ac:dyDescent="0.35">
      <c r="B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2:26" x14ac:dyDescent="0.35">
      <c r="B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2:26" x14ac:dyDescent="0.35">
      <c r="B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2:26" x14ac:dyDescent="0.35">
      <c r="B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2:26" x14ac:dyDescent="0.35">
      <c r="B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2:26" x14ac:dyDescent="0.35">
      <c r="B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2:26" x14ac:dyDescent="0.35">
      <c r="B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2:26" x14ac:dyDescent="0.35">
      <c r="B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2:26" x14ac:dyDescent="0.35">
      <c r="B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2:26" x14ac:dyDescent="0.35">
      <c r="B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2:26" x14ac:dyDescent="0.35">
      <c r="B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2:26" x14ac:dyDescent="0.35">
      <c r="B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2:26" x14ac:dyDescent="0.35">
      <c r="B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2:26" x14ac:dyDescent="0.35">
      <c r="B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2:26" x14ac:dyDescent="0.35">
      <c r="B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2:26" x14ac:dyDescent="0.35">
      <c r="B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2:26" x14ac:dyDescent="0.35">
      <c r="B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2:26" x14ac:dyDescent="0.35">
      <c r="B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2:26" x14ac:dyDescent="0.35">
      <c r="B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2:26" x14ac:dyDescent="0.35">
      <c r="B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2:26" x14ac:dyDescent="0.35">
      <c r="B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2:26" x14ac:dyDescent="0.35">
      <c r="B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2:26" x14ac:dyDescent="0.35">
      <c r="B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2:26" x14ac:dyDescent="0.35">
      <c r="B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2:26" x14ac:dyDescent="0.35">
      <c r="B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2:26" x14ac:dyDescent="0.35">
      <c r="B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2:26" x14ac:dyDescent="0.35">
      <c r="B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2:26" x14ac:dyDescent="0.35">
      <c r="B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2:26" x14ac:dyDescent="0.35">
      <c r="B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2:26" x14ac:dyDescent="0.35">
      <c r="B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</sheetData>
  <phoneticPr fontId="6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Z70"/>
  <sheetViews>
    <sheetView workbookViewId="0">
      <pane xSplit="1" ySplit="1" topLeftCell="B20" activePane="bottomRight" state="frozen"/>
      <selection activeCell="E3" sqref="E3:I3"/>
      <selection pane="topRight" activeCell="E3" sqref="E3:I3"/>
      <selection pane="bottomLeft" activeCell="E3" sqref="E3:I3"/>
      <selection pane="bottomRight" activeCell="A33" sqref="A33"/>
    </sheetView>
  </sheetViews>
  <sheetFormatPr defaultColWidth="8.7265625" defaultRowHeight="14.5" x14ac:dyDescent="0.35"/>
  <cols>
    <col min="1" max="1" width="31.1796875" style="54" bestFit="1" customWidth="1"/>
    <col min="2" max="2" width="17" style="1" bestFit="1" customWidth="1"/>
    <col min="3" max="3" width="105.7265625" style="54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6.26953125" style="68" bestFit="1" customWidth="1"/>
    <col min="12" max="12" width="33" style="68" bestFit="1" customWidth="1"/>
    <col min="13" max="13" width="39.54296875" style="68" bestFit="1" customWidth="1"/>
    <col min="14" max="14" width="28.26953125" bestFit="1" customWidth="1"/>
    <col min="15" max="15" width="57.81640625" style="1" bestFit="1" customWidth="1"/>
    <col min="16" max="16" width="55.81640625" customWidth="1"/>
    <col min="17" max="17" width="12" style="1" bestFit="1" customWidth="1"/>
    <col min="18" max="18" width="8.7265625" style="56"/>
    <col min="19" max="19" width="31.7265625" style="1" customWidth="1"/>
    <col min="20" max="20" width="34.54296875" customWidth="1"/>
  </cols>
  <sheetData>
    <row r="1" spans="1:26" s="5" customFormat="1" x14ac:dyDescent="0.35">
      <c r="A1" s="5" t="s">
        <v>215</v>
      </c>
      <c r="B1" s="5" t="s">
        <v>216</v>
      </c>
      <c r="C1" s="5" t="s">
        <v>217</v>
      </c>
      <c r="D1" s="5" t="s">
        <v>218</v>
      </c>
      <c r="E1" s="5" t="s">
        <v>219</v>
      </c>
      <c r="F1" s="5" t="s">
        <v>220</v>
      </c>
      <c r="G1" s="5" t="s">
        <v>221</v>
      </c>
      <c r="H1" s="5" t="s">
        <v>222</v>
      </c>
      <c r="I1" s="5" t="s">
        <v>223</v>
      </c>
      <c r="J1" s="5" t="s">
        <v>710</v>
      </c>
      <c r="K1" s="5" t="s">
        <v>224</v>
      </c>
      <c r="L1" s="5" t="s">
        <v>225</v>
      </c>
      <c r="M1" s="5" t="s">
        <v>226</v>
      </c>
      <c r="N1" s="5" t="s">
        <v>227</v>
      </c>
      <c r="O1" s="5" t="s">
        <v>228</v>
      </c>
      <c r="P1" s="5" t="s">
        <v>229</v>
      </c>
      <c r="Q1" s="5" t="s">
        <v>230</v>
      </c>
      <c r="R1" s="53" t="s">
        <v>231</v>
      </c>
      <c r="S1" s="5" t="s">
        <v>232</v>
      </c>
      <c r="T1" s="5" t="s">
        <v>233</v>
      </c>
      <c r="Z1" s="5">
        <f>COUNTA(A:A)</f>
        <v>50</v>
      </c>
    </row>
    <row r="2" spans="1:26" x14ac:dyDescent="0.35">
      <c r="A2" s="54" t="s">
        <v>234</v>
      </c>
      <c r="B2" s="1" t="s">
        <v>235</v>
      </c>
      <c r="C2" s="54" t="s">
        <v>271</v>
      </c>
      <c r="D2" s="54" t="s">
        <v>236</v>
      </c>
      <c r="E2" s="54"/>
      <c r="F2" s="54" t="s">
        <v>237</v>
      </c>
      <c r="G2" s="54" t="s">
        <v>238</v>
      </c>
      <c r="H2" s="163" t="s">
        <v>239</v>
      </c>
      <c r="I2" s="163"/>
      <c r="J2" s="163" t="s">
        <v>762</v>
      </c>
      <c r="K2" s="164" t="s">
        <v>240</v>
      </c>
      <c r="L2" s="164" t="s">
        <v>241</v>
      </c>
      <c r="M2" s="164" t="s">
        <v>239</v>
      </c>
      <c r="N2" s="163" t="s">
        <v>242</v>
      </c>
      <c r="O2" s="1" t="s">
        <v>1075</v>
      </c>
      <c r="P2" t="s">
        <v>244</v>
      </c>
      <c r="Q2" s="1" t="s">
        <v>245</v>
      </c>
      <c r="R2" s="56" t="s">
        <v>246</v>
      </c>
      <c r="S2" s="1" t="s">
        <v>247</v>
      </c>
      <c r="T2" s="1" t="s">
        <v>914</v>
      </c>
    </row>
    <row r="3" spans="1:26" x14ac:dyDescent="0.35">
      <c r="A3" s="54" t="s">
        <v>248</v>
      </c>
      <c r="B3" s="1" t="s">
        <v>249</v>
      </c>
      <c r="C3" s="54" t="s">
        <v>912</v>
      </c>
      <c r="D3" t="s">
        <v>1067</v>
      </c>
      <c r="E3" t="s">
        <v>1068</v>
      </c>
      <c r="F3" t="s">
        <v>250</v>
      </c>
      <c r="G3" t="s">
        <v>251</v>
      </c>
      <c r="H3" s="163" t="s">
        <v>252</v>
      </c>
      <c r="I3" s="163"/>
      <c r="J3" s="163"/>
      <c r="K3" s="164" t="s">
        <v>1080</v>
      </c>
      <c r="L3" s="164" t="s">
        <v>1081</v>
      </c>
      <c r="M3" s="164" t="s">
        <v>1082</v>
      </c>
      <c r="N3" s="163" t="s">
        <v>253</v>
      </c>
      <c r="O3" s="1" t="s">
        <v>1075</v>
      </c>
      <c r="P3" t="s">
        <v>348</v>
      </c>
      <c r="Q3" s="1" t="s">
        <v>245</v>
      </c>
      <c r="R3" s="56" t="s">
        <v>246</v>
      </c>
      <c r="S3" s="1" t="s">
        <v>247</v>
      </c>
      <c r="T3" s="1"/>
    </row>
    <row r="4" spans="1:26" x14ac:dyDescent="0.35">
      <c r="A4" s="54" t="s">
        <v>254</v>
      </c>
      <c r="B4" s="1" t="s">
        <v>255</v>
      </c>
      <c r="C4" s="54" t="s">
        <v>912</v>
      </c>
      <c r="D4" t="s">
        <v>257</v>
      </c>
      <c r="F4" t="s">
        <v>258</v>
      </c>
      <c r="G4" t="s">
        <v>259</v>
      </c>
      <c r="H4" s="163" t="s">
        <v>260</v>
      </c>
      <c r="I4" s="163"/>
      <c r="J4" s="163"/>
      <c r="K4" s="164" t="s">
        <v>258</v>
      </c>
      <c r="L4" s="164" t="s">
        <v>259</v>
      </c>
      <c r="M4" s="164" t="s">
        <v>260</v>
      </c>
      <c r="N4" s="163" t="s">
        <v>261</v>
      </c>
      <c r="O4" s="1" t="s">
        <v>1075</v>
      </c>
      <c r="P4" t="s">
        <v>348</v>
      </c>
      <c r="Q4" s="1" t="s">
        <v>245</v>
      </c>
      <c r="R4" s="56" t="s">
        <v>246</v>
      </c>
      <c r="S4" s="1" t="s">
        <v>247</v>
      </c>
      <c r="T4" s="1"/>
    </row>
    <row r="5" spans="1:26" x14ac:dyDescent="0.35">
      <c r="A5" s="54" t="s">
        <v>262</v>
      </c>
      <c r="B5" s="1" t="s">
        <v>263</v>
      </c>
      <c r="C5" s="54" t="s">
        <v>912</v>
      </c>
      <c r="D5" t="s">
        <v>264</v>
      </c>
      <c r="F5" t="s">
        <v>265</v>
      </c>
      <c r="G5" t="s">
        <v>623</v>
      </c>
      <c r="H5" s="55" t="s">
        <v>1191</v>
      </c>
      <c r="I5" s="163" t="s">
        <v>1192</v>
      </c>
      <c r="J5" s="163" t="s">
        <v>1193</v>
      </c>
      <c r="K5" s="164" t="s">
        <v>265</v>
      </c>
      <c r="L5" s="164" t="s">
        <v>623</v>
      </c>
      <c r="M5" s="164" t="s">
        <v>1122</v>
      </c>
      <c r="N5" s="163"/>
      <c r="O5" s="1" t="s">
        <v>1075</v>
      </c>
      <c r="P5" t="s">
        <v>348</v>
      </c>
      <c r="Q5" s="1" t="s">
        <v>266</v>
      </c>
      <c r="R5" s="56" t="s">
        <v>267</v>
      </c>
      <c r="S5" s="1" t="s">
        <v>268</v>
      </c>
      <c r="T5" s="1" t="s">
        <v>914</v>
      </c>
    </row>
    <row r="6" spans="1:26" x14ac:dyDescent="0.35">
      <c r="A6" s="54" t="s">
        <v>269</v>
      </c>
      <c r="B6" s="1" t="s">
        <v>270</v>
      </c>
      <c r="C6" s="54" t="s">
        <v>271</v>
      </c>
      <c r="D6" t="s">
        <v>272</v>
      </c>
      <c r="F6" t="s">
        <v>273</v>
      </c>
      <c r="G6" t="s">
        <v>274</v>
      </c>
      <c r="H6" s="163"/>
      <c r="I6" s="163"/>
      <c r="J6" s="163"/>
      <c r="K6" s="164" t="s">
        <v>624</v>
      </c>
      <c r="L6" s="164" t="s">
        <v>625</v>
      </c>
      <c r="M6" s="164" t="s">
        <v>275</v>
      </c>
      <c r="N6" s="163"/>
      <c r="O6" s="1" t="s">
        <v>1075</v>
      </c>
      <c r="P6" t="s">
        <v>348</v>
      </c>
      <c r="Q6" s="1" t="s">
        <v>245</v>
      </c>
      <c r="R6" s="56" t="s">
        <v>267</v>
      </c>
      <c r="S6" s="1" t="s">
        <v>268</v>
      </c>
      <c r="T6" s="1"/>
    </row>
    <row r="7" spans="1:26" x14ac:dyDescent="0.35">
      <c r="A7" s="54" t="s">
        <v>276</v>
      </c>
      <c r="B7" s="1" t="s">
        <v>277</v>
      </c>
      <c r="C7" s="54" t="s">
        <v>271</v>
      </c>
      <c r="D7" t="s">
        <v>276</v>
      </c>
      <c r="F7" t="s">
        <v>626</v>
      </c>
      <c r="G7" t="s">
        <v>278</v>
      </c>
      <c r="H7" s="163" t="s">
        <v>279</v>
      </c>
      <c r="I7" s="163"/>
      <c r="J7" s="163"/>
      <c r="K7" s="164"/>
      <c r="L7" s="164"/>
      <c r="M7" s="164"/>
      <c r="N7" s="163"/>
      <c r="O7" s="1" t="s">
        <v>1075</v>
      </c>
      <c r="P7" t="s">
        <v>348</v>
      </c>
      <c r="Q7" s="1" t="s">
        <v>245</v>
      </c>
      <c r="R7" s="56" t="s">
        <v>267</v>
      </c>
      <c r="S7" s="1" t="s">
        <v>268</v>
      </c>
      <c r="T7" s="1"/>
    </row>
    <row r="8" spans="1:26" x14ac:dyDescent="0.35">
      <c r="A8" s="54" t="s">
        <v>759</v>
      </c>
      <c r="B8" s="1" t="s">
        <v>29</v>
      </c>
      <c r="D8" t="s">
        <v>1167</v>
      </c>
      <c r="F8" t="s">
        <v>1069</v>
      </c>
      <c r="G8" t="s">
        <v>1070</v>
      </c>
      <c r="H8" t="s">
        <v>29</v>
      </c>
      <c r="I8" s="163"/>
      <c r="J8" s="55" t="s">
        <v>1071</v>
      </c>
      <c r="K8"/>
      <c r="L8"/>
      <c r="M8"/>
      <c r="N8" s="55"/>
      <c r="Q8" s="1" t="s">
        <v>245</v>
      </c>
      <c r="R8" s="56" t="s">
        <v>246</v>
      </c>
      <c r="S8" s="1" t="s">
        <v>247</v>
      </c>
      <c r="T8" s="1"/>
    </row>
    <row r="9" spans="1:26" x14ac:dyDescent="0.35">
      <c r="A9" s="54" t="s">
        <v>280</v>
      </c>
      <c r="B9" s="1" t="s">
        <v>281</v>
      </c>
      <c r="C9" s="54" t="s">
        <v>271</v>
      </c>
      <c r="D9" t="s">
        <v>282</v>
      </c>
      <c r="F9" t="s">
        <v>283</v>
      </c>
      <c r="G9" t="s">
        <v>284</v>
      </c>
      <c r="H9" s="163" t="s">
        <v>285</v>
      </c>
      <c r="I9" s="163"/>
      <c r="J9" s="163"/>
      <c r="K9" s="164"/>
      <c r="L9" s="164"/>
      <c r="M9" s="164"/>
      <c r="N9" s="163"/>
      <c r="O9" s="1" t="s">
        <v>1132</v>
      </c>
      <c r="P9" t="s">
        <v>348</v>
      </c>
      <c r="Q9" s="1" t="s">
        <v>266</v>
      </c>
      <c r="R9" s="56" t="s">
        <v>267</v>
      </c>
      <c r="S9" s="1" t="s">
        <v>268</v>
      </c>
      <c r="T9" s="1"/>
    </row>
    <row r="10" spans="1:26" x14ac:dyDescent="0.35">
      <c r="A10" s="54" t="s">
        <v>286</v>
      </c>
      <c r="B10" s="1" t="s">
        <v>287</v>
      </c>
      <c r="C10" s="54" t="s">
        <v>622</v>
      </c>
      <c r="D10" t="s">
        <v>288</v>
      </c>
      <c r="F10" t="s">
        <v>289</v>
      </c>
      <c r="G10" t="s">
        <v>627</v>
      </c>
      <c r="H10" s="163"/>
      <c r="I10" s="163"/>
      <c r="J10" s="163"/>
      <c r="K10" s="164"/>
      <c r="L10" s="164"/>
      <c r="M10" s="164"/>
      <c r="N10" s="163"/>
      <c r="O10" s="1" t="s">
        <v>1075</v>
      </c>
      <c r="Q10" s="1" t="s">
        <v>266</v>
      </c>
      <c r="R10" s="56" t="s">
        <v>267</v>
      </c>
      <c r="S10" s="1" t="s">
        <v>268</v>
      </c>
      <c r="T10" s="1"/>
    </row>
    <row r="11" spans="1:26" x14ac:dyDescent="0.35">
      <c r="A11" s="54" t="s">
        <v>290</v>
      </c>
      <c r="B11" s="1" t="s">
        <v>291</v>
      </c>
      <c r="C11" s="54" t="s">
        <v>271</v>
      </c>
      <c r="D11" t="s">
        <v>292</v>
      </c>
      <c r="F11" t="s">
        <v>628</v>
      </c>
      <c r="G11" t="s">
        <v>293</v>
      </c>
      <c r="H11" s="163" t="s">
        <v>294</v>
      </c>
      <c r="I11" s="163"/>
      <c r="J11" s="55"/>
      <c r="K11" s="164" t="s">
        <v>295</v>
      </c>
      <c r="L11" s="164" t="s">
        <v>296</v>
      </c>
      <c r="M11" s="164"/>
      <c r="N11" s="163" t="s">
        <v>297</v>
      </c>
      <c r="O11" s="1" t="s">
        <v>298</v>
      </c>
      <c r="P11" t="s">
        <v>244</v>
      </c>
      <c r="Q11" s="1" t="s">
        <v>245</v>
      </c>
      <c r="R11" s="56" t="s">
        <v>299</v>
      </c>
      <c r="S11" s="1" t="s">
        <v>300</v>
      </c>
      <c r="T11" s="1"/>
    </row>
    <row r="12" spans="1:26" x14ac:dyDescent="0.35">
      <c r="A12" s="54" t="s">
        <v>301</v>
      </c>
      <c r="B12" s="1" t="s">
        <v>302</v>
      </c>
      <c r="C12" s="54" t="s">
        <v>271</v>
      </c>
      <c r="D12" t="s">
        <v>303</v>
      </c>
      <c r="E12" t="s">
        <v>629</v>
      </c>
      <c r="F12" t="s">
        <v>630</v>
      </c>
      <c r="G12" t="s">
        <v>304</v>
      </c>
      <c r="H12" s="163" t="s">
        <v>305</v>
      </c>
      <c r="I12" s="163"/>
      <c r="J12" s="163"/>
      <c r="K12" s="164" t="s">
        <v>631</v>
      </c>
      <c r="L12" s="164" t="s">
        <v>306</v>
      </c>
      <c r="M12" s="164" t="s">
        <v>632</v>
      </c>
      <c r="N12" s="163" t="s">
        <v>307</v>
      </c>
      <c r="O12" s="1" t="s">
        <v>982</v>
      </c>
      <c r="P12" t="s">
        <v>348</v>
      </c>
      <c r="Q12" s="1" t="s">
        <v>245</v>
      </c>
      <c r="R12" s="56" t="s">
        <v>246</v>
      </c>
      <c r="S12" s="1" t="s">
        <v>247</v>
      </c>
      <c r="T12" s="1"/>
    </row>
    <row r="13" spans="1:26" x14ac:dyDescent="0.35">
      <c r="A13" s="54" t="s">
        <v>308</v>
      </c>
      <c r="B13" s="1" t="s">
        <v>277</v>
      </c>
      <c r="C13" s="54" t="s">
        <v>271</v>
      </c>
      <c r="D13" t="s">
        <v>309</v>
      </c>
      <c r="F13" t="s">
        <v>310</v>
      </c>
      <c r="G13" t="s">
        <v>311</v>
      </c>
      <c r="H13" s="163" t="s">
        <v>312</v>
      </c>
      <c r="I13" s="163"/>
      <c r="J13" s="55" t="s">
        <v>1017</v>
      </c>
      <c r="K13" s="164" t="s">
        <v>633</v>
      </c>
      <c r="L13" s="164" t="s">
        <v>313</v>
      </c>
      <c r="M13" s="164" t="s">
        <v>314</v>
      </c>
      <c r="N13" s="163"/>
      <c r="O13" s="1" t="s">
        <v>982</v>
      </c>
      <c r="P13" t="s">
        <v>348</v>
      </c>
      <c r="Q13" s="1" t="s">
        <v>245</v>
      </c>
      <c r="R13" s="56" t="s">
        <v>267</v>
      </c>
      <c r="S13" s="1" t="s">
        <v>268</v>
      </c>
      <c r="T13" s="1" t="s">
        <v>914</v>
      </c>
    </row>
    <row r="14" spans="1:26" x14ac:dyDescent="0.35">
      <c r="A14" s="54" t="s">
        <v>315</v>
      </c>
      <c r="B14" s="1" t="s">
        <v>316</v>
      </c>
      <c r="C14" s="54" t="s">
        <v>622</v>
      </c>
      <c r="D14" t="s">
        <v>317</v>
      </c>
      <c r="E14" t="s">
        <v>318</v>
      </c>
      <c r="H14" s="163"/>
      <c r="I14" s="163"/>
      <c r="J14" s="163"/>
      <c r="K14" s="164" t="s">
        <v>634</v>
      </c>
      <c r="L14" s="164" t="s">
        <v>635</v>
      </c>
      <c r="M14" s="164" t="s">
        <v>316</v>
      </c>
      <c r="N14" s="163"/>
      <c r="O14" s="1" t="s">
        <v>1075</v>
      </c>
      <c r="P14" t="s">
        <v>319</v>
      </c>
      <c r="Q14" s="1" t="s">
        <v>245</v>
      </c>
      <c r="R14" s="56" t="s">
        <v>267</v>
      </c>
      <c r="S14" s="1" t="s">
        <v>268</v>
      </c>
      <c r="T14" s="1"/>
    </row>
    <row r="15" spans="1:26" x14ac:dyDescent="0.35">
      <c r="A15" s="54" t="s">
        <v>761</v>
      </c>
      <c r="B15" s="1" t="s">
        <v>320</v>
      </c>
      <c r="C15" s="54" t="s">
        <v>271</v>
      </c>
      <c r="D15" t="s">
        <v>636</v>
      </c>
      <c r="H15" s="163"/>
      <c r="I15" s="163"/>
      <c r="J15" s="163"/>
      <c r="K15" s="164"/>
      <c r="L15" s="164"/>
      <c r="M15" s="164"/>
      <c r="N15" s="163"/>
      <c r="Q15" s="1" t="s">
        <v>245</v>
      </c>
      <c r="R15" s="56" t="s">
        <v>246</v>
      </c>
      <c r="S15" s="1" t="s">
        <v>247</v>
      </c>
      <c r="T15" s="1"/>
    </row>
    <row r="16" spans="1:26" x14ac:dyDescent="0.35">
      <c r="A16" s="54" t="s">
        <v>760</v>
      </c>
      <c r="B16" s="1" t="s">
        <v>921</v>
      </c>
      <c r="C16" s="54" t="s">
        <v>271</v>
      </c>
      <c r="D16" t="s">
        <v>636</v>
      </c>
      <c r="F16" s="164" t="s">
        <v>637</v>
      </c>
      <c r="G16" s="164" t="s">
        <v>638</v>
      </c>
      <c r="H16" s="164" t="s">
        <v>639</v>
      </c>
      <c r="I16" s="163"/>
      <c r="J16" s="55" t="s">
        <v>920</v>
      </c>
      <c r="K16" s="164" t="s">
        <v>637</v>
      </c>
      <c r="L16" s="164" t="s">
        <v>638</v>
      </c>
      <c r="M16" s="164" t="s">
        <v>639</v>
      </c>
      <c r="N16" s="163" t="s">
        <v>640</v>
      </c>
      <c r="O16" s="1" t="s">
        <v>984</v>
      </c>
      <c r="P16" t="s">
        <v>244</v>
      </c>
      <c r="Q16" s="1" t="s">
        <v>641</v>
      </c>
      <c r="R16" s="56" t="s">
        <v>267</v>
      </c>
      <c r="S16" s="1" t="s">
        <v>268</v>
      </c>
      <c r="T16" s="1"/>
    </row>
    <row r="17" spans="1:20" x14ac:dyDescent="0.35">
      <c r="A17" s="54" t="s">
        <v>908</v>
      </c>
      <c r="B17" s="1" t="s">
        <v>909</v>
      </c>
      <c r="C17" s="54" t="s">
        <v>912</v>
      </c>
      <c r="D17" t="s">
        <v>908</v>
      </c>
      <c r="H17" s="163"/>
      <c r="I17" s="163"/>
      <c r="J17" s="163"/>
      <c r="K17" s="164" t="s">
        <v>910</v>
      </c>
      <c r="L17" s="164" t="s">
        <v>911</v>
      </c>
      <c r="M17" s="164" t="s">
        <v>909</v>
      </c>
      <c r="N17" s="163"/>
      <c r="O17" s="1" t="s">
        <v>1075</v>
      </c>
      <c r="P17" t="s">
        <v>348</v>
      </c>
      <c r="Q17" s="1" t="s">
        <v>245</v>
      </c>
      <c r="R17" s="56" t="s">
        <v>246</v>
      </c>
      <c r="S17" s="1" t="s">
        <v>247</v>
      </c>
      <c r="T17" s="1"/>
    </row>
    <row r="18" spans="1:20" x14ac:dyDescent="0.35">
      <c r="A18" s="54" t="s">
        <v>321</v>
      </c>
      <c r="B18" s="1" t="s">
        <v>322</v>
      </c>
      <c r="C18" s="54" t="s">
        <v>271</v>
      </c>
      <c r="D18" t="s">
        <v>642</v>
      </c>
      <c r="H18" s="163"/>
      <c r="I18" s="163"/>
      <c r="J18" s="163"/>
      <c r="K18" s="164" t="s">
        <v>643</v>
      </c>
      <c r="L18" s="164" t="s">
        <v>644</v>
      </c>
      <c r="M18" s="164" t="s">
        <v>645</v>
      </c>
      <c r="N18" s="163" t="s">
        <v>646</v>
      </c>
      <c r="O18" s="1" t="s">
        <v>1075</v>
      </c>
      <c r="P18" t="s">
        <v>348</v>
      </c>
      <c r="Q18" s="1" t="s">
        <v>266</v>
      </c>
      <c r="R18" s="56" t="s">
        <v>267</v>
      </c>
      <c r="S18" s="1" t="s">
        <v>268</v>
      </c>
      <c r="T18" s="1"/>
    </row>
    <row r="19" spans="1:20" x14ac:dyDescent="0.35">
      <c r="A19" s="54" t="s">
        <v>323</v>
      </c>
      <c r="B19" s="1" t="s">
        <v>324</v>
      </c>
      <c r="C19" s="54" t="s">
        <v>271</v>
      </c>
      <c r="D19" t="s">
        <v>325</v>
      </c>
      <c r="F19" t="s">
        <v>326</v>
      </c>
      <c r="G19" t="s">
        <v>327</v>
      </c>
      <c r="H19" s="163" t="s">
        <v>328</v>
      </c>
      <c r="I19" s="163"/>
      <c r="J19" s="163" t="s">
        <v>736</v>
      </c>
      <c r="K19" s="164" t="s">
        <v>326</v>
      </c>
      <c r="L19" s="164" t="s">
        <v>327</v>
      </c>
      <c r="M19" s="164" t="s">
        <v>328</v>
      </c>
      <c r="N19" s="163" t="s">
        <v>329</v>
      </c>
      <c r="O19" s="1" t="s">
        <v>1075</v>
      </c>
      <c r="P19" t="s">
        <v>348</v>
      </c>
      <c r="Q19" s="1" t="s">
        <v>245</v>
      </c>
      <c r="R19" s="56" t="s">
        <v>246</v>
      </c>
      <c r="S19" s="1" t="s">
        <v>247</v>
      </c>
      <c r="T19" s="1"/>
    </row>
    <row r="20" spans="1:20" x14ac:dyDescent="0.35">
      <c r="A20" s="54" t="s">
        <v>330</v>
      </c>
      <c r="B20" s="1" t="s">
        <v>302</v>
      </c>
      <c r="C20" s="54" t="s">
        <v>912</v>
      </c>
      <c r="D20" t="s">
        <v>331</v>
      </c>
      <c r="F20" t="s">
        <v>647</v>
      </c>
      <c r="G20" t="s">
        <v>648</v>
      </c>
      <c r="H20" s="55" t="s">
        <v>302</v>
      </c>
      <c r="I20" s="55"/>
      <c r="J20" s="55"/>
      <c r="K20" s="222"/>
      <c r="L20" s="222"/>
      <c r="M20" s="222"/>
      <c r="N20" s="55" t="s">
        <v>332</v>
      </c>
      <c r="O20" s="1" t="s">
        <v>1075</v>
      </c>
      <c r="P20" t="s">
        <v>348</v>
      </c>
      <c r="Q20" s="1" t="s">
        <v>245</v>
      </c>
      <c r="R20" s="56" t="s">
        <v>246</v>
      </c>
      <c r="S20" s="1" t="s">
        <v>247</v>
      </c>
      <c r="T20" s="1"/>
    </row>
    <row r="21" spans="1:20" x14ac:dyDescent="0.35">
      <c r="A21" s="54" t="s">
        <v>333</v>
      </c>
      <c r="B21" s="1" t="s">
        <v>29</v>
      </c>
      <c r="C21" s="54" t="s">
        <v>334</v>
      </c>
      <c r="D21" t="s">
        <v>335</v>
      </c>
      <c r="F21" t="s">
        <v>715</v>
      </c>
      <c r="G21" t="s">
        <v>716</v>
      </c>
      <c r="H21" s="163" t="s">
        <v>338</v>
      </c>
      <c r="I21" s="163"/>
      <c r="J21" s="163" t="s">
        <v>895</v>
      </c>
      <c r="K21" s="164" t="s">
        <v>336</v>
      </c>
      <c r="L21" s="164" t="s">
        <v>337</v>
      </c>
      <c r="M21" s="164" t="s">
        <v>338</v>
      </c>
      <c r="N21" s="163" t="s">
        <v>339</v>
      </c>
      <c r="O21" s="1" t="s">
        <v>977</v>
      </c>
      <c r="P21" t="s">
        <v>649</v>
      </c>
      <c r="Q21" s="1" t="s">
        <v>245</v>
      </c>
      <c r="R21" s="56" t="s">
        <v>246</v>
      </c>
      <c r="S21" s="1" t="s">
        <v>247</v>
      </c>
      <c r="T21" s="1" t="s">
        <v>980</v>
      </c>
    </row>
    <row r="22" spans="1:20" x14ac:dyDescent="0.35">
      <c r="A22" s="54" t="s">
        <v>1083</v>
      </c>
      <c r="B22" s="1" t="s">
        <v>277</v>
      </c>
      <c r="C22" s="54" t="s">
        <v>271</v>
      </c>
      <c r="D22" t="s">
        <v>1084</v>
      </c>
      <c r="F22" t="s">
        <v>1085</v>
      </c>
      <c r="G22" t="s">
        <v>1086</v>
      </c>
      <c r="H22" s="163"/>
      <c r="I22" s="163"/>
      <c r="J22" s="163" t="s">
        <v>1017</v>
      </c>
      <c r="K22" s="164"/>
      <c r="L22" s="164"/>
      <c r="M22" s="164"/>
      <c r="N22" s="163"/>
      <c r="O22" s="1" t="s">
        <v>982</v>
      </c>
      <c r="P22" t="s">
        <v>348</v>
      </c>
      <c r="Q22" s="1" t="s">
        <v>245</v>
      </c>
      <c r="R22" s="56" t="s">
        <v>267</v>
      </c>
      <c r="S22" s="1" t="s">
        <v>268</v>
      </c>
      <c r="T22" s="1"/>
    </row>
    <row r="23" spans="1:20" x14ac:dyDescent="0.35">
      <c r="A23" s="54" t="s">
        <v>340</v>
      </c>
      <c r="B23" s="1" t="s">
        <v>341</v>
      </c>
      <c r="C23" s="54" t="s">
        <v>271</v>
      </c>
      <c r="D23" t="s">
        <v>342</v>
      </c>
      <c r="H23" s="163"/>
      <c r="I23" s="163"/>
      <c r="J23" s="163"/>
      <c r="K23" s="164" t="s">
        <v>650</v>
      </c>
      <c r="L23" s="164" t="s">
        <v>651</v>
      </c>
      <c r="M23" s="164"/>
      <c r="N23" s="163" t="s">
        <v>343</v>
      </c>
      <c r="O23" s="1" t="s">
        <v>1075</v>
      </c>
      <c r="P23" t="s">
        <v>652</v>
      </c>
      <c r="Q23" s="1" t="s">
        <v>245</v>
      </c>
      <c r="R23" s="56" t="s">
        <v>246</v>
      </c>
      <c r="S23" s="1" t="s">
        <v>247</v>
      </c>
      <c r="T23" s="1"/>
    </row>
    <row r="24" spans="1:20" x14ac:dyDescent="0.35">
      <c r="A24" s="54" t="s">
        <v>1087</v>
      </c>
      <c r="B24" s="1" t="s">
        <v>369</v>
      </c>
      <c r="C24" s="54" t="s">
        <v>622</v>
      </c>
      <c r="D24" t="s">
        <v>1088</v>
      </c>
      <c r="F24" t="s">
        <v>1089</v>
      </c>
      <c r="G24" t="s">
        <v>1090</v>
      </c>
      <c r="H24" s="163" t="s">
        <v>369</v>
      </c>
      <c r="I24" s="163"/>
      <c r="J24" s="163"/>
      <c r="K24" s="164"/>
      <c r="L24" s="164"/>
      <c r="M24" s="164"/>
      <c r="N24" s="163"/>
      <c r="T24" s="1"/>
    </row>
    <row r="25" spans="1:20" x14ac:dyDescent="0.35">
      <c r="A25" s="54" t="s">
        <v>344</v>
      </c>
      <c r="B25" s="1" t="s">
        <v>345</v>
      </c>
      <c r="C25" s="54" t="s">
        <v>622</v>
      </c>
      <c r="H25" s="163"/>
      <c r="I25" s="163"/>
      <c r="J25" s="163"/>
      <c r="K25" s="164"/>
      <c r="L25" s="164"/>
      <c r="M25" s="164"/>
      <c r="N25" s="163"/>
      <c r="T25" s="1"/>
    </row>
    <row r="26" spans="1:20" x14ac:dyDescent="0.35">
      <c r="A26" s="54" t="s">
        <v>346</v>
      </c>
      <c r="B26" s="1" t="s">
        <v>345</v>
      </c>
      <c r="C26" s="54" t="s">
        <v>622</v>
      </c>
      <c r="H26" s="163"/>
      <c r="I26" s="163"/>
      <c r="J26" s="163"/>
      <c r="K26" s="164"/>
      <c r="L26" s="164"/>
      <c r="M26" s="164"/>
      <c r="N26" s="163"/>
      <c r="T26" s="1"/>
    </row>
    <row r="27" spans="1:20" x14ac:dyDescent="0.35">
      <c r="A27" s="54" t="s">
        <v>653</v>
      </c>
      <c r="B27" s="1" t="s">
        <v>616</v>
      </c>
      <c r="C27" s="54" t="s">
        <v>912</v>
      </c>
      <c r="D27" t="s">
        <v>617</v>
      </c>
      <c r="F27" t="s">
        <v>618</v>
      </c>
      <c r="G27" t="s">
        <v>619</v>
      </c>
      <c r="H27" s="163" t="s">
        <v>616</v>
      </c>
      <c r="I27" s="163"/>
      <c r="J27" s="163" t="s">
        <v>737</v>
      </c>
      <c r="K27" t="s">
        <v>618</v>
      </c>
      <c r="L27" t="s">
        <v>619</v>
      </c>
      <c r="M27" s="163" t="s">
        <v>616</v>
      </c>
      <c r="N27" s="163"/>
      <c r="O27" s="1" t="s">
        <v>1075</v>
      </c>
      <c r="P27" t="s">
        <v>348</v>
      </c>
      <c r="Q27" s="1" t="s">
        <v>245</v>
      </c>
      <c r="R27" s="56" t="s">
        <v>267</v>
      </c>
      <c r="S27" s="1" t="s">
        <v>268</v>
      </c>
      <c r="T27" s="1"/>
    </row>
    <row r="28" spans="1:20" x14ac:dyDescent="0.35">
      <c r="A28" s="54" t="s">
        <v>347</v>
      </c>
      <c r="B28" s="1" t="s">
        <v>925</v>
      </c>
      <c r="C28" s="54" t="s">
        <v>912</v>
      </c>
      <c r="D28" t="s">
        <v>1072</v>
      </c>
      <c r="F28" t="s">
        <v>654</v>
      </c>
      <c r="G28" t="s">
        <v>655</v>
      </c>
      <c r="H28" s="163" t="s">
        <v>1123</v>
      </c>
      <c r="I28" s="163"/>
      <c r="J28" s="163" t="s">
        <v>657</v>
      </c>
      <c r="K28" s="164" t="s">
        <v>654</v>
      </c>
      <c r="L28" s="164" t="s">
        <v>655</v>
      </c>
      <c r="M28" s="164" t="s">
        <v>656</v>
      </c>
      <c r="N28" s="163"/>
      <c r="O28" s="1" t="s">
        <v>979</v>
      </c>
      <c r="P28" t="s">
        <v>348</v>
      </c>
      <c r="Q28" s="1" t="s">
        <v>245</v>
      </c>
      <c r="R28" s="56" t="s">
        <v>267</v>
      </c>
      <c r="S28" s="1" t="s">
        <v>268</v>
      </c>
      <c r="T28" s="1"/>
    </row>
    <row r="29" spans="1:20" x14ac:dyDescent="0.35">
      <c r="A29" s="54" t="s">
        <v>349</v>
      </c>
      <c r="B29" s="1" t="s">
        <v>320</v>
      </c>
      <c r="C29" s="54" t="s">
        <v>622</v>
      </c>
      <c r="H29" s="55"/>
      <c r="I29" s="163"/>
      <c r="J29" s="55"/>
      <c r="K29" s="164"/>
      <c r="L29" s="222"/>
      <c r="M29" s="164"/>
      <c r="N29" s="163"/>
      <c r="T29" s="1"/>
    </row>
    <row r="30" spans="1:20" x14ac:dyDescent="0.35">
      <c r="A30" s="54" t="s">
        <v>350</v>
      </c>
      <c r="B30" s="1" t="s">
        <v>351</v>
      </c>
      <c r="C30" s="54" t="s">
        <v>271</v>
      </c>
      <c r="D30" s="54" t="s">
        <v>658</v>
      </c>
      <c r="F30" t="s">
        <v>659</v>
      </c>
      <c r="G30" t="s">
        <v>930</v>
      </c>
      <c r="H30" s="163" t="s">
        <v>660</v>
      </c>
      <c r="I30" s="163"/>
      <c r="J30" s="163" t="s">
        <v>918</v>
      </c>
      <c r="K30" s="164" t="s">
        <v>659</v>
      </c>
      <c r="L30" s="164" t="s">
        <v>930</v>
      </c>
      <c r="M30" s="164"/>
      <c r="N30" s="163" t="s">
        <v>660</v>
      </c>
      <c r="O30" s="1" t="s">
        <v>919</v>
      </c>
      <c r="P30" t="s">
        <v>244</v>
      </c>
      <c r="Q30" s="1" t="s">
        <v>266</v>
      </c>
      <c r="R30" s="56" t="s">
        <v>267</v>
      </c>
      <c r="S30" s="1" t="s">
        <v>268</v>
      </c>
      <c r="T30" s="1"/>
    </row>
    <row r="31" spans="1:20" x14ac:dyDescent="0.35">
      <c r="A31" s="54" t="s">
        <v>352</v>
      </c>
      <c r="B31" s="1" t="s">
        <v>353</v>
      </c>
      <c r="C31" s="54" t="s">
        <v>622</v>
      </c>
      <c r="H31" s="163"/>
      <c r="I31" s="163"/>
      <c r="J31" s="163"/>
      <c r="K31" s="164"/>
      <c r="L31" s="164"/>
      <c r="M31" s="222"/>
      <c r="N31" s="164"/>
      <c r="T31" s="328"/>
    </row>
    <row r="32" spans="1:20" x14ac:dyDescent="0.35">
      <c r="A32" s="54" t="s">
        <v>354</v>
      </c>
      <c r="B32" s="1" t="s">
        <v>355</v>
      </c>
      <c r="C32" s="54" t="s">
        <v>912</v>
      </c>
      <c r="D32" t="s">
        <v>661</v>
      </c>
      <c r="H32" s="163"/>
      <c r="I32" s="163"/>
      <c r="J32" s="163"/>
      <c r="K32" s="164" t="s">
        <v>662</v>
      </c>
      <c r="L32" s="164" t="s">
        <v>663</v>
      </c>
      <c r="M32" s="164"/>
      <c r="N32" s="163" t="s">
        <v>758</v>
      </c>
      <c r="O32" s="1" t="s">
        <v>1075</v>
      </c>
      <c r="P32" t="s">
        <v>348</v>
      </c>
      <c r="Q32" s="1" t="s">
        <v>245</v>
      </c>
      <c r="R32" s="56" t="s">
        <v>267</v>
      </c>
      <c r="S32" s="1" t="s">
        <v>268</v>
      </c>
      <c r="T32" s="1"/>
    </row>
    <row r="33" spans="1:20" x14ac:dyDescent="0.35">
      <c r="A33" s="54" t="s">
        <v>743</v>
      </c>
      <c r="B33" s="1" t="s">
        <v>320</v>
      </c>
      <c r="C33" s="54" t="s">
        <v>912</v>
      </c>
      <c r="D33" t="s">
        <v>664</v>
      </c>
      <c r="F33" t="s">
        <v>744</v>
      </c>
      <c r="G33" t="s">
        <v>745</v>
      </c>
      <c r="H33" s="163" t="s">
        <v>320</v>
      </c>
      <c r="I33" s="163"/>
      <c r="J33" s="163" t="s">
        <v>746</v>
      </c>
      <c r="K33" s="164" t="s">
        <v>665</v>
      </c>
      <c r="L33" s="164" t="s">
        <v>666</v>
      </c>
      <c r="M33" s="164"/>
      <c r="N33" s="163" t="s">
        <v>356</v>
      </c>
      <c r="O33" s="1" t="s">
        <v>976</v>
      </c>
      <c r="P33" t="s">
        <v>357</v>
      </c>
      <c r="Q33" s="1" t="s">
        <v>245</v>
      </c>
      <c r="R33" s="56" t="s">
        <v>246</v>
      </c>
      <c r="S33" s="1" t="s">
        <v>247</v>
      </c>
      <c r="T33" s="1" t="s">
        <v>981</v>
      </c>
    </row>
    <row r="34" spans="1:20" x14ac:dyDescent="0.35">
      <c r="A34" s="54" t="s">
        <v>738</v>
      </c>
      <c r="B34" s="1" t="s">
        <v>320</v>
      </c>
      <c r="C34" s="54" t="s">
        <v>912</v>
      </c>
      <c r="D34" t="s">
        <v>664</v>
      </c>
      <c r="F34" t="s">
        <v>739</v>
      </c>
      <c r="G34" t="s">
        <v>740</v>
      </c>
      <c r="H34" s="163" t="s">
        <v>320</v>
      </c>
      <c r="I34" s="163"/>
      <c r="J34" s="163" t="s">
        <v>741</v>
      </c>
      <c r="K34" s="164" t="s">
        <v>665</v>
      </c>
      <c r="L34" s="164" t="s">
        <v>666</v>
      </c>
      <c r="M34" s="164"/>
      <c r="N34" s="163" t="s">
        <v>356</v>
      </c>
      <c r="O34" s="1" t="s">
        <v>976</v>
      </c>
      <c r="P34" t="s">
        <v>742</v>
      </c>
      <c r="Q34" s="1" t="s">
        <v>245</v>
      </c>
      <c r="R34" s="56" t="s">
        <v>246</v>
      </c>
      <c r="S34" s="1" t="s">
        <v>247</v>
      </c>
      <c r="T34" s="1" t="s">
        <v>981</v>
      </c>
    </row>
    <row r="35" spans="1:20" x14ac:dyDescent="0.35">
      <c r="A35" s="54" t="s">
        <v>764</v>
      </c>
      <c r="B35" s="1" t="s">
        <v>765</v>
      </c>
      <c r="C35" s="54" t="s">
        <v>271</v>
      </c>
      <c r="D35" t="s">
        <v>1091</v>
      </c>
      <c r="F35" t="s">
        <v>1092</v>
      </c>
      <c r="G35" t="s">
        <v>1093</v>
      </c>
      <c r="H35" s="163" t="s">
        <v>1094</v>
      </c>
      <c r="I35" s="163"/>
      <c r="J35" s="163"/>
      <c r="K35" s="164"/>
      <c r="L35" s="164"/>
      <c r="M35" s="164"/>
      <c r="N35" s="163"/>
      <c r="O35" s="1" t="s">
        <v>982</v>
      </c>
      <c r="T35" s="1"/>
    </row>
    <row r="36" spans="1:20" x14ac:dyDescent="0.35">
      <c r="A36" s="54" t="s">
        <v>358</v>
      </c>
      <c r="B36" s="1" t="s">
        <v>359</v>
      </c>
      <c r="C36" s="54" t="s">
        <v>334</v>
      </c>
      <c r="D36" t="s">
        <v>1095</v>
      </c>
      <c r="H36" s="163"/>
      <c r="I36" s="163"/>
      <c r="J36" s="163"/>
      <c r="K36" s="164" t="s">
        <v>667</v>
      </c>
      <c r="L36" s="164" t="s">
        <v>668</v>
      </c>
      <c r="M36" s="164"/>
      <c r="N36" s="163" t="s">
        <v>669</v>
      </c>
      <c r="O36" s="1" t="s">
        <v>1075</v>
      </c>
      <c r="P36" t="s">
        <v>670</v>
      </c>
      <c r="Q36" s="1" t="s">
        <v>245</v>
      </c>
      <c r="R36" s="56" t="s">
        <v>246</v>
      </c>
      <c r="S36" s="1" t="s">
        <v>247</v>
      </c>
      <c r="T36" s="1"/>
    </row>
    <row r="37" spans="1:20" x14ac:dyDescent="0.35">
      <c r="A37" s="54" t="s">
        <v>1168</v>
      </c>
      <c r="B37" s="1" t="s">
        <v>316</v>
      </c>
      <c r="C37" s="54" t="s">
        <v>622</v>
      </c>
      <c r="D37" t="s">
        <v>1169</v>
      </c>
      <c r="F37" t="s">
        <v>1170</v>
      </c>
      <c r="G37" t="s">
        <v>1171</v>
      </c>
      <c r="H37" s="163" t="s">
        <v>1172</v>
      </c>
      <c r="I37" s="163" t="s">
        <v>316</v>
      </c>
      <c r="J37" s="163" t="s">
        <v>1173</v>
      </c>
      <c r="K37" s="164" t="s">
        <v>1170</v>
      </c>
      <c r="L37" s="164" t="s">
        <v>1171</v>
      </c>
      <c r="M37" s="164" t="s">
        <v>1174</v>
      </c>
      <c r="N37" s="163"/>
      <c r="O37" s="1" t="s">
        <v>622</v>
      </c>
      <c r="P37" t="s">
        <v>622</v>
      </c>
      <c r="Q37" s="1" t="s">
        <v>245</v>
      </c>
      <c r="R37" s="56" t="s">
        <v>267</v>
      </c>
      <c r="S37" s="1" t="s">
        <v>268</v>
      </c>
      <c r="T37" s="1" t="s">
        <v>1175</v>
      </c>
    </row>
    <row r="38" spans="1:20" x14ac:dyDescent="0.35">
      <c r="A38" s="54" t="s">
        <v>701</v>
      </c>
      <c r="B38" s="1" t="s">
        <v>364</v>
      </c>
      <c r="D38" t="s">
        <v>913</v>
      </c>
      <c r="E38" t="s">
        <v>914</v>
      </c>
      <c r="F38" t="s">
        <v>915</v>
      </c>
      <c r="G38" t="s">
        <v>916</v>
      </c>
      <c r="H38" s="55" t="s">
        <v>917</v>
      </c>
      <c r="I38" s="55"/>
      <c r="J38" s="55"/>
      <c r="K38" s="222"/>
      <c r="L38" s="222"/>
      <c r="M38" s="222"/>
      <c r="N38" s="55"/>
      <c r="T38" s="1"/>
    </row>
    <row r="39" spans="1:20" x14ac:dyDescent="0.35">
      <c r="A39" s="54" t="s">
        <v>360</v>
      </c>
      <c r="B39" s="1" t="s">
        <v>341</v>
      </c>
      <c r="C39" s="54" t="s">
        <v>622</v>
      </c>
      <c r="H39" s="163"/>
      <c r="I39" s="163"/>
      <c r="J39" s="163"/>
      <c r="K39" s="164"/>
      <c r="L39" s="164"/>
      <c r="M39" s="164"/>
      <c r="N39" s="163"/>
      <c r="T39" s="1"/>
    </row>
    <row r="40" spans="1:20" x14ac:dyDescent="0.35">
      <c r="A40" s="54" t="s">
        <v>361</v>
      </c>
      <c r="B40" s="1" t="s">
        <v>362</v>
      </c>
      <c r="C40" s="54" t="s">
        <v>622</v>
      </c>
      <c r="H40" s="163"/>
      <c r="I40" s="163"/>
      <c r="J40" s="163"/>
      <c r="K40" s="164"/>
      <c r="L40" s="164"/>
      <c r="M40" s="164"/>
      <c r="N40" s="163"/>
      <c r="T40" s="1"/>
    </row>
    <row r="41" spans="1:20" x14ac:dyDescent="0.35">
      <c r="A41" s="54" t="s">
        <v>693</v>
      </c>
      <c r="B41" s="1" t="s">
        <v>694</v>
      </c>
      <c r="C41" s="54" t="s">
        <v>271</v>
      </c>
      <c r="D41" t="s">
        <v>697</v>
      </c>
      <c r="H41" s="163"/>
      <c r="I41" s="163"/>
      <c r="J41" s="163"/>
      <c r="K41" s="164"/>
      <c r="L41" s="164"/>
      <c r="M41" s="164"/>
      <c r="N41" s="163"/>
      <c r="T41" s="1"/>
    </row>
    <row r="42" spans="1:20" x14ac:dyDescent="0.35">
      <c r="A42" s="54" t="s">
        <v>695</v>
      </c>
      <c r="B42" s="1" t="s">
        <v>696</v>
      </c>
      <c r="C42" s="54" t="s">
        <v>271</v>
      </c>
      <c r="D42" t="s">
        <v>697</v>
      </c>
      <c r="H42" s="55"/>
      <c r="I42" s="163"/>
      <c r="J42" s="55"/>
      <c r="K42" s="164"/>
      <c r="L42" s="164"/>
      <c r="M42" s="164"/>
      <c r="N42" s="163"/>
      <c r="T42" s="1"/>
    </row>
    <row r="43" spans="1:20" x14ac:dyDescent="0.35">
      <c r="A43" s="54" t="s">
        <v>691</v>
      </c>
      <c r="B43" s="1" t="s">
        <v>692</v>
      </c>
      <c r="C43" s="54" t="s">
        <v>271</v>
      </c>
      <c r="D43" t="s">
        <v>697</v>
      </c>
      <c r="F43" t="s">
        <v>699</v>
      </c>
      <c r="G43" t="s">
        <v>700</v>
      </c>
      <c r="H43" s="163" t="s">
        <v>1121</v>
      </c>
      <c r="I43" s="163"/>
      <c r="J43" s="163" t="s">
        <v>1027</v>
      </c>
      <c r="K43" s="164" t="s">
        <v>699</v>
      </c>
      <c r="L43" s="164" t="s">
        <v>700</v>
      </c>
      <c r="M43" s="164" t="s">
        <v>1121</v>
      </c>
      <c r="N43" s="163" t="s">
        <v>698</v>
      </c>
      <c r="O43" s="1" t="s">
        <v>1075</v>
      </c>
      <c r="P43" t="s">
        <v>348</v>
      </c>
      <c r="Q43" s="1" t="s">
        <v>266</v>
      </c>
      <c r="R43" s="56" t="s">
        <v>267</v>
      </c>
      <c r="S43" s="1" t="s">
        <v>268</v>
      </c>
      <c r="T43" s="1"/>
    </row>
    <row r="44" spans="1:20" x14ac:dyDescent="0.35">
      <c r="A44" s="54" t="s">
        <v>363</v>
      </c>
      <c r="B44" s="1" t="s">
        <v>364</v>
      </c>
      <c r="C44" s="54" t="s">
        <v>334</v>
      </c>
      <c r="D44" t="s">
        <v>671</v>
      </c>
      <c r="H44" s="55"/>
      <c r="I44" s="163"/>
      <c r="J44" s="163"/>
      <c r="K44" s="222" t="s">
        <v>672</v>
      </c>
      <c r="L44" s="222" t="s">
        <v>673</v>
      </c>
      <c r="M44" s="55"/>
      <c r="N44" t="s">
        <v>674</v>
      </c>
      <c r="O44" s="1" t="s">
        <v>1075</v>
      </c>
      <c r="P44" t="s">
        <v>348</v>
      </c>
      <c r="Q44" s="1" t="s">
        <v>245</v>
      </c>
      <c r="R44" s="56" t="s">
        <v>246</v>
      </c>
      <c r="S44" s="1" t="s">
        <v>247</v>
      </c>
      <c r="T44" s="1"/>
    </row>
    <row r="45" spans="1:20" x14ac:dyDescent="0.35">
      <c r="A45" s="54" t="s">
        <v>365</v>
      </c>
      <c r="B45" s="1" t="s">
        <v>921</v>
      </c>
      <c r="C45" s="54" t="s">
        <v>271</v>
      </c>
      <c r="D45" t="s">
        <v>675</v>
      </c>
      <c r="F45" t="s">
        <v>747</v>
      </c>
      <c r="G45" t="s">
        <v>748</v>
      </c>
      <c r="H45" s="163" t="s">
        <v>749</v>
      </c>
      <c r="I45" s="163"/>
      <c r="J45" s="163" t="s">
        <v>750</v>
      </c>
      <c r="K45" s="164" t="s">
        <v>926</v>
      </c>
      <c r="L45" s="164" t="s">
        <v>927</v>
      </c>
      <c r="M45" s="164" t="s">
        <v>928</v>
      </c>
      <c r="N45" s="163" t="s">
        <v>676</v>
      </c>
      <c r="O45" s="1" t="s">
        <v>976</v>
      </c>
      <c r="P45" t="s">
        <v>348</v>
      </c>
      <c r="Q45" s="1" t="s">
        <v>641</v>
      </c>
      <c r="R45" s="56" t="s">
        <v>267</v>
      </c>
      <c r="S45" s="1" t="s">
        <v>268</v>
      </c>
      <c r="T45" s="1"/>
    </row>
    <row r="46" spans="1:20" x14ac:dyDescent="0.35">
      <c r="A46" s="54" t="s">
        <v>366</v>
      </c>
      <c r="B46" s="1" t="s">
        <v>353</v>
      </c>
      <c r="C46" s="54" t="s">
        <v>912</v>
      </c>
      <c r="D46" t="s">
        <v>677</v>
      </c>
      <c r="F46" t="s">
        <v>678</v>
      </c>
      <c r="G46" t="s">
        <v>679</v>
      </c>
      <c r="H46" s="163"/>
      <c r="I46" s="163"/>
      <c r="J46" s="163" t="s">
        <v>751</v>
      </c>
      <c r="K46" s="164" t="s">
        <v>752</v>
      </c>
      <c r="L46" s="164" t="s">
        <v>753</v>
      </c>
      <c r="M46" s="164"/>
      <c r="N46" s="163" t="s">
        <v>367</v>
      </c>
      <c r="O46" s="1" t="s">
        <v>1075</v>
      </c>
      <c r="P46" t="s">
        <v>348</v>
      </c>
      <c r="Q46" s="1" t="s">
        <v>245</v>
      </c>
      <c r="R46" s="56" t="s">
        <v>246</v>
      </c>
      <c r="S46" s="1" t="s">
        <v>247</v>
      </c>
      <c r="T46" s="1" t="s">
        <v>914</v>
      </c>
    </row>
    <row r="47" spans="1:20" x14ac:dyDescent="0.35">
      <c r="A47" s="54" t="s">
        <v>368</v>
      </c>
      <c r="B47" s="1" t="s">
        <v>369</v>
      </c>
      <c r="C47" s="54" t="s">
        <v>912</v>
      </c>
      <c r="D47" t="s">
        <v>680</v>
      </c>
      <c r="H47" s="163"/>
      <c r="I47" s="163"/>
      <c r="J47" s="163"/>
      <c r="K47" s="164" t="s">
        <v>681</v>
      </c>
      <c r="L47" s="164" t="s">
        <v>682</v>
      </c>
      <c r="M47" s="164" t="s">
        <v>683</v>
      </c>
      <c r="N47" s="163" t="s">
        <v>684</v>
      </c>
      <c r="O47" s="1" t="s">
        <v>1075</v>
      </c>
      <c r="P47" t="s">
        <v>348</v>
      </c>
      <c r="Q47" s="1" t="s">
        <v>245</v>
      </c>
      <c r="R47" s="56" t="s">
        <v>246</v>
      </c>
      <c r="S47" s="1" t="s">
        <v>247</v>
      </c>
      <c r="T47" s="1"/>
    </row>
    <row r="48" spans="1:20" x14ac:dyDescent="0.35">
      <c r="A48" s="54" t="s">
        <v>370</v>
      </c>
      <c r="B48" s="1" t="s">
        <v>371</v>
      </c>
      <c r="C48" s="54" t="s">
        <v>622</v>
      </c>
      <c r="H48" s="163"/>
      <c r="I48" s="163"/>
      <c r="J48" s="163"/>
      <c r="K48" s="164"/>
      <c r="L48" s="164"/>
      <c r="M48" s="164"/>
      <c r="N48" s="163"/>
      <c r="T48" s="1"/>
    </row>
    <row r="49" spans="1:20" x14ac:dyDescent="0.35">
      <c r="A49" s="54" t="s">
        <v>372</v>
      </c>
      <c r="B49" s="1" t="s">
        <v>373</v>
      </c>
      <c r="C49" s="54" t="s">
        <v>271</v>
      </c>
      <c r="D49" t="s">
        <v>685</v>
      </c>
      <c r="E49" t="s">
        <v>686</v>
      </c>
      <c r="F49" t="s">
        <v>686</v>
      </c>
      <c r="G49" t="s">
        <v>687</v>
      </c>
      <c r="H49" s="163" t="s">
        <v>1128</v>
      </c>
      <c r="I49" s="163"/>
      <c r="J49" s="163" t="s">
        <v>1119</v>
      </c>
      <c r="K49" s="164" t="s">
        <v>687</v>
      </c>
      <c r="L49" s="164" t="s">
        <v>1128</v>
      </c>
      <c r="M49" s="164"/>
      <c r="N49" s="163" t="s">
        <v>1126</v>
      </c>
      <c r="O49" s="1" t="s">
        <v>688</v>
      </c>
      <c r="P49" t="s">
        <v>348</v>
      </c>
      <c r="Q49" s="1" t="s">
        <v>245</v>
      </c>
      <c r="R49" s="56" t="s">
        <v>267</v>
      </c>
      <c r="S49" s="1" t="s">
        <v>268</v>
      </c>
      <c r="T49" s="1" t="s">
        <v>1176</v>
      </c>
    </row>
    <row r="50" spans="1:20" x14ac:dyDescent="0.35">
      <c r="A50" s="54" t="s">
        <v>1177</v>
      </c>
      <c r="B50" s="1" t="s">
        <v>1178</v>
      </c>
      <c r="C50" s="54" t="s">
        <v>912</v>
      </c>
      <c r="D50" t="s">
        <v>1179</v>
      </c>
      <c r="G50" s="55"/>
      <c r="H50" s="55"/>
      <c r="I50" s="55"/>
      <c r="J50" s="55"/>
      <c r="K50" s="222" t="s">
        <v>1180</v>
      </c>
      <c r="L50" s="222" t="s">
        <v>1181</v>
      </c>
      <c r="M50" s="222" t="s">
        <v>1182</v>
      </c>
      <c r="N50" s="55" t="s">
        <v>1183</v>
      </c>
      <c r="O50" s="1" t="s">
        <v>976</v>
      </c>
      <c r="P50" t="s">
        <v>1184</v>
      </c>
      <c r="Q50" s="1" t="s">
        <v>245</v>
      </c>
      <c r="R50" s="56" t="s">
        <v>246</v>
      </c>
      <c r="S50" s="1" t="s">
        <v>247</v>
      </c>
      <c r="T50" s="1"/>
    </row>
    <row r="51" spans="1:20" x14ac:dyDescent="0.35">
      <c r="B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</row>
    <row r="52" spans="1:20" x14ac:dyDescent="0.35">
      <c r="I52" t="str">
        <f t="shared" ref="I52:M52" si="0">UPPER(I35)</f>
        <v/>
      </c>
      <c r="K52"/>
      <c r="L52"/>
      <c r="M52" t="str">
        <f t="shared" si="0"/>
        <v/>
      </c>
      <c r="O52"/>
      <c r="T52" s="1"/>
    </row>
    <row r="53" spans="1:20" x14ac:dyDescent="0.35">
      <c r="H53" s="163"/>
      <c r="I53" s="163"/>
      <c r="J53" s="163"/>
      <c r="K53" s="164"/>
      <c r="L53" s="164"/>
      <c r="M53" s="164"/>
      <c r="N53" s="163"/>
      <c r="T53" s="1"/>
    </row>
    <row r="54" spans="1:20" x14ac:dyDescent="0.35">
      <c r="H54" s="163"/>
      <c r="I54" s="163"/>
      <c r="J54" s="163"/>
      <c r="K54" s="164"/>
      <c r="L54" s="164"/>
      <c r="M54" s="164"/>
      <c r="N54" s="163"/>
      <c r="T54" s="1"/>
    </row>
    <row r="55" spans="1:20" x14ac:dyDescent="0.35">
      <c r="H55" s="163"/>
      <c r="I55" s="163"/>
      <c r="J55" s="163"/>
      <c r="K55" s="164"/>
      <c r="L55" s="164"/>
      <c r="M55" s="164"/>
      <c r="N55" s="163"/>
      <c r="T55" s="1"/>
    </row>
    <row r="56" spans="1:20" x14ac:dyDescent="0.35">
      <c r="H56" s="163"/>
      <c r="I56" s="163"/>
      <c r="J56" s="163"/>
      <c r="K56" s="164"/>
      <c r="L56" s="164"/>
      <c r="M56" s="164"/>
      <c r="N56" s="163"/>
      <c r="T56" s="1"/>
    </row>
    <row r="57" spans="1:20" x14ac:dyDescent="0.35">
      <c r="A57"/>
      <c r="B57"/>
      <c r="C57"/>
      <c r="K57"/>
      <c r="L57"/>
      <c r="M57"/>
      <c r="O57"/>
      <c r="Q57"/>
      <c r="R57"/>
      <c r="S57"/>
    </row>
    <row r="58" spans="1:20" x14ac:dyDescent="0.35">
      <c r="H58" s="163"/>
      <c r="I58" s="163"/>
      <c r="J58" s="163"/>
      <c r="K58" s="164"/>
      <c r="L58" s="164"/>
      <c r="M58" s="164"/>
      <c r="N58" s="163"/>
      <c r="T58" s="1"/>
    </row>
    <row r="59" spans="1:20" x14ac:dyDescent="0.35">
      <c r="H59" s="163"/>
      <c r="I59" s="163"/>
      <c r="J59" s="163"/>
      <c r="K59" s="164"/>
      <c r="L59" s="164"/>
      <c r="M59" s="164"/>
      <c r="N59" s="163"/>
      <c r="T59" s="1"/>
    </row>
    <row r="60" spans="1:20" x14ac:dyDescent="0.35">
      <c r="H60" s="163"/>
      <c r="I60" s="163"/>
      <c r="J60" s="163"/>
      <c r="K60" s="164"/>
      <c r="L60" s="164"/>
      <c r="M60" s="164"/>
      <c r="N60" s="163"/>
      <c r="T60" s="1"/>
    </row>
    <row r="61" spans="1:20" x14ac:dyDescent="0.35">
      <c r="H61" s="163"/>
      <c r="I61" s="163"/>
      <c r="J61" s="163"/>
      <c r="K61" s="164"/>
      <c r="L61" s="164"/>
      <c r="M61" s="164"/>
      <c r="N61" s="163"/>
      <c r="T61" s="1"/>
    </row>
    <row r="62" spans="1:20" x14ac:dyDescent="0.35">
      <c r="H62" s="163"/>
      <c r="I62" s="163"/>
      <c r="J62" s="163"/>
      <c r="K62" s="164"/>
      <c r="L62" s="164"/>
      <c r="M62" s="164"/>
      <c r="N62" s="163"/>
      <c r="T62" s="1"/>
    </row>
    <row r="63" spans="1:20" x14ac:dyDescent="0.35">
      <c r="H63" s="163"/>
      <c r="I63" s="163"/>
      <c r="J63" s="163"/>
      <c r="K63" s="164"/>
      <c r="L63" s="164"/>
      <c r="M63" s="164"/>
      <c r="N63" s="163"/>
      <c r="T63" s="1"/>
    </row>
    <row r="64" spans="1:20" x14ac:dyDescent="0.35">
      <c r="H64" s="163"/>
      <c r="I64" s="163"/>
      <c r="J64" s="163"/>
      <c r="K64" s="164"/>
      <c r="L64" s="164"/>
      <c r="M64" s="164"/>
      <c r="N64" s="163"/>
      <c r="T64" s="1"/>
    </row>
    <row r="65" spans="8:20" x14ac:dyDescent="0.35">
      <c r="H65" s="163"/>
      <c r="I65" s="163"/>
      <c r="J65" s="163"/>
      <c r="K65" s="164"/>
      <c r="L65" s="164"/>
      <c r="M65" s="164"/>
      <c r="N65" s="163"/>
      <c r="T65" s="1"/>
    </row>
    <row r="66" spans="8:20" x14ac:dyDescent="0.35">
      <c r="H66" s="163"/>
      <c r="I66" s="163"/>
      <c r="J66" s="163"/>
      <c r="K66" s="164"/>
      <c r="L66" s="164"/>
      <c r="M66" s="164"/>
      <c r="N66" s="163"/>
      <c r="T66" s="1"/>
    </row>
    <row r="67" spans="8:20" x14ac:dyDescent="0.35">
      <c r="H67" s="163"/>
      <c r="I67" s="163"/>
      <c r="J67" s="163"/>
      <c r="K67" s="164"/>
      <c r="L67" s="164"/>
      <c r="M67" s="164"/>
      <c r="N67" s="163"/>
      <c r="T67" s="1"/>
    </row>
    <row r="68" spans="8:20" x14ac:dyDescent="0.35">
      <c r="H68" s="163"/>
      <c r="I68" s="163"/>
      <c r="J68" s="163"/>
      <c r="K68" s="164"/>
      <c r="L68" s="164"/>
      <c r="M68" s="164"/>
      <c r="N68" s="163"/>
      <c r="T68" s="1"/>
    </row>
    <row r="69" spans="8:20" x14ac:dyDescent="0.35">
      <c r="H69" s="163"/>
      <c r="I69" s="163"/>
      <c r="J69" s="163"/>
      <c r="K69" s="164"/>
      <c r="L69" s="164"/>
      <c r="M69" s="164"/>
      <c r="N69" s="163"/>
      <c r="T69" s="1"/>
    </row>
    <row r="70" spans="8:20" x14ac:dyDescent="0.35">
      <c r="H70" s="163"/>
      <c r="I70" s="163"/>
      <c r="J70" s="163"/>
      <c r="K70" s="164"/>
      <c r="L70" s="164"/>
      <c r="M70" s="164"/>
      <c r="N70" s="163"/>
      <c r="T7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7"/>
  <dimension ref="A1:S62"/>
  <sheetViews>
    <sheetView workbookViewId="0">
      <selection activeCell="F8" sqref="F8"/>
    </sheetView>
  </sheetViews>
  <sheetFormatPr defaultRowHeight="14.5" x14ac:dyDescent="0.35"/>
  <cols>
    <col min="1" max="3" width="12.81640625" customWidth="1"/>
    <col min="4" max="4" width="8.453125" customWidth="1"/>
    <col min="5" max="5" width="10.81640625" customWidth="1"/>
    <col min="6" max="7" width="8.453125" customWidth="1"/>
    <col min="8" max="8" width="20.1796875" customWidth="1"/>
    <col min="9" max="9" width="7.7265625" bestFit="1" customWidth="1"/>
    <col min="10" max="10" width="20.1796875" customWidth="1"/>
    <col min="11" max="11" width="7.7265625" bestFit="1" customWidth="1"/>
    <col min="12" max="12" width="20.1796875" customWidth="1"/>
    <col min="13" max="13" width="7.7265625" bestFit="1" customWidth="1"/>
    <col min="14" max="14" width="20.1796875" customWidth="1"/>
    <col min="15" max="15" width="7.7265625" bestFit="1" customWidth="1"/>
    <col min="16" max="18" width="20.1796875" customWidth="1"/>
    <col min="19" max="19" width="8.7265625" style="1"/>
  </cols>
  <sheetData>
    <row r="1" spans="1:19" s="308" customFormat="1" ht="29" x14ac:dyDescent="0.35">
      <c r="A1" s="307" t="s">
        <v>1041</v>
      </c>
      <c r="B1" s="307" t="s">
        <v>1042</v>
      </c>
      <c r="C1" s="307" t="s">
        <v>1043</v>
      </c>
      <c r="D1" s="307"/>
      <c r="F1" s="470" t="s">
        <v>1136</v>
      </c>
      <c r="H1" s="307" t="s">
        <v>1097</v>
      </c>
      <c r="I1" s="307" t="s">
        <v>1096</v>
      </c>
      <c r="J1" s="307" t="s">
        <v>1098</v>
      </c>
      <c r="K1" s="307" t="s">
        <v>1096</v>
      </c>
      <c r="L1" s="307" t="s">
        <v>1099</v>
      </c>
      <c r="M1" s="307" t="s">
        <v>1096</v>
      </c>
      <c r="N1" s="307" t="s">
        <v>1100</v>
      </c>
      <c r="O1" s="307" t="s">
        <v>1096</v>
      </c>
      <c r="P1" s="307" t="s">
        <v>1101</v>
      </c>
      <c r="Q1" s="307" t="s">
        <v>1096</v>
      </c>
      <c r="R1" s="307" t="s">
        <v>1102</v>
      </c>
      <c r="S1" s="307" t="s">
        <v>1096</v>
      </c>
    </row>
    <row r="2" spans="1:19" x14ac:dyDescent="0.35">
      <c r="A2" s="4" t="s">
        <v>61</v>
      </c>
      <c r="B2" s="4" t="s">
        <v>156</v>
      </c>
      <c r="C2" s="4" t="s">
        <v>175</v>
      </c>
      <c r="D2" s="4"/>
      <c r="E2" s="5" t="s">
        <v>1137</v>
      </c>
      <c r="F2" s="1">
        <f ca="1">COUNTA(bt_profumi50)</f>
        <v>24</v>
      </c>
      <c r="H2" s="4" t="s">
        <v>61</v>
      </c>
      <c r="I2" s="4">
        <v>1</v>
      </c>
      <c r="J2" s="4" t="s">
        <v>98</v>
      </c>
      <c r="K2" s="4">
        <v>1</v>
      </c>
      <c r="L2" s="4" t="s">
        <v>156</v>
      </c>
      <c r="M2" s="4">
        <v>1</v>
      </c>
      <c r="N2" s="4" t="s">
        <v>167</v>
      </c>
      <c r="O2" s="4">
        <v>1</v>
      </c>
      <c r="P2" s="4" t="s">
        <v>95</v>
      </c>
      <c r="Q2" s="4">
        <v>0.4</v>
      </c>
      <c r="R2" s="4" t="s">
        <v>175</v>
      </c>
      <c r="S2" s="1">
        <v>1</v>
      </c>
    </row>
    <row r="3" spans="1:19" x14ac:dyDescent="0.35">
      <c r="A3" s="4" t="s">
        <v>65</v>
      </c>
      <c r="B3" s="4" t="s">
        <v>161</v>
      </c>
      <c r="C3" s="4" t="s">
        <v>180</v>
      </c>
      <c r="D3" s="4"/>
      <c r="E3" s="5" t="s">
        <v>1138</v>
      </c>
      <c r="F3" s="1">
        <f ca="1">COUNTA(bt_profumi100)</f>
        <v>37</v>
      </c>
      <c r="H3" s="4" t="s">
        <v>65</v>
      </c>
      <c r="I3" s="4">
        <v>1</v>
      </c>
      <c r="J3" s="4" t="s">
        <v>100</v>
      </c>
      <c r="K3" s="4">
        <v>1</v>
      </c>
      <c r="L3" s="4" t="s">
        <v>161</v>
      </c>
      <c r="M3" s="4">
        <v>1</v>
      </c>
      <c r="N3" s="4" t="s">
        <v>169</v>
      </c>
      <c r="O3" s="4">
        <v>1</v>
      </c>
      <c r="P3" s="255" t="s">
        <v>726</v>
      </c>
      <c r="Q3" s="255">
        <v>1</v>
      </c>
      <c r="R3" s="4" t="s">
        <v>180</v>
      </c>
      <c r="S3" s="1">
        <v>1</v>
      </c>
    </row>
    <row r="4" spans="1:19" x14ac:dyDescent="0.35">
      <c r="A4" s="4" t="s">
        <v>67</v>
      </c>
      <c r="B4" s="4" t="s">
        <v>163</v>
      </c>
      <c r="C4" s="4" t="s">
        <v>182</v>
      </c>
      <c r="D4" s="4"/>
      <c r="E4" s="5" t="s">
        <v>1139</v>
      </c>
      <c r="F4" s="1">
        <f ca="1">COUNTA(bt_deo150)</f>
        <v>16</v>
      </c>
      <c r="H4" s="4" t="s">
        <v>67</v>
      </c>
      <c r="I4" s="4">
        <v>1</v>
      </c>
      <c r="J4" s="4" t="s">
        <v>102</v>
      </c>
      <c r="K4" s="4">
        <v>1</v>
      </c>
      <c r="L4" s="4" t="s">
        <v>163</v>
      </c>
      <c r="M4" s="4">
        <v>1</v>
      </c>
      <c r="N4" s="4" t="s">
        <v>171</v>
      </c>
      <c r="O4" s="4">
        <v>1</v>
      </c>
      <c r="P4" s="255" t="s">
        <v>728</v>
      </c>
      <c r="Q4" s="255">
        <v>1</v>
      </c>
      <c r="R4" s="4" t="s">
        <v>182</v>
      </c>
      <c r="S4" s="1">
        <v>1</v>
      </c>
    </row>
    <row r="5" spans="1:19" x14ac:dyDescent="0.35">
      <c r="A5" s="4" t="s">
        <v>69</v>
      </c>
      <c r="B5" s="4" t="s">
        <v>165</v>
      </c>
      <c r="C5" s="4" t="s">
        <v>184</v>
      </c>
      <c r="D5" s="4"/>
      <c r="E5" s="5" t="s">
        <v>1140</v>
      </c>
      <c r="F5" s="1">
        <f ca="1">COUNTA(bt_deo175)</f>
        <v>16</v>
      </c>
      <c r="H5" s="4" t="s">
        <v>69</v>
      </c>
      <c r="I5" s="4">
        <v>1</v>
      </c>
      <c r="J5" s="4" t="s">
        <v>104</v>
      </c>
      <c r="K5" s="4">
        <v>1</v>
      </c>
      <c r="L5" s="4" t="s">
        <v>165</v>
      </c>
      <c r="M5" s="4">
        <v>1</v>
      </c>
      <c r="N5" s="4" t="s">
        <v>173</v>
      </c>
      <c r="O5" s="4">
        <v>1</v>
      </c>
      <c r="P5" s="255" t="s">
        <v>730</v>
      </c>
      <c r="Q5" s="255">
        <v>1</v>
      </c>
      <c r="R5" s="4" t="s">
        <v>184</v>
      </c>
      <c r="S5" s="1">
        <v>1</v>
      </c>
    </row>
    <row r="6" spans="1:19" x14ac:dyDescent="0.35">
      <c r="A6" s="4" t="s">
        <v>71</v>
      </c>
      <c r="B6" s="4" t="s">
        <v>167</v>
      </c>
      <c r="C6" s="251"/>
      <c r="D6" s="251"/>
      <c r="E6" s="5" t="s">
        <v>1141</v>
      </c>
      <c r="F6" s="1"/>
      <c r="H6" s="4" t="s">
        <v>71</v>
      </c>
      <c r="I6" s="4">
        <v>1</v>
      </c>
      <c r="J6" s="4" t="s">
        <v>106</v>
      </c>
      <c r="K6" s="4">
        <v>1</v>
      </c>
      <c r="L6" s="4" t="s">
        <v>36</v>
      </c>
      <c r="M6" s="4">
        <v>0.45</v>
      </c>
      <c r="N6" s="4" t="s">
        <v>79</v>
      </c>
      <c r="O6" s="4">
        <v>0.45</v>
      </c>
      <c r="P6" s="255" t="s">
        <v>732</v>
      </c>
      <c r="Q6" s="255">
        <v>1</v>
      </c>
      <c r="R6" s="251"/>
    </row>
    <row r="7" spans="1:19" x14ac:dyDescent="0.35">
      <c r="A7" s="4" t="s">
        <v>73</v>
      </c>
      <c r="B7" s="4" t="s">
        <v>169</v>
      </c>
      <c r="C7" s="251"/>
      <c r="D7" s="251"/>
      <c r="E7" s="5" t="s">
        <v>1142</v>
      </c>
      <c r="F7" s="1">
        <f ca="1">COUNTA(bt_deo300)</f>
        <v>5</v>
      </c>
      <c r="H7" s="4" t="s">
        <v>73</v>
      </c>
      <c r="I7" s="4">
        <v>1</v>
      </c>
      <c r="J7" s="4" t="s">
        <v>108</v>
      </c>
      <c r="K7" s="4">
        <v>1</v>
      </c>
      <c r="L7" s="4" t="s">
        <v>39</v>
      </c>
      <c r="M7" s="4">
        <v>0.45</v>
      </c>
      <c r="N7" s="4" t="s">
        <v>81</v>
      </c>
      <c r="O7" s="4">
        <v>0.45</v>
      </c>
      <c r="P7" s="251"/>
      <c r="Q7" s="251"/>
      <c r="R7" s="251"/>
    </row>
    <row r="8" spans="1:19" x14ac:dyDescent="0.35">
      <c r="A8" s="4" t="s">
        <v>75</v>
      </c>
      <c r="B8" s="4" t="s">
        <v>171</v>
      </c>
      <c r="C8" s="251"/>
      <c r="D8" s="251"/>
      <c r="E8" s="5" t="s">
        <v>1143</v>
      </c>
      <c r="F8" s="1">
        <f ca="1">COUNTA(bt_bm200)</f>
        <v>4</v>
      </c>
      <c r="H8" s="4" t="s">
        <v>75</v>
      </c>
      <c r="I8" s="4">
        <v>1</v>
      </c>
      <c r="J8" s="4" t="s">
        <v>110</v>
      </c>
      <c r="K8" s="4">
        <v>1</v>
      </c>
      <c r="L8" s="4" t="s">
        <v>41</v>
      </c>
      <c r="M8" s="4">
        <v>0.45</v>
      </c>
      <c r="N8" s="4" t="s">
        <v>83</v>
      </c>
      <c r="O8" s="4">
        <v>0.45</v>
      </c>
      <c r="P8" s="251"/>
      <c r="Q8" s="251"/>
      <c r="R8" s="251"/>
    </row>
    <row r="9" spans="1:19" x14ac:dyDescent="0.35">
      <c r="A9" s="4" t="s">
        <v>77</v>
      </c>
      <c r="B9" s="4" t="s">
        <v>173</v>
      </c>
      <c r="C9" s="251"/>
      <c r="D9" s="251"/>
      <c r="H9" s="4" t="s">
        <v>77</v>
      </c>
      <c r="I9" s="4">
        <v>1</v>
      </c>
      <c r="J9" s="4" t="s">
        <v>112</v>
      </c>
      <c r="K9" s="4">
        <v>1</v>
      </c>
      <c r="L9" s="4" t="s">
        <v>43</v>
      </c>
      <c r="M9" s="4">
        <v>0.45</v>
      </c>
      <c r="N9" s="4" t="s">
        <v>85</v>
      </c>
      <c r="O9" s="4">
        <v>0.45</v>
      </c>
      <c r="P9" s="251"/>
      <c r="Q9" s="251"/>
      <c r="R9" s="251"/>
    </row>
    <row r="10" spans="1:19" x14ac:dyDescent="0.35">
      <c r="A10" s="4" t="s">
        <v>24</v>
      </c>
      <c r="B10" s="4" t="s">
        <v>79</v>
      </c>
      <c r="C10" s="251"/>
      <c r="D10" s="251"/>
      <c r="H10" s="4" t="s">
        <v>24</v>
      </c>
      <c r="I10" s="4">
        <v>0.55000000000000004</v>
      </c>
      <c r="J10" s="4" t="s">
        <v>114</v>
      </c>
      <c r="K10" s="4">
        <v>1</v>
      </c>
      <c r="L10" s="4" t="s">
        <v>87</v>
      </c>
      <c r="M10" s="4">
        <v>0.45</v>
      </c>
      <c r="N10" s="4" t="s">
        <v>24</v>
      </c>
      <c r="O10" s="4">
        <v>0.45</v>
      </c>
      <c r="P10" s="251"/>
      <c r="Q10" s="251"/>
      <c r="R10" s="251"/>
    </row>
    <row r="11" spans="1:19" x14ac:dyDescent="0.35">
      <c r="A11" s="4" t="s">
        <v>30</v>
      </c>
      <c r="B11" s="4" t="s">
        <v>81</v>
      </c>
      <c r="C11" s="251"/>
      <c r="D11" s="251"/>
      <c r="H11" s="4" t="s">
        <v>30</v>
      </c>
      <c r="I11" s="4">
        <v>0.55000000000000004</v>
      </c>
      <c r="J11" s="4" t="s">
        <v>117</v>
      </c>
      <c r="K11" s="4">
        <v>1</v>
      </c>
      <c r="L11" s="4" t="s">
        <v>89</v>
      </c>
      <c r="M11" s="4">
        <v>0.45</v>
      </c>
      <c r="N11" s="4" t="s">
        <v>30</v>
      </c>
      <c r="O11" s="4">
        <v>0.45</v>
      </c>
      <c r="P11" s="251"/>
      <c r="Q11" s="251"/>
      <c r="R11" s="251"/>
    </row>
    <row r="12" spans="1:19" x14ac:dyDescent="0.35">
      <c r="A12" s="4" t="s">
        <v>32</v>
      </c>
      <c r="B12" s="4" t="s">
        <v>83</v>
      </c>
      <c r="C12" s="251"/>
      <c r="D12" s="251"/>
      <c r="H12" s="4" t="s">
        <v>32</v>
      </c>
      <c r="I12" s="4">
        <v>0.55000000000000004</v>
      </c>
      <c r="J12" s="4" t="s">
        <v>119</v>
      </c>
      <c r="K12" s="4">
        <v>1</v>
      </c>
      <c r="L12" s="4" t="s">
        <v>91</v>
      </c>
      <c r="M12" s="4">
        <v>0.45</v>
      </c>
      <c r="N12" s="4" t="s">
        <v>32</v>
      </c>
      <c r="O12" s="4">
        <v>0.45</v>
      </c>
      <c r="P12" s="251"/>
      <c r="Q12" s="251"/>
      <c r="R12" s="251"/>
    </row>
    <row r="13" spans="1:19" x14ac:dyDescent="0.35">
      <c r="A13" s="4" t="s">
        <v>34</v>
      </c>
      <c r="B13" s="4" t="s">
        <v>85</v>
      </c>
      <c r="C13" s="251"/>
      <c r="D13" s="251"/>
      <c r="H13" s="4" t="s">
        <v>34</v>
      </c>
      <c r="I13" s="4">
        <v>0.55000000000000004</v>
      </c>
      <c r="J13" s="4" t="s">
        <v>121</v>
      </c>
      <c r="K13" s="4">
        <v>1</v>
      </c>
      <c r="L13" s="4" t="s">
        <v>93</v>
      </c>
      <c r="M13" s="4">
        <v>0.45</v>
      </c>
      <c r="N13" s="4" t="s">
        <v>34</v>
      </c>
      <c r="O13" s="4">
        <v>0.45</v>
      </c>
      <c r="P13" s="251"/>
      <c r="Q13" s="251"/>
      <c r="R13" s="251"/>
    </row>
    <row r="14" spans="1:19" x14ac:dyDescent="0.35">
      <c r="A14" s="4" t="s">
        <v>36</v>
      </c>
      <c r="B14" s="4" t="s">
        <v>24</v>
      </c>
      <c r="C14" s="251"/>
      <c r="D14" s="251"/>
      <c r="H14" s="4" t="s">
        <v>36</v>
      </c>
      <c r="I14" s="4">
        <v>0.55000000000000004</v>
      </c>
      <c r="J14" s="4" t="s">
        <v>123</v>
      </c>
      <c r="K14" s="4">
        <v>1</v>
      </c>
      <c r="L14" s="252" t="s">
        <v>53</v>
      </c>
      <c r="M14" s="252">
        <v>0.45</v>
      </c>
      <c r="N14" s="252" t="s">
        <v>45</v>
      </c>
      <c r="O14" s="252">
        <v>0.45</v>
      </c>
      <c r="P14" s="251"/>
      <c r="Q14" s="251"/>
      <c r="R14" s="251"/>
    </row>
    <row r="15" spans="1:19" x14ac:dyDescent="0.35">
      <c r="A15" s="4" t="s">
        <v>39</v>
      </c>
      <c r="B15" s="4" t="s">
        <v>30</v>
      </c>
      <c r="C15" s="251"/>
      <c r="D15" s="251"/>
      <c r="H15" s="4" t="s">
        <v>39</v>
      </c>
      <c r="I15" s="4">
        <v>0.55000000000000004</v>
      </c>
      <c r="J15" s="4" t="s">
        <v>125</v>
      </c>
      <c r="K15" s="4">
        <v>1</v>
      </c>
      <c r="L15" s="252" t="s">
        <v>55</v>
      </c>
      <c r="M15" s="252">
        <v>0.45</v>
      </c>
      <c r="N15" s="252" t="s">
        <v>47</v>
      </c>
      <c r="O15" s="252">
        <v>0.45</v>
      </c>
      <c r="P15" s="251"/>
      <c r="Q15" s="251"/>
      <c r="R15" s="251"/>
    </row>
    <row r="16" spans="1:19" x14ac:dyDescent="0.35">
      <c r="A16" s="4" t="s">
        <v>41</v>
      </c>
      <c r="B16" s="4" t="s">
        <v>32</v>
      </c>
      <c r="C16" s="251"/>
      <c r="D16" s="251"/>
      <c r="H16" s="4" t="s">
        <v>41</v>
      </c>
      <c r="I16" s="4">
        <v>0.55000000000000004</v>
      </c>
      <c r="J16" s="4" t="s">
        <v>127</v>
      </c>
      <c r="K16" s="4">
        <v>1</v>
      </c>
      <c r="L16" s="252" t="s">
        <v>57</v>
      </c>
      <c r="M16" s="252">
        <v>0.45</v>
      </c>
      <c r="N16" s="252" t="s">
        <v>49</v>
      </c>
      <c r="O16" s="252">
        <v>0.45</v>
      </c>
      <c r="P16" s="251"/>
      <c r="Q16" s="251"/>
      <c r="R16" s="251"/>
    </row>
    <row r="17" spans="1:18" x14ac:dyDescent="0.35">
      <c r="A17" s="4" t="s">
        <v>43</v>
      </c>
      <c r="B17" s="4" t="s">
        <v>34</v>
      </c>
      <c r="C17" s="251"/>
      <c r="D17" s="251"/>
      <c r="H17" s="4" t="s">
        <v>43</v>
      </c>
      <c r="I17" s="4">
        <v>0.55000000000000004</v>
      </c>
      <c r="J17" s="4" t="s">
        <v>129</v>
      </c>
      <c r="K17" s="4">
        <v>1</v>
      </c>
      <c r="L17" s="252" t="s">
        <v>59</v>
      </c>
      <c r="M17" s="252">
        <v>0.45</v>
      </c>
      <c r="N17" s="252" t="s">
        <v>51</v>
      </c>
      <c r="O17" s="252">
        <v>0.45</v>
      </c>
      <c r="P17" s="251"/>
      <c r="Q17" s="251"/>
      <c r="R17" s="251"/>
    </row>
    <row r="18" spans="1:18" x14ac:dyDescent="0.35">
      <c r="A18" s="4" t="s">
        <v>98</v>
      </c>
      <c r="B18" s="4" t="s">
        <v>36</v>
      </c>
      <c r="C18" s="251"/>
      <c r="D18" s="251"/>
      <c r="H18" s="252" t="s">
        <v>45</v>
      </c>
      <c r="I18" s="252">
        <v>0.55000000000000004</v>
      </c>
      <c r="J18" s="4" t="s">
        <v>148</v>
      </c>
      <c r="K18" s="4">
        <v>1</v>
      </c>
      <c r="L18" s="251"/>
      <c r="M18" s="251"/>
      <c r="N18" s="251"/>
      <c r="O18" s="251"/>
      <c r="P18" s="251"/>
      <c r="Q18" s="251"/>
      <c r="R18" s="251"/>
    </row>
    <row r="19" spans="1:18" x14ac:dyDescent="0.35">
      <c r="A19" s="4" t="s">
        <v>100</v>
      </c>
      <c r="B19" s="4" t="s">
        <v>39</v>
      </c>
      <c r="C19" s="251"/>
      <c r="D19" s="251"/>
      <c r="H19" s="252" t="s">
        <v>47</v>
      </c>
      <c r="I19" s="252">
        <v>0.55000000000000004</v>
      </c>
      <c r="J19" s="4" t="s">
        <v>150</v>
      </c>
      <c r="K19" s="4">
        <v>1</v>
      </c>
      <c r="L19" s="251"/>
      <c r="M19" s="251"/>
      <c r="N19" s="251"/>
      <c r="O19" s="251"/>
      <c r="P19" s="251"/>
      <c r="Q19" s="251"/>
      <c r="R19" s="251"/>
    </row>
    <row r="20" spans="1:18" x14ac:dyDescent="0.35">
      <c r="A20" s="4" t="s">
        <v>102</v>
      </c>
      <c r="B20" s="4" t="s">
        <v>41</v>
      </c>
      <c r="C20" s="251"/>
      <c r="D20" s="251"/>
      <c r="H20" s="252" t="s">
        <v>49</v>
      </c>
      <c r="I20" s="252">
        <v>0.55000000000000004</v>
      </c>
      <c r="J20" s="4" t="s">
        <v>131</v>
      </c>
      <c r="K20" s="4">
        <v>1</v>
      </c>
      <c r="L20" s="251"/>
      <c r="M20" s="251"/>
      <c r="N20" s="251"/>
      <c r="O20" s="251"/>
      <c r="P20" s="251"/>
      <c r="Q20" s="251"/>
      <c r="R20" s="251"/>
    </row>
    <row r="21" spans="1:18" x14ac:dyDescent="0.35">
      <c r="A21" s="4" t="s">
        <v>104</v>
      </c>
      <c r="B21" s="4" t="s">
        <v>43</v>
      </c>
      <c r="C21" s="251"/>
      <c r="D21" s="251"/>
      <c r="H21" s="252" t="s">
        <v>51</v>
      </c>
      <c r="I21" s="252">
        <v>0.55000000000000004</v>
      </c>
      <c r="J21" s="4" t="s">
        <v>134</v>
      </c>
      <c r="K21" s="4">
        <v>1</v>
      </c>
      <c r="L21" s="251"/>
      <c r="M21" s="251"/>
      <c r="N21" s="251"/>
      <c r="O21" s="251"/>
      <c r="P21" s="251"/>
      <c r="Q21" s="251"/>
      <c r="R21" s="251"/>
    </row>
    <row r="22" spans="1:18" x14ac:dyDescent="0.35">
      <c r="A22" s="4" t="s">
        <v>106</v>
      </c>
      <c r="B22" s="4" t="s">
        <v>87</v>
      </c>
      <c r="C22" s="251"/>
      <c r="D22" s="251"/>
      <c r="H22" s="252" t="s">
        <v>53</v>
      </c>
      <c r="I22" s="252">
        <v>0.55000000000000004</v>
      </c>
      <c r="J22" s="4" t="s">
        <v>136</v>
      </c>
      <c r="K22" s="4">
        <v>1</v>
      </c>
      <c r="L22" s="251"/>
      <c r="M22" s="251"/>
      <c r="N22" s="251"/>
      <c r="O22" s="251"/>
      <c r="P22" s="251"/>
      <c r="Q22" s="251"/>
      <c r="R22" s="251"/>
    </row>
    <row r="23" spans="1:18" x14ac:dyDescent="0.35">
      <c r="A23" s="4" t="s">
        <v>108</v>
      </c>
      <c r="B23" s="4" t="s">
        <v>89</v>
      </c>
      <c r="C23" s="251"/>
      <c r="D23" s="251"/>
      <c r="H23" s="252" t="s">
        <v>55</v>
      </c>
      <c r="I23" s="252">
        <v>0.55000000000000004</v>
      </c>
      <c r="J23" s="4" t="s">
        <v>138</v>
      </c>
      <c r="K23" s="4">
        <v>1</v>
      </c>
      <c r="L23" s="251"/>
      <c r="M23" s="251"/>
      <c r="N23" s="251"/>
      <c r="O23" s="251"/>
      <c r="P23" s="251"/>
      <c r="Q23" s="251"/>
      <c r="R23" s="251"/>
    </row>
    <row r="24" spans="1:18" x14ac:dyDescent="0.35">
      <c r="A24" s="4" t="s">
        <v>110</v>
      </c>
      <c r="B24" s="4" t="s">
        <v>91</v>
      </c>
      <c r="C24" s="251"/>
      <c r="D24" s="251"/>
      <c r="H24" s="252" t="s">
        <v>57</v>
      </c>
      <c r="I24" s="252">
        <v>0.55000000000000004</v>
      </c>
      <c r="J24" s="4" t="s">
        <v>140</v>
      </c>
      <c r="K24" s="4">
        <v>1</v>
      </c>
      <c r="L24" s="251"/>
      <c r="M24" s="251"/>
      <c r="N24" s="251"/>
      <c r="O24" s="251"/>
      <c r="P24" s="251"/>
      <c r="Q24" s="251"/>
      <c r="R24" s="251"/>
    </row>
    <row r="25" spans="1:18" x14ac:dyDescent="0.35">
      <c r="A25" s="4" t="s">
        <v>112</v>
      </c>
      <c r="B25" s="4" t="s">
        <v>93</v>
      </c>
      <c r="C25" s="251"/>
      <c r="D25" s="251"/>
      <c r="H25" s="252" t="s">
        <v>59</v>
      </c>
      <c r="I25" s="252">
        <v>0.55000000000000004</v>
      </c>
      <c r="J25" s="4" t="s">
        <v>142</v>
      </c>
      <c r="K25" s="4">
        <v>1</v>
      </c>
      <c r="L25" s="251"/>
      <c r="M25" s="251"/>
      <c r="N25" s="251"/>
      <c r="O25" s="251"/>
      <c r="P25" s="251"/>
      <c r="Q25" s="251"/>
      <c r="R25" s="251"/>
    </row>
    <row r="26" spans="1:18" x14ac:dyDescent="0.35">
      <c r="A26" s="4" t="s">
        <v>114</v>
      </c>
      <c r="B26" s="5" t="s">
        <v>45</v>
      </c>
      <c r="C26" s="251"/>
      <c r="D26" s="251"/>
      <c r="H26" s="251"/>
      <c r="I26" s="251"/>
      <c r="J26" s="4" t="s">
        <v>144</v>
      </c>
      <c r="K26" s="4">
        <v>1</v>
      </c>
      <c r="L26" s="251"/>
      <c r="M26" s="251"/>
      <c r="N26" s="251"/>
      <c r="O26" s="251"/>
      <c r="P26" s="251"/>
      <c r="Q26" s="251"/>
      <c r="R26" s="251"/>
    </row>
    <row r="27" spans="1:18" x14ac:dyDescent="0.35">
      <c r="A27" s="4" t="s">
        <v>117</v>
      </c>
      <c r="B27" s="5" t="s">
        <v>47</v>
      </c>
      <c r="C27" s="251"/>
      <c r="D27" s="251"/>
      <c r="J27" s="4" t="s">
        <v>146</v>
      </c>
      <c r="K27" s="4">
        <v>1</v>
      </c>
      <c r="L27" s="251"/>
      <c r="M27" s="251"/>
      <c r="N27" s="251"/>
      <c r="O27" s="251"/>
      <c r="P27" s="251"/>
      <c r="Q27" s="251"/>
      <c r="R27" s="251"/>
    </row>
    <row r="28" spans="1:18" x14ac:dyDescent="0.35">
      <c r="A28" s="4" t="s">
        <v>119</v>
      </c>
      <c r="B28" s="5" t="s">
        <v>49</v>
      </c>
      <c r="C28" s="251"/>
      <c r="D28" s="251"/>
      <c r="J28" s="4" t="s">
        <v>152</v>
      </c>
      <c r="K28" s="4">
        <v>1</v>
      </c>
      <c r="L28" s="251"/>
      <c r="M28" s="251"/>
      <c r="N28" s="251"/>
      <c r="O28" s="251"/>
      <c r="P28" s="251"/>
      <c r="Q28" s="251"/>
      <c r="R28" s="251"/>
    </row>
    <row r="29" spans="1:18" x14ac:dyDescent="0.35">
      <c r="A29" s="4" t="s">
        <v>121</v>
      </c>
      <c r="B29" s="5" t="s">
        <v>51</v>
      </c>
      <c r="C29" s="251"/>
      <c r="D29" s="251"/>
      <c r="J29" s="4" t="s">
        <v>154</v>
      </c>
      <c r="K29" s="4">
        <v>1</v>
      </c>
      <c r="L29" s="251"/>
      <c r="M29" s="251"/>
      <c r="N29" s="251"/>
      <c r="O29" s="251"/>
      <c r="P29" s="251"/>
      <c r="Q29" s="251"/>
      <c r="R29" s="251"/>
    </row>
    <row r="30" spans="1:18" x14ac:dyDescent="0.35">
      <c r="A30" s="4" t="s">
        <v>123</v>
      </c>
      <c r="B30" s="5" t="s">
        <v>53</v>
      </c>
      <c r="C30" s="251"/>
      <c r="D30" s="251"/>
      <c r="J30" s="4" t="s">
        <v>79</v>
      </c>
      <c r="K30" s="4">
        <v>0.55000000000000004</v>
      </c>
      <c r="L30" s="251"/>
      <c r="M30" s="251"/>
      <c r="N30" s="251"/>
      <c r="O30" s="251"/>
      <c r="P30" s="251"/>
      <c r="Q30" s="251"/>
      <c r="R30" s="251"/>
    </row>
    <row r="31" spans="1:18" x14ac:dyDescent="0.35">
      <c r="A31" s="4" t="s">
        <v>125</v>
      </c>
      <c r="B31" s="5" t="s">
        <v>55</v>
      </c>
      <c r="C31" s="251"/>
      <c r="D31" s="251"/>
      <c r="J31" s="4" t="s">
        <v>81</v>
      </c>
      <c r="K31" s="4">
        <v>0.55000000000000004</v>
      </c>
      <c r="L31" s="251"/>
      <c r="M31" s="251"/>
      <c r="N31" s="251"/>
      <c r="O31" s="251"/>
      <c r="P31" s="251"/>
      <c r="Q31" s="251"/>
      <c r="R31" s="251"/>
    </row>
    <row r="32" spans="1:18" x14ac:dyDescent="0.35">
      <c r="A32" s="4" t="s">
        <v>127</v>
      </c>
      <c r="B32" s="5" t="s">
        <v>57</v>
      </c>
      <c r="C32" s="251"/>
      <c r="D32" s="251"/>
      <c r="J32" s="4" t="s">
        <v>83</v>
      </c>
      <c r="K32" s="4">
        <v>0.55000000000000004</v>
      </c>
      <c r="L32" s="251"/>
      <c r="M32" s="251"/>
      <c r="N32" s="251"/>
      <c r="O32" s="251"/>
      <c r="P32" s="251"/>
      <c r="Q32" s="251"/>
      <c r="R32" s="251"/>
    </row>
    <row r="33" spans="1:18" x14ac:dyDescent="0.35">
      <c r="A33" s="4" t="s">
        <v>129</v>
      </c>
      <c r="B33" s="5" t="s">
        <v>59</v>
      </c>
      <c r="C33" s="251"/>
      <c r="D33" s="251"/>
      <c r="J33" s="4" t="s">
        <v>85</v>
      </c>
      <c r="K33" s="4">
        <v>0.55000000000000004</v>
      </c>
      <c r="L33" s="251"/>
      <c r="M33" s="251"/>
      <c r="N33" s="251"/>
      <c r="O33" s="251"/>
      <c r="P33" s="251"/>
      <c r="Q33" s="251"/>
      <c r="R33" s="251"/>
    </row>
    <row r="34" spans="1:18" x14ac:dyDescent="0.35">
      <c r="A34" s="4" t="s">
        <v>148</v>
      </c>
      <c r="B34" s="4" t="s">
        <v>95</v>
      </c>
      <c r="C34" s="251"/>
      <c r="D34" s="251"/>
      <c r="H34" s="251"/>
      <c r="I34" s="251"/>
      <c r="J34" s="4" t="s">
        <v>87</v>
      </c>
      <c r="K34" s="4">
        <v>0.55000000000000004</v>
      </c>
      <c r="L34" s="251"/>
      <c r="M34" s="251"/>
      <c r="N34" s="251"/>
      <c r="O34" s="251"/>
      <c r="P34" s="251"/>
      <c r="Q34" s="251"/>
      <c r="R34" s="251"/>
    </row>
    <row r="35" spans="1:18" x14ac:dyDescent="0.35">
      <c r="A35" s="4" t="s">
        <v>150</v>
      </c>
      <c r="B35" s="251"/>
      <c r="C35" s="251"/>
      <c r="D35" s="251"/>
      <c r="H35" s="251"/>
      <c r="I35" s="251"/>
      <c r="J35" s="4" t="s">
        <v>89</v>
      </c>
      <c r="K35" s="4">
        <v>0.55000000000000004</v>
      </c>
      <c r="L35" s="251"/>
      <c r="M35" s="251"/>
      <c r="N35" s="251"/>
      <c r="O35" s="251"/>
      <c r="P35" s="251"/>
      <c r="Q35" s="251"/>
      <c r="R35" s="251"/>
    </row>
    <row r="36" spans="1:18" x14ac:dyDescent="0.35">
      <c r="A36" s="4" t="s">
        <v>131</v>
      </c>
      <c r="B36" s="251"/>
      <c r="C36" s="251"/>
      <c r="D36" s="251"/>
      <c r="H36" s="251"/>
      <c r="I36" s="251"/>
      <c r="J36" s="4" t="s">
        <v>91</v>
      </c>
      <c r="K36" s="4">
        <v>0.55000000000000004</v>
      </c>
      <c r="L36" s="251"/>
      <c r="M36" s="251"/>
      <c r="N36" s="251"/>
      <c r="O36" s="251"/>
      <c r="P36" s="251"/>
      <c r="Q36" s="251"/>
      <c r="R36" s="251"/>
    </row>
    <row r="37" spans="1:18" x14ac:dyDescent="0.35">
      <c r="A37" s="4" t="s">
        <v>134</v>
      </c>
      <c r="B37" s="251"/>
      <c r="C37" s="251"/>
      <c r="D37" s="251"/>
      <c r="H37" s="251"/>
      <c r="I37" s="251"/>
      <c r="J37" s="4" t="s">
        <v>93</v>
      </c>
      <c r="K37" s="4">
        <v>0.55000000000000004</v>
      </c>
      <c r="L37" s="251"/>
      <c r="M37" s="251"/>
      <c r="N37" s="251"/>
      <c r="O37" s="251"/>
      <c r="P37" s="251"/>
      <c r="Q37" s="251"/>
      <c r="R37" s="251"/>
    </row>
    <row r="38" spans="1:18" x14ac:dyDescent="0.35">
      <c r="A38" s="4" t="s">
        <v>136</v>
      </c>
      <c r="B38" s="251"/>
      <c r="C38" s="251"/>
      <c r="D38" s="251"/>
      <c r="H38" s="251"/>
      <c r="I38" s="251"/>
      <c r="J38" s="4" t="s">
        <v>95</v>
      </c>
      <c r="K38" s="254">
        <v>0.6</v>
      </c>
      <c r="L38" s="251"/>
      <c r="M38" s="251"/>
      <c r="N38" s="251"/>
      <c r="O38" s="251"/>
      <c r="P38" s="251"/>
      <c r="Q38" s="251"/>
      <c r="R38" s="251"/>
    </row>
    <row r="39" spans="1:18" x14ac:dyDescent="0.35">
      <c r="A39" s="4" t="s">
        <v>138</v>
      </c>
      <c r="B39" s="251"/>
      <c r="C39" s="251"/>
      <c r="D39" s="251"/>
      <c r="E39" s="251"/>
      <c r="F39" s="251"/>
      <c r="G39" s="251"/>
      <c r="H39" s="251"/>
      <c r="I39" s="251"/>
      <c r="J39" s="251"/>
      <c r="K39" s="251"/>
      <c r="L39" s="251"/>
      <c r="M39" s="251"/>
      <c r="N39" s="251"/>
      <c r="O39" s="251"/>
    </row>
    <row r="40" spans="1:18" x14ac:dyDescent="0.35">
      <c r="A40" s="4" t="s">
        <v>140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1"/>
    </row>
    <row r="41" spans="1:18" x14ac:dyDescent="0.35">
      <c r="A41" s="4" t="s">
        <v>142</v>
      </c>
      <c r="B41" s="251"/>
      <c r="C41" s="251"/>
      <c r="D41" s="251"/>
      <c r="E41" s="251"/>
      <c r="F41" s="251"/>
      <c r="G41" s="251"/>
      <c r="H41" s="251"/>
      <c r="I41" s="251"/>
      <c r="J41" s="251"/>
      <c r="K41" s="251"/>
      <c r="L41" s="251"/>
      <c r="M41" s="251"/>
      <c r="N41" s="251"/>
      <c r="O41" s="251"/>
    </row>
    <row r="42" spans="1:18" x14ac:dyDescent="0.35">
      <c r="A42" s="4" t="s">
        <v>144</v>
      </c>
      <c r="B42" s="251"/>
      <c r="C42" s="251"/>
      <c r="D42" s="251"/>
      <c r="E42" s="251"/>
      <c r="F42" s="251"/>
      <c r="G42" s="251"/>
      <c r="H42" s="251"/>
      <c r="I42" s="251"/>
      <c r="J42" s="251"/>
      <c r="K42" s="251"/>
      <c r="L42" s="251"/>
      <c r="M42" s="251"/>
      <c r="N42" s="251"/>
      <c r="O42" s="251"/>
    </row>
    <row r="43" spans="1:18" x14ac:dyDescent="0.35">
      <c r="A43" s="4" t="s">
        <v>146</v>
      </c>
      <c r="B43" s="251"/>
      <c r="C43" s="251"/>
      <c r="D43" s="251"/>
      <c r="E43" s="251"/>
      <c r="F43" s="251"/>
      <c r="G43" s="251"/>
      <c r="H43" s="251"/>
      <c r="I43" s="251"/>
      <c r="J43" s="251"/>
      <c r="K43" s="251"/>
      <c r="L43" s="251"/>
      <c r="M43" s="251"/>
      <c r="N43" s="251"/>
      <c r="O43" s="251"/>
    </row>
    <row r="44" spans="1:18" x14ac:dyDescent="0.35">
      <c r="A44" s="4" t="s">
        <v>152</v>
      </c>
      <c r="B44" s="251"/>
      <c r="C44" s="251"/>
      <c r="D44" s="251"/>
      <c r="E44" s="251"/>
      <c r="F44" s="251"/>
      <c r="G44" s="251"/>
      <c r="H44" s="251"/>
      <c r="I44" s="251"/>
      <c r="J44" s="251"/>
      <c r="K44" s="251"/>
      <c r="L44" s="251"/>
      <c r="M44" s="251"/>
      <c r="N44" s="251"/>
      <c r="O44" s="251"/>
    </row>
    <row r="45" spans="1:18" x14ac:dyDescent="0.35">
      <c r="A45" s="4" t="s">
        <v>154</v>
      </c>
      <c r="B45" s="251"/>
      <c r="C45" s="251"/>
      <c r="D45" s="251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</row>
    <row r="46" spans="1:18" x14ac:dyDescent="0.35">
      <c r="A46" s="4" t="s">
        <v>79</v>
      </c>
      <c r="B46" s="251"/>
      <c r="C46" s="251"/>
      <c r="D46" s="251"/>
      <c r="E46" s="251"/>
      <c r="F46" s="251"/>
      <c r="G46" s="251"/>
      <c r="H46" s="251"/>
      <c r="I46" s="251"/>
      <c r="J46" s="251"/>
      <c r="K46" s="251"/>
      <c r="L46" s="251"/>
      <c r="M46" s="251"/>
      <c r="N46" s="251"/>
      <c r="O46" s="251"/>
    </row>
    <row r="47" spans="1:18" x14ac:dyDescent="0.35">
      <c r="A47" s="4" t="s">
        <v>81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1"/>
    </row>
    <row r="48" spans="1:18" x14ac:dyDescent="0.35">
      <c r="A48" s="4" t="s">
        <v>83</v>
      </c>
      <c r="B48" s="251"/>
      <c r="C48" s="251"/>
      <c r="D48" s="251"/>
      <c r="E48" s="251"/>
      <c r="F48" s="251"/>
      <c r="G48" s="251"/>
      <c r="H48" s="251"/>
      <c r="I48" s="251"/>
      <c r="J48" s="251"/>
      <c r="K48" s="251"/>
      <c r="L48" s="251"/>
      <c r="M48" s="251"/>
      <c r="N48" s="251"/>
      <c r="O48" s="251"/>
    </row>
    <row r="49" spans="1:15" x14ac:dyDescent="0.35">
      <c r="A49" s="4" t="s">
        <v>85</v>
      </c>
      <c r="B49" s="251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51"/>
    </row>
    <row r="50" spans="1:15" x14ac:dyDescent="0.35">
      <c r="A50" s="4" t="s">
        <v>87</v>
      </c>
      <c r="B50" s="251"/>
      <c r="C50" s="251"/>
      <c r="D50" s="251"/>
      <c r="E50" s="251"/>
      <c r="F50" s="251"/>
      <c r="G50" s="251"/>
      <c r="H50" s="251"/>
      <c r="I50" s="251"/>
      <c r="J50" s="251"/>
      <c r="K50" s="251"/>
      <c r="L50" s="251"/>
      <c r="M50" s="251"/>
      <c r="N50" s="251"/>
      <c r="O50" s="251"/>
    </row>
    <row r="51" spans="1:15" x14ac:dyDescent="0.35">
      <c r="A51" s="4" t="s">
        <v>89</v>
      </c>
      <c r="B51" s="251"/>
      <c r="C51" s="251"/>
      <c r="D51" s="251"/>
      <c r="E51" s="251"/>
      <c r="F51" s="251"/>
      <c r="G51" s="251"/>
      <c r="H51" s="251"/>
      <c r="I51" s="251"/>
      <c r="J51" s="251"/>
      <c r="K51" s="251"/>
      <c r="L51" s="251"/>
      <c r="M51" s="251"/>
      <c r="N51" s="251"/>
      <c r="O51" s="251"/>
    </row>
    <row r="52" spans="1:15" x14ac:dyDescent="0.35">
      <c r="A52" s="4" t="s">
        <v>91</v>
      </c>
      <c r="B52" s="251"/>
      <c r="C52" s="251"/>
      <c r="D52" s="251"/>
      <c r="E52" s="251"/>
      <c r="F52" s="251"/>
      <c r="G52" s="251"/>
      <c r="H52" s="251"/>
      <c r="I52" s="251"/>
      <c r="J52" s="251"/>
      <c r="K52" s="251"/>
      <c r="L52" s="251"/>
      <c r="M52" s="251"/>
      <c r="N52" s="251"/>
      <c r="O52" s="251"/>
    </row>
    <row r="53" spans="1:15" x14ac:dyDescent="0.35">
      <c r="A53" s="4" t="s">
        <v>93</v>
      </c>
      <c r="B53" s="251"/>
      <c r="C53" s="251"/>
      <c r="D53" s="251"/>
      <c r="E53" s="251"/>
      <c r="F53" s="251"/>
      <c r="G53" s="251"/>
      <c r="H53" s="251"/>
      <c r="I53" s="251"/>
      <c r="J53" s="251"/>
      <c r="K53" s="251"/>
      <c r="L53" s="251"/>
      <c r="M53" s="251"/>
      <c r="N53" s="251"/>
      <c r="O53" s="251"/>
    </row>
    <row r="54" spans="1:15" x14ac:dyDescent="0.35">
      <c r="A54" s="252" t="s">
        <v>45</v>
      </c>
      <c r="B54" s="251"/>
      <c r="C54" s="251"/>
      <c r="D54" s="251"/>
      <c r="E54" s="251"/>
      <c r="F54" s="251"/>
      <c r="G54" s="251"/>
      <c r="H54" s="251"/>
      <c r="I54" s="251"/>
      <c r="J54" s="251"/>
      <c r="K54" s="251"/>
      <c r="L54" s="251"/>
      <c r="M54" s="251"/>
      <c r="N54" s="251"/>
      <c r="O54" s="251"/>
    </row>
    <row r="55" spans="1:15" x14ac:dyDescent="0.35">
      <c r="A55" s="252" t="s">
        <v>47</v>
      </c>
      <c r="B55" s="251"/>
      <c r="C55" s="251"/>
      <c r="D55" s="251"/>
      <c r="E55" s="251"/>
      <c r="F55" s="251"/>
      <c r="G55" s="251"/>
      <c r="H55" s="251"/>
      <c r="I55" s="251"/>
      <c r="J55" s="251"/>
      <c r="K55" s="251"/>
      <c r="L55" s="251"/>
      <c r="M55" s="251"/>
      <c r="N55" s="251"/>
      <c r="O55" s="251"/>
    </row>
    <row r="56" spans="1:15" x14ac:dyDescent="0.35">
      <c r="A56" s="252" t="s">
        <v>49</v>
      </c>
      <c r="B56" s="251"/>
      <c r="C56" s="251"/>
      <c r="D56" s="251"/>
      <c r="E56" s="251"/>
      <c r="F56" s="251"/>
      <c r="G56" s="251"/>
      <c r="H56" s="251"/>
      <c r="I56" s="251"/>
      <c r="J56" s="251"/>
      <c r="K56" s="251"/>
      <c r="L56" s="251"/>
      <c r="M56" s="251"/>
      <c r="N56" s="251"/>
      <c r="O56" s="251"/>
    </row>
    <row r="57" spans="1:15" x14ac:dyDescent="0.35">
      <c r="A57" s="252" t="s">
        <v>51</v>
      </c>
      <c r="B57" s="251"/>
      <c r="C57" s="251"/>
      <c r="D57" s="251"/>
      <c r="E57" s="251"/>
      <c r="F57" s="251"/>
      <c r="G57" s="251"/>
      <c r="H57" s="251"/>
      <c r="I57" s="251"/>
      <c r="J57" s="251"/>
      <c r="K57" s="251"/>
      <c r="L57" s="251"/>
      <c r="M57" s="251"/>
      <c r="N57" s="251"/>
      <c r="O57" s="251"/>
    </row>
    <row r="58" spans="1:15" x14ac:dyDescent="0.35">
      <c r="A58" s="252" t="s">
        <v>53</v>
      </c>
      <c r="B58" s="251"/>
      <c r="C58" s="251"/>
      <c r="D58" s="251"/>
      <c r="E58" s="251"/>
      <c r="F58" s="251"/>
      <c r="G58" s="251"/>
      <c r="H58" s="251"/>
      <c r="I58" s="251"/>
      <c r="J58" s="251"/>
      <c r="K58" s="251"/>
      <c r="L58" s="251"/>
      <c r="M58" s="251"/>
      <c r="N58" s="251"/>
      <c r="O58" s="251"/>
    </row>
    <row r="59" spans="1:15" x14ac:dyDescent="0.35">
      <c r="A59" s="252" t="s">
        <v>55</v>
      </c>
      <c r="B59" s="251"/>
      <c r="C59" s="251"/>
      <c r="D59" s="251"/>
      <c r="E59" s="251"/>
      <c r="F59" s="251"/>
      <c r="G59" s="251"/>
      <c r="H59" s="251"/>
      <c r="I59" s="251"/>
      <c r="J59" s="251"/>
      <c r="K59" s="251"/>
      <c r="L59" s="251"/>
      <c r="M59" s="251"/>
      <c r="N59" s="251"/>
      <c r="O59" s="251"/>
    </row>
    <row r="60" spans="1:15" x14ac:dyDescent="0.35">
      <c r="A60" s="252" t="s">
        <v>57</v>
      </c>
      <c r="B60" s="251"/>
      <c r="C60" s="251"/>
      <c r="D60" s="251"/>
      <c r="E60" s="251"/>
      <c r="F60" s="251"/>
      <c r="G60" s="251"/>
      <c r="H60" s="251"/>
      <c r="I60" s="251"/>
      <c r="J60" s="251"/>
      <c r="K60" s="251"/>
      <c r="L60" s="251"/>
      <c r="M60" s="251"/>
      <c r="N60" s="251"/>
      <c r="O60" s="251"/>
    </row>
    <row r="61" spans="1:15" x14ac:dyDescent="0.35">
      <c r="A61" s="252" t="s">
        <v>59</v>
      </c>
      <c r="B61" s="251"/>
      <c r="C61" s="251"/>
      <c r="D61" s="251"/>
      <c r="E61" s="251"/>
      <c r="F61" s="251"/>
      <c r="G61" s="251"/>
      <c r="H61" s="251"/>
      <c r="I61" s="251"/>
      <c r="J61" s="251"/>
      <c r="K61" s="251"/>
      <c r="L61" s="251"/>
      <c r="M61" s="251"/>
      <c r="N61" s="251"/>
      <c r="O61" s="251"/>
    </row>
    <row r="62" spans="1:15" x14ac:dyDescent="0.35">
      <c r="A62" s="252" t="s">
        <v>95</v>
      </c>
      <c r="B62" s="251"/>
      <c r="C62" s="251"/>
      <c r="D62" s="251"/>
      <c r="E62" s="251"/>
      <c r="F62" s="251"/>
      <c r="G62" s="251"/>
      <c r="H62" s="251"/>
      <c r="I62" s="251"/>
      <c r="J62" s="251"/>
      <c r="K62" s="251"/>
      <c r="L62" s="251"/>
      <c r="M62" s="251"/>
      <c r="N62" s="251"/>
      <c r="O62" s="25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0"/>
  <dimension ref="A1:AA41"/>
  <sheetViews>
    <sheetView zoomScale="90" zoomScaleNormal="90" workbookViewId="0">
      <pane ySplit="1" topLeftCell="A2" activePane="bottomLeft" state="frozen"/>
      <selection activeCell="A2" sqref="A2"/>
      <selection pane="bottomLeft" activeCell="F481" sqref="F481"/>
    </sheetView>
  </sheetViews>
  <sheetFormatPr defaultRowHeight="14.5" x14ac:dyDescent="0.35"/>
  <cols>
    <col min="1" max="1" width="11.54296875" style="2" customWidth="1"/>
    <col min="2" max="2" width="11.54296875" style="114" customWidth="1"/>
    <col min="3" max="3" width="57.1796875" style="115" bestFit="1" customWidth="1"/>
    <col min="4" max="4" width="11.54296875" style="311" customWidth="1"/>
    <col min="5" max="5" width="10.453125" customWidth="1"/>
    <col min="6" max="6" width="11.54296875" style="2" customWidth="1"/>
    <col min="7" max="7" width="11.54296875" style="52" customWidth="1"/>
    <col min="8" max="8" width="14.7265625" style="110" customWidth="1"/>
    <col min="9" max="10" width="14.7265625" style="2" customWidth="1"/>
    <col min="11" max="11" width="11.54296875" style="2" customWidth="1"/>
    <col min="12" max="12" width="11.54296875" style="111" customWidth="1"/>
    <col min="13" max="13" width="14.54296875" style="120" customWidth="1"/>
    <col min="14" max="14" width="14.54296875" style="306" customWidth="1"/>
    <col min="15" max="15" width="14.54296875" style="112" customWidth="1"/>
    <col min="16" max="17" width="14.54296875" style="106" customWidth="1"/>
    <col min="18" max="18" width="19.54296875" style="106" bestFit="1" customWidth="1"/>
    <col min="19" max="19" width="13.1796875" style="474" bestFit="1" customWidth="1"/>
    <col min="20" max="20" width="11.453125" style="65" bestFit="1" customWidth="1"/>
    <col min="21" max="21" width="12.1796875" style="65" customWidth="1"/>
    <col min="22" max="22" width="15.453125" bestFit="1" customWidth="1"/>
    <col min="24" max="24" width="10.453125" bestFit="1" customWidth="1"/>
  </cols>
  <sheetData>
    <row r="1" spans="1:27" s="63" customFormat="1" ht="42" customHeight="1" x14ac:dyDescent="0.35">
      <c r="A1" s="109" t="s">
        <v>375</v>
      </c>
      <c r="B1" s="113" t="s">
        <v>0</v>
      </c>
      <c r="C1" s="113" t="s">
        <v>6</v>
      </c>
      <c r="D1" s="310" t="s">
        <v>376</v>
      </c>
      <c r="E1" s="66" t="s">
        <v>932</v>
      </c>
      <c r="F1" s="109" t="s">
        <v>377</v>
      </c>
      <c r="G1" s="66" t="s">
        <v>378</v>
      </c>
      <c r="H1" s="109" t="s">
        <v>379</v>
      </c>
      <c r="I1" s="109" t="s">
        <v>584</v>
      </c>
      <c r="J1" s="109" t="s">
        <v>922</v>
      </c>
      <c r="K1" s="109" t="s">
        <v>585</v>
      </c>
      <c r="L1" s="108" t="s">
        <v>15</v>
      </c>
      <c r="M1" s="108" t="s">
        <v>16</v>
      </c>
      <c r="N1" s="304" t="s">
        <v>23</v>
      </c>
      <c r="O1" s="109" t="s">
        <v>1</v>
      </c>
      <c r="P1" s="109" t="s">
        <v>374</v>
      </c>
      <c r="Q1" s="109" t="s">
        <v>5</v>
      </c>
      <c r="R1" s="109" t="s">
        <v>1148</v>
      </c>
      <c r="S1" s="472" t="s">
        <v>380</v>
      </c>
      <c r="T1" s="66" t="s">
        <v>933</v>
      </c>
      <c r="U1" s="66" t="s">
        <v>934</v>
      </c>
      <c r="V1" s="534" t="s">
        <v>713</v>
      </c>
      <c r="AA1" s="64">
        <f>SUBTOTAL(3,A:A)-1</f>
        <v>0</v>
      </c>
    </row>
    <row r="2" spans="1:27" x14ac:dyDescent="0.35">
      <c r="D2" s="2"/>
      <c r="E2" s="52"/>
      <c r="F2" s="110"/>
      <c r="H2" s="2"/>
      <c r="L2" s="2"/>
      <c r="M2" s="2"/>
      <c r="N2" s="305"/>
      <c r="O2" s="2"/>
      <c r="P2" s="2"/>
      <c r="Q2" s="2"/>
      <c r="R2" s="2"/>
      <c r="S2" s="473"/>
      <c r="T2" s="8"/>
      <c r="U2" s="8"/>
      <c r="V2" s="8"/>
      <c r="X2" s="65"/>
    </row>
    <row r="3" spans="1:27" x14ac:dyDescent="0.35">
      <c r="D3" s="2"/>
      <c r="E3" s="52"/>
      <c r="F3" s="110"/>
      <c r="H3" s="2"/>
      <c r="L3" s="2"/>
      <c r="M3" s="2"/>
      <c r="N3" s="305"/>
      <c r="O3" s="2"/>
      <c r="P3" s="2"/>
      <c r="Q3" s="2"/>
      <c r="R3" s="2"/>
      <c r="S3" s="473"/>
      <c r="T3" s="8"/>
      <c r="U3" s="8"/>
      <c r="V3" s="4"/>
      <c r="X3" s="65"/>
    </row>
    <row r="4" spans="1:27" x14ac:dyDescent="0.35">
      <c r="D4" s="2"/>
      <c r="E4" s="52"/>
      <c r="F4" s="110"/>
      <c r="H4" s="2"/>
      <c r="L4" s="2"/>
      <c r="M4" s="2"/>
      <c r="N4" s="305"/>
      <c r="O4" s="2"/>
      <c r="P4" s="2"/>
      <c r="Q4" s="2"/>
      <c r="R4" s="2"/>
      <c r="S4" s="473"/>
      <c r="T4" s="8"/>
      <c r="U4" s="8"/>
      <c r="V4" s="4"/>
      <c r="X4" s="65"/>
    </row>
    <row r="5" spans="1:27" x14ac:dyDescent="0.35">
      <c r="D5" s="2"/>
      <c r="E5" s="52"/>
      <c r="F5" s="110"/>
      <c r="H5" s="2"/>
      <c r="L5" s="2"/>
      <c r="M5" s="2"/>
      <c r="N5" s="305"/>
      <c r="O5" s="2"/>
      <c r="P5" s="2"/>
      <c r="Q5" s="2"/>
      <c r="R5" s="2"/>
      <c r="S5" s="473"/>
      <c r="T5" s="8"/>
      <c r="U5" s="8"/>
      <c r="V5" s="4"/>
      <c r="X5" s="65"/>
    </row>
    <row r="6" spans="1:27" x14ac:dyDescent="0.35">
      <c r="D6" s="2"/>
      <c r="E6" s="52"/>
      <c r="F6" s="110"/>
      <c r="H6" s="2"/>
      <c r="L6" s="2"/>
      <c r="M6" s="2"/>
      <c r="N6" s="305"/>
      <c r="O6" s="2"/>
      <c r="P6" s="2"/>
      <c r="Q6" s="2"/>
      <c r="R6" s="2"/>
      <c r="S6" s="473"/>
      <c r="T6" s="8"/>
      <c r="U6" s="8"/>
      <c r="V6" s="4"/>
      <c r="X6" s="65"/>
    </row>
    <row r="7" spans="1:27" x14ac:dyDescent="0.35">
      <c r="X7" s="65"/>
    </row>
    <row r="8" spans="1:27" x14ac:dyDescent="0.35">
      <c r="X8" s="65"/>
    </row>
    <row r="9" spans="1:27" x14ac:dyDescent="0.35">
      <c r="X9" s="65"/>
    </row>
    <row r="10" spans="1:27" x14ac:dyDescent="0.35">
      <c r="X10" s="65"/>
    </row>
    <row r="11" spans="1:27" x14ac:dyDescent="0.35">
      <c r="X11" s="65"/>
    </row>
    <row r="19" spans="24:24" x14ac:dyDescent="0.35">
      <c r="X19" s="65"/>
    </row>
    <row r="20" spans="24:24" x14ac:dyDescent="0.35">
      <c r="X20" s="65"/>
    </row>
    <row r="21" spans="24:24" x14ac:dyDescent="0.35">
      <c r="X21" s="65"/>
    </row>
    <row r="22" spans="24:24" x14ac:dyDescent="0.35">
      <c r="X22" s="65"/>
    </row>
    <row r="23" spans="24:24" x14ac:dyDescent="0.35">
      <c r="X23" s="65"/>
    </row>
    <row r="24" spans="24:24" x14ac:dyDescent="0.35">
      <c r="X24" s="65"/>
    </row>
    <row r="25" spans="24:24" x14ac:dyDescent="0.35">
      <c r="X25" s="65"/>
    </row>
    <row r="26" spans="24:24" x14ac:dyDescent="0.35">
      <c r="X26" s="65"/>
    </row>
    <row r="27" spans="24:24" x14ac:dyDescent="0.35">
      <c r="X27" s="65"/>
    </row>
    <row r="28" spans="24:24" x14ac:dyDescent="0.35">
      <c r="X28" s="65"/>
    </row>
    <row r="29" spans="24:24" x14ac:dyDescent="0.35">
      <c r="X29" s="65"/>
    </row>
    <row r="30" spans="24:24" x14ac:dyDescent="0.35">
      <c r="X30" s="65"/>
    </row>
    <row r="31" spans="24:24" x14ac:dyDescent="0.35">
      <c r="X31" s="65"/>
    </row>
    <row r="32" spans="24:24" x14ac:dyDescent="0.35">
      <c r="X32" s="65"/>
    </row>
    <row r="33" spans="24:24" x14ac:dyDescent="0.35">
      <c r="X33" s="65"/>
    </row>
    <row r="34" spans="24:24" x14ac:dyDescent="0.35">
      <c r="X34" s="65"/>
    </row>
    <row r="35" spans="24:24" x14ac:dyDescent="0.35">
      <c r="X35" s="65"/>
    </row>
    <row r="36" spans="24:24" x14ac:dyDescent="0.35">
      <c r="X36" s="65"/>
    </row>
    <row r="37" spans="24:24" x14ac:dyDescent="0.35">
      <c r="X37" s="65"/>
    </row>
    <row r="38" spans="24:24" x14ac:dyDescent="0.35">
      <c r="X38" s="65"/>
    </row>
    <row r="39" spans="24:24" x14ac:dyDescent="0.35">
      <c r="X39" s="65"/>
    </row>
    <row r="40" spans="24:24" x14ac:dyDescent="0.35">
      <c r="X40" s="65"/>
    </row>
    <row r="41" spans="24:24" x14ac:dyDescent="0.35">
      <c r="X41" s="65"/>
    </row>
  </sheetData>
  <sortState xmlns:xlrd2="http://schemas.microsoft.com/office/spreadsheetml/2017/richdata2" ref="A2:V2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1"/>
  <dimension ref="A1:AV45"/>
  <sheetViews>
    <sheetView topLeftCell="G1" workbookViewId="0">
      <pane ySplit="1" topLeftCell="A2" activePane="bottomLeft" state="frozen"/>
      <selection activeCell="A2" sqref="A2:AP47"/>
      <selection pane="bottomLeft" activeCell="A2" sqref="A2:AT69"/>
    </sheetView>
  </sheetViews>
  <sheetFormatPr defaultColWidth="9.1796875" defaultRowHeight="14.5" x14ac:dyDescent="0.35"/>
  <cols>
    <col min="1" max="1" width="14.26953125" style="4" customWidth="1"/>
    <col min="2" max="2" width="14.26953125" style="67" customWidth="1"/>
    <col min="3" max="3" width="32.26953125" style="4" customWidth="1"/>
    <col min="4" max="4" width="14.26953125" style="4" customWidth="1"/>
    <col min="5" max="5" width="15.81640625" style="159" customWidth="1"/>
    <col min="6" max="6" width="14" style="4" bestFit="1" customWidth="1"/>
    <col min="7" max="7" width="63.453125" style="4" customWidth="1"/>
    <col min="8" max="8" width="14.26953125" style="8" customWidth="1"/>
    <col min="9" max="9" width="14.26953125" style="2" customWidth="1"/>
    <col min="10" max="10" width="14.26953125" style="111" customWidth="1"/>
    <col min="11" max="11" width="33.453125" style="111" customWidth="1"/>
    <col min="12" max="13" width="14.26953125" style="111" customWidth="1"/>
    <col min="14" max="14" width="11.54296875" style="162" customWidth="1"/>
    <col min="15" max="15" width="14.7265625" style="1" customWidth="1"/>
    <col min="16" max="16" width="14.26953125" style="7" customWidth="1"/>
    <col min="17" max="17" width="16" style="7" customWidth="1"/>
    <col min="18" max="18" width="22" style="1" bestFit="1" customWidth="1"/>
    <col min="19" max="19" width="33.453125" style="1" customWidth="1"/>
    <col min="20" max="20" width="12.1796875" style="106" customWidth="1"/>
    <col min="21" max="21" width="14.26953125" style="76" customWidth="1"/>
    <col min="22" max="22" width="14.26953125" style="1" customWidth="1"/>
    <col min="23" max="23" width="54.81640625" style="1" bestFit="1" customWidth="1"/>
    <col min="24" max="24" width="15.81640625" style="1" customWidth="1"/>
    <col min="25" max="25" width="15.81640625" style="893" customWidth="1"/>
    <col min="26" max="27" width="15.81640625" style="1" customWidth="1"/>
    <col min="28" max="28" width="14.26953125" style="7" customWidth="1"/>
    <col min="29" max="29" width="21.453125" style="106" customWidth="1"/>
    <col min="30" max="30" width="20.81640625" style="7" customWidth="1"/>
    <col min="31" max="31" width="25.453125" style="106" customWidth="1"/>
    <col min="32" max="32" width="21.1796875" style="7" customWidth="1"/>
    <col min="33" max="33" width="21.1796875" style="893" customWidth="1"/>
    <col min="34" max="34" width="21.7265625" style="577" customWidth="1"/>
    <col min="35" max="35" width="58.26953125" style="561" customWidth="1"/>
    <col min="36" max="36" width="20.1796875" style="7" bestFit="1" customWidth="1"/>
    <col min="37" max="37" width="12.7265625" customWidth="1"/>
    <col min="38" max="38" width="18" style="7" customWidth="1"/>
    <col min="39" max="39" width="18" customWidth="1"/>
    <col min="40" max="41" width="18" style="1" customWidth="1"/>
    <col min="42" max="42" width="14.81640625" style="75" customWidth="1"/>
    <col min="43" max="43" width="20.81640625" style="75" customWidth="1"/>
    <col min="44" max="46" width="20.81640625" customWidth="1"/>
    <col min="47" max="47" width="27.453125" customWidth="1"/>
  </cols>
  <sheetData>
    <row r="1" spans="1:48" s="64" customFormat="1" ht="42" customHeight="1" x14ac:dyDescent="0.35">
      <c r="A1" s="64" t="s">
        <v>375</v>
      </c>
      <c r="B1" s="64" t="s">
        <v>381</v>
      </c>
      <c r="C1" s="64" t="s">
        <v>382</v>
      </c>
      <c r="D1" s="64" t="s">
        <v>230</v>
      </c>
      <c r="E1" s="157" t="s">
        <v>383</v>
      </c>
      <c r="F1" s="64" t="s">
        <v>384</v>
      </c>
      <c r="G1" s="64" t="s">
        <v>229</v>
      </c>
      <c r="H1" s="64" t="s">
        <v>385</v>
      </c>
      <c r="I1" s="109" t="s">
        <v>386</v>
      </c>
      <c r="J1" s="108" t="s">
        <v>1053</v>
      </c>
      <c r="K1" s="108" t="s">
        <v>1125</v>
      </c>
      <c r="L1" s="108" t="s">
        <v>15</v>
      </c>
      <c r="M1" s="108" t="s">
        <v>16</v>
      </c>
      <c r="N1" s="64" t="s">
        <v>23</v>
      </c>
      <c r="O1" s="64" t="s">
        <v>387</v>
      </c>
      <c r="P1" s="66" t="s">
        <v>388</v>
      </c>
      <c r="Q1" s="66" t="s">
        <v>1134</v>
      </c>
      <c r="R1" s="64" t="s">
        <v>389</v>
      </c>
      <c r="S1" s="64" t="s">
        <v>1124</v>
      </c>
      <c r="T1" s="109" t="s">
        <v>390</v>
      </c>
      <c r="U1" s="77" t="s">
        <v>391</v>
      </c>
      <c r="V1" s="64" t="s">
        <v>713</v>
      </c>
      <c r="W1" s="64" t="s">
        <v>392</v>
      </c>
      <c r="X1" s="64" t="s">
        <v>393</v>
      </c>
      <c r="Y1" s="892" t="s">
        <v>394</v>
      </c>
      <c r="Z1" s="64" t="s">
        <v>395</v>
      </c>
      <c r="AA1" s="66" t="s">
        <v>931</v>
      </c>
      <c r="AB1" s="64" t="s">
        <v>396</v>
      </c>
      <c r="AC1" s="109" t="s">
        <v>1054</v>
      </c>
      <c r="AD1" s="64" t="s">
        <v>1055</v>
      </c>
      <c r="AE1" s="109" t="s">
        <v>1150</v>
      </c>
      <c r="AF1" s="64" t="s">
        <v>1149</v>
      </c>
      <c r="AG1" s="892" t="s">
        <v>1153</v>
      </c>
      <c r="AH1" s="576" t="s">
        <v>397</v>
      </c>
      <c r="AI1" s="5" t="s">
        <v>398</v>
      </c>
      <c r="AJ1" s="64" t="s">
        <v>399</v>
      </c>
      <c r="AK1" s="64" t="s">
        <v>400</v>
      </c>
      <c r="AL1" s="160" t="s">
        <v>812</v>
      </c>
      <c r="AM1" s="161" t="s">
        <v>813</v>
      </c>
      <c r="AN1" s="161" t="s">
        <v>814</v>
      </c>
      <c r="AO1" s="161" t="s">
        <v>815</v>
      </c>
      <c r="AP1" s="77" t="s">
        <v>1014</v>
      </c>
      <c r="AQ1" s="475" t="s">
        <v>1144</v>
      </c>
      <c r="AR1" s="475" t="s">
        <v>1145</v>
      </c>
      <c r="AS1" s="475" t="s">
        <v>1146</v>
      </c>
      <c r="AT1" s="475" t="s">
        <v>1147</v>
      </c>
      <c r="AV1" s="64">
        <f>COUNTA(orderHistory[order_no])+2</f>
        <v>2</v>
      </c>
    </row>
    <row r="2" spans="1:48" x14ac:dyDescent="0.35">
      <c r="A2" s="1"/>
      <c r="B2" s="76"/>
      <c r="C2" s="1"/>
      <c r="D2" s="1"/>
      <c r="E2" s="158"/>
      <c r="F2" s="1"/>
      <c r="G2" s="1"/>
      <c r="H2" s="7"/>
      <c r="I2" s="112"/>
      <c r="J2" s="120"/>
      <c r="K2" s="120"/>
      <c r="L2" s="120"/>
      <c r="M2" s="120"/>
      <c r="N2" s="532"/>
      <c r="R2" s="7"/>
      <c r="S2" s="7"/>
      <c r="T2" s="112"/>
      <c r="V2" s="76"/>
      <c r="X2" s="76"/>
      <c r="Z2" s="7"/>
      <c r="AA2" s="7"/>
      <c r="AC2" s="112"/>
      <c r="AE2" s="112"/>
      <c r="AI2" s="575"/>
      <c r="AK2" s="7"/>
      <c r="AM2" s="7"/>
      <c r="AN2" s="7"/>
      <c r="AO2" s="7"/>
      <c r="AP2" s="76"/>
      <c r="AQ2" s="7"/>
      <c r="AR2" s="7"/>
      <c r="AS2" s="7"/>
      <c r="AT2" s="7"/>
      <c r="AU2" s="7"/>
    </row>
    <row r="3" spans="1:48" x14ac:dyDescent="0.35">
      <c r="AU3" s="7"/>
    </row>
    <row r="4" spans="1:48" x14ac:dyDescent="0.35">
      <c r="AU4" s="7"/>
    </row>
    <row r="5" spans="1:48" x14ac:dyDescent="0.35">
      <c r="AU5" s="7"/>
    </row>
    <row r="6" spans="1:48" x14ac:dyDescent="0.35">
      <c r="AU6" s="7"/>
    </row>
    <row r="7" spans="1:48" x14ac:dyDescent="0.35">
      <c r="AU7" s="7"/>
    </row>
    <row r="8" spans="1:48" x14ac:dyDescent="0.35">
      <c r="AU8" s="7"/>
    </row>
    <row r="9" spans="1:48" x14ac:dyDescent="0.35">
      <c r="AU9" s="7"/>
    </row>
    <row r="10" spans="1:48" x14ac:dyDescent="0.35">
      <c r="AU10" s="7"/>
    </row>
    <row r="11" spans="1:48" x14ac:dyDescent="0.35">
      <c r="AU11" s="7"/>
    </row>
    <row r="12" spans="1:48" x14ac:dyDescent="0.35">
      <c r="AU12" s="7"/>
    </row>
    <row r="13" spans="1:48" x14ac:dyDescent="0.35">
      <c r="AU13" s="7"/>
    </row>
    <row r="14" spans="1:48" x14ac:dyDescent="0.35">
      <c r="AU14" s="7"/>
    </row>
    <row r="15" spans="1:48" x14ac:dyDescent="0.35">
      <c r="AU15" s="7"/>
    </row>
    <row r="16" spans="1:48" x14ac:dyDescent="0.35">
      <c r="AU16" s="7"/>
    </row>
    <row r="17" spans="47:47" x14ac:dyDescent="0.35">
      <c r="AU17" s="7"/>
    </row>
    <row r="18" spans="47:47" x14ac:dyDescent="0.35">
      <c r="AU18" s="7"/>
    </row>
    <row r="19" spans="47:47" x14ac:dyDescent="0.35">
      <c r="AU19" s="7"/>
    </row>
    <row r="20" spans="47:47" x14ac:dyDescent="0.35">
      <c r="AU20" s="7"/>
    </row>
    <row r="21" spans="47:47" x14ac:dyDescent="0.35">
      <c r="AU21" s="7"/>
    </row>
    <row r="22" spans="47:47" x14ac:dyDescent="0.35">
      <c r="AU22" s="7"/>
    </row>
    <row r="23" spans="47:47" x14ac:dyDescent="0.35">
      <c r="AU23" s="7"/>
    </row>
    <row r="24" spans="47:47" x14ac:dyDescent="0.35">
      <c r="AU24" s="7"/>
    </row>
    <row r="25" spans="47:47" x14ac:dyDescent="0.35">
      <c r="AU25" s="7"/>
    </row>
    <row r="26" spans="47:47" x14ac:dyDescent="0.35">
      <c r="AU26" s="7"/>
    </row>
    <row r="27" spans="47:47" x14ac:dyDescent="0.35">
      <c r="AU27" s="7"/>
    </row>
    <row r="28" spans="47:47" x14ac:dyDescent="0.35">
      <c r="AU28" s="7"/>
    </row>
    <row r="29" spans="47:47" x14ac:dyDescent="0.35">
      <c r="AU29" s="7"/>
    </row>
    <row r="30" spans="47:47" x14ac:dyDescent="0.35">
      <c r="AU30" s="7"/>
    </row>
    <row r="31" spans="47:47" x14ac:dyDescent="0.35">
      <c r="AU31" s="7"/>
    </row>
    <row r="32" spans="47:47" x14ac:dyDescent="0.35">
      <c r="AU32" s="7"/>
    </row>
    <row r="33" spans="47:47" x14ac:dyDescent="0.35">
      <c r="AU33" s="7"/>
    </row>
    <row r="34" spans="47:47" x14ac:dyDescent="0.35">
      <c r="AU34" s="7"/>
    </row>
    <row r="35" spans="47:47" x14ac:dyDescent="0.35">
      <c r="AU35" s="7"/>
    </row>
    <row r="36" spans="47:47" x14ac:dyDescent="0.35">
      <c r="AU36" s="7"/>
    </row>
    <row r="37" spans="47:47" x14ac:dyDescent="0.35">
      <c r="AU37" s="7"/>
    </row>
    <row r="38" spans="47:47" x14ac:dyDescent="0.35">
      <c r="AU38" s="7"/>
    </row>
    <row r="39" spans="47:47" x14ac:dyDescent="0.35">
      <c r="AU39" s="7"/>
    </row>
    <row r="40" spans="47:47" x14ac:dyDescent="0.35">
      <c r="AU40" s="7"/>
    </row>
    <row r="41" spans="47:47" x14ac:dyDescent="0.35">
      <c r="AU41" s="7"/>
    </row>
    <row r="42" spans="47:47" x14ac:dyDescent="0.35">
      <c r="AU42" s="7"/>
    </row>
    <row r="43" spans="47:47" x14ac:dyDescent="0.35">
      <c r="AU43" s="7"/>
    </row>
    <row r="44" spans="47:47" x14ac:dyDescent="0.35">
      <c r="AU44" s="7"/>
    </row>
    <row r="45" spans="47:47" x14ac:dyDescent="0.35">
      <c r="AU45" s="7"/>
    </row>
  </sheetData>
  <dataConsolidate/>
  <phoneticPr fontId="6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5"/>
  <dimension ref="A1:M301"/>
  <sheetViews>
    <sheetView topLeftCell="A151" zoomScale="90" zoomScaleNormal="90" workbookViewId="0">
      <selection activeCell="I15" sqref="I15"/>
    </sheetView>
  </sheetViews>
  <sheetFormatPr defaultRowHeight="14.5" x14ac:dyDescent="0.35"/>
  <cols>
    <col min="1" max="1" width="12" style="1" customWidth="1"/>
    <col min="2" max="2" width="68.1796875" bestFit="1" customWidth="1"/>
    <col min="3" max="3" width="8.7265625" style="1" bestFit="1" customWidth="1"/>
    <col min="4" max="4" width="12.453125" style="1" customWidth="1"/>
    <col min="5" max="5" width="18.26953125" style="590" customWidth="1"/>
    <col min="8" max="8" width="9.81640625" bestFit="1" customWidth="1"/>
    <col min="9" max="9" width="61.7265625" bestFit="1" customWidth="1"/>
    <col min="10" max="10" width="10.26953125" bestFit="1" customWidth="1"/>
    <col min="11" max="11" width="16.26953125" bestFit="1" customWidth="1"/>
    <col min="13" max="13" width="15.453125" bestFit="1" customWidth="1"/>
  </cols>
  <sheetData>
    <row r="1" spans="1:13" s="1" customFormat="1" x14ac:dyDescent="0.35">
      <c r="A1" s="1" t="s">
        <v>405</v>
      </c>
      <c r="B1" s="1" t="s">
        <v>406</v>
      </c>
      <c r="C1" s="1" t="s">
        <v>407</v>
      </c>
      <c r="D1" s="112" t="s">
        <v>408</v>
      </c>
      <c r="E1" s="591" t="s">
        <v>409</v>
      </c>
      <c r="H1"/>
      <c r="I1"/>
      <c r="J1"/>
      <c r="K1" s="106"/>
      <c r="L1" s="593"/>
      <c r="M1" s="593"/>
    </row>
    <row r="2" spans="1:13" x14ac:dyDescent="0.35">
      <c r="A2" s="1" t="s">
        <v>1201</v>
      </c>
      <c r="B2" t="s">
        <v>1199</v>
      </c>
      <c r="C2" s="1" t="s">
        <v>410</v>
      </c>
      <c r="D2" s="112">
        <v>0</v>
      </c>
      <c r="E2" s="590" t="s">
        <v>914</v>
      </c>
      <c r="K2" s="106"/>
      <c r="L2" s="593"/>
      <c r="M2" s="593"/>
    </row>
    <row r="3" spans="1:13" x14ac:dyDescent="0.35">
      <c r="A3" s="1" t="s">
        <v>1200</v>
      </c>
      <c r="B3" t="s">
        <v>1198</v>
      </c>
      <c r="C3" s="1" t="s">
        <v>410</v>
      </c>
      <c r="D3" s="112">
        <v>0</v>
      </c>
      <c r="E3" s="590" t="s">
        <v>914</v>
      </c>
      <c r="K3" s="106"/>
      <c r="L3" s="593"/>
      <c r="M3" s="593"/>
    </row>
    <row r="4" spans="1:13" x14ac:dyDescent="0.35">
      <c r="A4" s="1" t="s">
        <v>1203</v>
      </c>
      <c r="B4" t="s">
        <v>1211</v>
      </c>
      <c r="C4" s="1" t="s">
        <v>410</v>
      </c>
      <c r="D4" s="112">
        <v>0</v>
      </c>
      <c r="E4" s="590" t="s">
        <v>914</v>
      </c>
      <c r="K4" s="106"/>
      <c r="L4" s="593"/>
      <c r="M4" s="593"/>
    </row>
    <row r="5" spans="1:13" x14ac:dyDescent="0.35">
      <c r="A5" s="1" t="s">
        <v>1206</v>
      </c>
      <c r="B5" t="s">
        <v>1214</v>
      </c>
      <c r="C5" s="1" t="s">
        <v>410</v>
      </c>
      <c r="D5" s="112">
        <v>0</v>
      </c>
      <c r="E5" s="590" t="s">
        <v>914</v>
      </c>
      <c r="K5" s="106"/>
      <c r="L5" s="593"/>
      <c r="M5" s="593"/>
    </row>
    <row r="6" spans="1:13" x14ac:dyDescent="0.35">
      <c r="A6" s="1" t="s">
        <v>1205</v>
      </c>
      <c r="B6" t="s">
        <v>1213</v>
      </c>
      <c r="C6" s="1" t="s">
        <v>410</v>
      </c>
      <c r="D6" s="112">
        <v>0</v>
      </c>
      <c r="E6" s="590" t="s">
        <v>914</v>
      </c>
      <c r="K6" s="106"/>
      <c r="L6" s="593"/>
      <c r="M6" s="593"/>
    </row>
    <row r="7" spans="1:13" x14ac:dyDescent="0.35">
      <c r="A7" s="1" t="s">
        <v>1204</v>
      </c>
      <c r="B7" t="s">
        <v>1212</v>
      </c>
      <c r="C7" s="1" t="s">
        <v>410</v>
      </c>
      <c r="D7" s="112">
        <v>0</v>
      </c>
      <c r="E7" s="590" t="s">
        <v>914</v>
      </c>
      <c r="K7" s="106"/>
      <c r="L7" s="593"/>
      <c r="M7" s="593"/>
    </row>
    <row r="8" spans="1:13" x14ac:dyDescent="0.35">
      <c r="A8" s="1" t="s">
        <v>1207</v>
      </c>
      <c r="B8" t="s">
        <v>1215</v>
      </c>
      <c r="C8" s="1" t="s">
        <v>410</v>
      </c>
      <c r="D8" s="112">
        <v>0</v>
      </c>
      <c r="E8" s="590" t="s">
        <v>914</v>
      </c>
      <c r="K8" s="106"/>
      <c r="L8" s="593"/>
      <c r="M8" s="593"/>
    </row>
    <row r="9" spans="1:13" x14ac:dyDescent="0.35">
      <c r="A9" s="1" t="s">
        <v>1210</v>
      </c>
      <c r="B9" t="s">
        <v>1218</v>
      </c>
      <c r="C9" s="1" t="s">
        <v>410</v>
      </c>
      <c r="D9" s="112">
        <v>0</v>
      </c>
      <c r="E9" s="592" t="s">
        <v>914</v>
      </c>
      <c r="K9" s="106"/>
      <c r="L9" s="593"/>
      <c r="M9" s="593"/>
    </row>
    <row r="10" spans="1:13" x14ac:dyDescent="0.35">
      <c r="A10" s="1" t="s">
        <v>1209</v>
      </c>
      <c r="B10" t="s">
        <v>1217</v>
      </c>
      <c r="C10" s="1" t="s">
        <v>410</v>
      </c>
      <c r="D10" s="112">
        <v>0</v>
      </c>
      <c r="E10" s="590" t="s">
        <v>914</v>
      </c>
      <c r="K10" s="106"/>
      <c r="L10" s="593"/>
      <c r="M10" s="593"/>
    </row>
    <row r="11" spans="1:13" x14ac:dyDescent="0.35">
      <c r="A11" s="1" t="s">
        <v>1208</v>
      </c>
      <c r="B11" t="s">
        <v>1216</v>
      </c>
      <c r="C11" s="1" t="s">
        <v>410</v>
      </c>
      <c r="D11" s="112">
        <v>0</v>
      </c>
      <c r="E11" s="590" t="s">
        <v>914</v>
      </c>
      <c r="K11" s="106"/>
      <c r="L11" s="593"/>
      <c r="M11" s="593"/>
    </row>
    <row r="12" spans="1:13" x14ac:dyDescent="0.35">
      <c r="A12" s="1" t="s">
        <v>45</v>
      </c>
      <c r="B12" t="s">
        <v>415</v>
      </c>
      <c r="C12" s="1" t="s">
        <v>410</v>
      </c>
      <c r="D12" s="112">
        <v>310</v>
      </c>
      <c r="E12" s="590">
        <v>6.16</v>
      </c>
      <c r="K12" s="106"/>
      <c r="L12" s="593"/>
      <c r="M12" s="593"/>
    </row>
    <row r="13" spans="1:13" x14ac:dyDescent="0.35">
      <c r="A13" s="1" t="s">
        <v>51</v>
      </c>
      <c r="B13" t="s">
        <v>418</v>
      </c>
      <c r="C13" s="1" t="s">
        <v>410</v>
      </c>
      <c r="D13" s="112">
        <v>12</v>
      </c>
      <c r="E13" s="590">
        <v>6.16</v>
      </c>
      <c r="K13" s="106"/>
      <c r="L13" s="593"/>
      <c r="M13" s="593"/>
    </row>
    <row r="14" spans="1:13" x14ac:dyDescent="0.35">
      <c r="A14" s="1" t="s">
        <v>49</v>
      </c>
      <c r="B14" t="s">
        <v>417</v>
      </c>
      <c r="C14" s="1" t="s">
        <v>410</v>
      </c>
      <c r="D14" s="112">
        <v>310</v>
      </c>
      <c r="E14" s="590">
        <v>6.16</v>
      </c>
      <c r="K14" s="106"/>
      <c r="L14" s="593"/>
      <c r="M14" s="593"/>
    </row>
    <row r="15" spans="1:13" x14ac:dyDescent="0.35">
      <c r="A15" s="1" t="s">
        <v>47</v>
      </c>
      <c r="B15" t="s">
        <v>416</v>
      </c>
      <c r="C15" s="1" t="s">
        <v>410</v>
      </c>
      <c r="D15" s="112">
        <v>298</v>
      </c>
      <c r="E15" s="590">
        <v>6.16</v>
      </c>
      <c r="K15" s="106"/>
      <c r="L15" s="593"/>
      <c r="M15" s="593"/>
    </row>
    <row r="16" spans="1:13" x14ac:dyDescent="0.35">
      <c r="A16" s="1" t="s">
        <v>53</v>
      </c>
      <c r="B16" t="s">
        <v>735</v>
      </c>
      <c r="C16" s="1" t="s">
        <v>410</v>
      </c>
      <c r="D16" s="112">
        <v>12</v>
      </c>
      <c r="E16" s="590">
        <v>6.16</v>
      </c>
      <c r="K16" s="106"/>
      <c r="L16" s="593"/>
      <c r="M16" s="593"/>
    </row>
    <row r="17" spans="1:13" x14ac:dyDescent="0.35">
      <c r="A17" s="1" t="s">
        <v>59</v>
      </c>
      <c r="B17" t="s">
        <v>421</v>
      </c>
      <c r="C17" s="1" t="s">
        <v>410</v>
      </c>
      <c r="D17" s="112">
        <v>334</v>
      </c>
      <c r="E17" s="590">
        <v>6.16</v>
      </c>
      <c r="K17" s="106"/>
      <c r="L17" s="593"/>
      <c r="M17" s="593"/>
    </row>
    <row r="18" spans="1:13" x14ac:dyDescent="0.35">
      <c r="A18" s="1" t="s">
        <v>57</v>
      </c>
      <c r="B18" t="s">
        <v>420</v>
      </c>
      <c r="C18" s="1" t="s">
        <v>410</v>
      </c>
      <c r="D18" s="112">
        <v>286</v>
      </c>
      <c r="E18" s="590">
        <v>6.16</v>
      </c>
      <c r="K18" s="106"/>
      <c r="L18" s="593"/>
      <c r="M18" s="593"/>
    </row>
    <row r="19" spans="1:13" x14ac:dyDescent="0.35">
      <c r="A19" s="1" t="s">
        <v>55</v>
      </c>
      <c r="B19" t="s">
        <v>419</v>
      </c>
      <c r="C19" s="1" t="s">
        <v>410</v>
      </c>
      <c r="D19" s="112">
        <v>286</v>
      </c>
      <c r="E19" s="590">
        <v>6.16</v>
      </c>
      <c r="K19" s="106"/>
      <c r="L19" s="593"/>
      <c r="M19" s="593"/>
    </row>
    <row r="20" spans="1:13" x14ac:dyDescent="0.35">
      <c r="A20" s="1" t="s">
        <v>458</v>
      </c>
      <c r="B20" t="s">
        <v>459</v>
      </c>
      <c r="C20" s="1" t="s">
        <v>410</v>
      </c>
      <c r="D20" s="112">
        <v>126</v>
      </c>
      <c r="E20" s="590">
        <v>0</v>
      </c>
      <c r="K20" s="106"/>
      <c r="L20" s="593"/>
      <c r="M20" s="593"/>
    </row>
    <row r="21" spans="1:13" x14ac:dyDescent="0.35">
      <c r="A21" s="1" t="s">
        <v>460</v>
      </c>
      <c r="B21" t="s">
        <v>461</v>
      </c>
      <c r="C21" s="1" t="s">
        <v>410</v>
      </c>
      <c r="D21" s="112">
        <v>324</v>
      </c>
      <c r="E21" s="590">
        <v>0</v>
      </c>
      <c r="K21" s="106"/>
      <c r="L21" s="593"/>
      <c r="M21" s="593"/>
    </row>
    <row r="22" spans="1:13" x14ac:dyDescent="0.35">
      <c r="A22" s="1" t="s">
        <v>802</v>
      </c>
      <c r="B22" t="s">
        <v>803</v>
      </c>
      <c r="C22" s="1" t="s">
        <v>410</v>
      </c>
      <c r="D22" s="112">
        <v>0</v>
      </c>
      <c r="E22" s="590" t="s">
        <v>914</v>
      </c>
      <c r="K22" s="106"/>
      <c r="L22" s="593"/>
      <c r="M22" s="593"/>
    </row>
    <row r="23" spans="1:13" x14ac:dyDescent="0.35">
      <c r="A23" s="1" t="s">
        <v>454</v>
      </c>
      <c r="B23" t="s">
        <v>455</v>
      </c>
      <c r="C23" s="1" t="s">
        <v>410</v>
      </c>
      <c r="D23" s="112">
        <v>29</v>
      </c>
      <c r="E23" s="590">
        <v>0</v>
      </c>
      <c r="K23" s="106"/>
      <c r="L23" s="593"/>
      <c r="M23" s="593"/>
    </row>
    <row r="24" spans="1:13" x14ac:dyDescent="0.35">
      <c r="A24" s="1" t="s">
        <v>456</v>
      </c>
      <c r="B24" t="s">
        <v>457</v>
      </c>
      <c r="C24" s="1" t="s">
        <v>410</v>
      </c>
      <c r="D24" s="112">
        <v>29</v>
      </c>
      <c r="E24" s="590">
        <v>0</v>
      </c>
      <c r="K24" s="106"/>
      <c r="L24" s="593"/>
      <c r="M24" s="593"/>
    </row>
    <row r="25" spans="1:13" x14ac:dyDescent="0.35">
      <c r="A25" s="1" t="s">
        <v>720</v>
      </c>
      <c r="B25" t="s">
        <v>721</v>
      </c>
      <c r="C25" s="1" t="s">
        <v>410</v>
      </c>
      <c r="D25" s="112">
        <v>0</v>
      </c>
      <c r="E25" s="590">
        <v>4.21</v>
      </c>
      <c r="K25" s="106"/>
      <c r="L25" s="593"/>
      <c r="M25" s="593"/>
    </row>
    <row r="26" spans="1:13" x14ac:dyDescent="0.35">
      <c r="A26" s="1" t="s">
        <v>718</v>
      </c>
      <c r="B26" t="s">
        <v>719</v>
      </c>
      <c r="C26" s="1" t="s">
        <v>410</v>
      </c>
      <c r="D26" s="112">
        <v>0</v>
      </c>
      <c r="E26" s="590">
        <v>4.21</v>
      </c>
      <c r="K26" s="106"/>
      <c r="L26" s="593"/>
      <c r="M26" s="593"/>
    </row>
    <row r="27" spans="1:13" x14ac:dyDescent="0.35">
      <c r="A27" s="1" t="s">
        <v>766</v>
      </c>
      <c r="B27" t="s">
        <v>774</v>
      </c>
      <c r="C27" s="1" t="s">
        <v>410</v>
      </c>
      <c r="D27" s="112">
        <v>106</v>
      </c>
      <c r="E27" s="590" t="s">
        <v>914</v>
      </c>
      <c r="K27" s="106"/>
      <c r="L27" s="593"/>
      <c r="M27" s="593"/>
    </row>
    <row r="28" spans="1:13" x14ac:dyDescent="0.35">
      <c r="A28" s="1" t="s">
        <v>778</v>
      </c>
      <c r="B28" t="s">
        <v>779</v>
      </c>
      <c r="C28" s="1" t="s">
        <v>410</v>
      </c>
      <c r="D28" s="112">
        <v>0</v>
      </c>
      <c r="E28" s="590" t="s">
        <v>914</v>
      </c>
      <c r="K28" s="106"/>
      <c r="L28" s="593"/>
      <c r="M28" s="593"/>
    </row>
    <row r="29" spans="1:13" x14ac:dyDescent="0.35">
      <c r="A29" s="1" t="s">
        <v>769</v>
      </c>
      <c r="B29" t="s">
        <v>777</v>
      </c>
      <c r="C29" s="1" t="s">
        <v>410</v>
      </c>
      <c r="D29" s="112">
        <v>256</v>
      </c>
      <c r="E29" s="590" t="s">
        <v>914</v>
      </c>
      <c r="K29" s="106"/>
      <c r="L29" s="593"/>
      <c r="M29" s="593"/>
    </row>
    <row r="30" spans="1:13" x14ac:dyDescent="0.35">
      <c r="A30" s="1" t="s">
        <v>784</v>
      </c>
      <c r="B30" t="s">
        <v>785</v>
      </c>
      <c r="C30" s="1" t="s">
        <v>410</v>
      </c>
      <c r="D30" s="112">
        <v>0</v>
      </c>
      <c r="E30" s="590" t="s">
        <v>914</v>
      </c>
      <c r="K30" s="106"/>
      <c r="L30" s="593"/>
      <c r="M30" s="593"/>
    </row>
    <row r="31" spans="1:13" x14ac:dyDescent="0.35">
      <c r="A31" s="1" t="s">
        <v>768</v>
      </c>
      <c r="B31" t="s">
        <v>776</v>
      </c>
      <c r="C31" s="1" t="s">
        <v>410</v>
      </c>
      <c r="D31" s="112">
        <v>66</v>
      </c>
      <c r="E31" s="590" t="s">
        <v>914</v>
      </c>
      <c r="K31" s="106"/>
      <c r="L31" s="593"/>
      <c r="M31" s="593"/>
    </row>
    <row r="32" spans="1:13" x14ac:dyDescent="0.35">
      <c r="A32" s="1" t="s">
        <v>782</v>
      </c>
      <c r="B32" t="s">
        <v>783</v>
      </c>
      <c r="C32" s="1" t="s">
        <v>410</v>
      </c>
      <c r="D32" s="112">
        <v>0</v>
      </c>
      <c r="E32" s="590" t="s">
        <v>914</v>
      </c>
      <c r="K32" s="106"/>
      <c r="L32" s="593"/>
      <c r="M32" s="593"/>
    </row>
    <row r="33" spans="1:13" x14ac:dyDescent="0.35">
      <c r="A33" s="1" t="s">
        <v>767</v>
      </c>
      <c r="B33" t="s">
        <v>775</v>
      </c>
      <c r="C33" s="1" t="s">
        <v>410</v>
      </c>
      <c r="D33" s="112">
        <v>256</v>
      </c>
      <c r="E33" s="590" t="s">
        <v>914</v>
      </c>
      <c r="K33" s="106"/>
      <c r="L33" s="593"/>
      <c r="M33" s="593"/>
    </row>
    <row r="34" spans="1:13" x14ac:dyDescent="0.35">
      <c r="A34" s="1" t="s">
        <v>780</v>
      </c>
      <c r="B34" t="s">
        <v>781</v>
      </c>
      <c r="C34" s="1" t="s">
        <v>410</v>
      </c>
      <c r="D34" s="112">
        <v>0</v>
      </c>
      <c r="E34" s="590" t="s">
        <v>914</v>
      </c>
      <c r="K34" s="106"/>
      <c r="L34" s="593"/>
      <c r="M34" s="593"/>
    </row>
    <row r="35" spans="1:13" x14ac:dyDescent="0.35">
      <c r="A35" s="1" t="s">
        <v>770</v>
      </c>
      <c r="B35" t="s">
        <v>794</v>
      </c>
      <c r="C35" s="1" t="s">
        <v>410</v>
      </c>
      <c r="D35" s="112">
        <v>46</v>
      </c>
      <c r="E35" s="590" t="s">
        <v>914</v>
      </c>
      <c r="K35" s="106"/>
      <c r="L35" s="593"/>
      <c r="M35" s="593"/>
    </row>
    <row r="36" spans="1:13" x14ac:dyDescent="0.35">
      <c r="A36" s="1" t="s">
        <v>786</v>
      </c>
      <c r="B36" t="s">
        <v>787</v>
      </c>
      <c r="C36" s="1" t="s">
        <v>410</v>
      </c>
      <c r="D36" s="112">
        <v>0</v>
      </c>
      <c r="E36" s="590" t="s">
        <v>914</v>
      </c>
      <c r="K36" s="106"/>
      <c r="L36" s="593"/>
      <c r="M36" s="593"/>
    </row>
    <row r="37" spans="1:13" x14ac:dyDescent="0.35">
      <c r="A37" s="1" t="s">
        <v>773</v>
      </c>
      <c r="B37" t="s">
        <v>797</v>
      </c>
      <c r="C37" s="1" t="s">
        <v>410</v>
      </c>
      <c r="D37" s="112">
        <v>6</v>
      </c>
      <c r="E37" s="590" t="s">
        <v>914</v>
      </c>
      <c r="K37" s="106"/>
      <c r="L37" s="593"/>
      <c r="M37" s="593"/>
    </row>
    <row r="38" spans="1:13" x14ac:dyDescent="0.35">
      <c r="A38" s="1" t="s">
        <v>792</v>
      </c>
      <c r="B38" t="s">
        <v>793</v>
      </c>
      <c r="C38" s="1" t="s">
        <v>410</v>
      </c>
      <c r="D38" s="112">
        <v>0</v>
      </c>
      <c r="E38" s="590" t="s">
        <v>914</v>
      </c>
      <c r="K38" s="106"/>
      <c r="L38" s="593"/>
      <c r="M38" s="593"/>
    </row>
    <row r="39" spans="1:13" x14ac:dyDescent="0.35">
      <c r="A39" s="1" t="s">
        <v>772</v>
      </c>
      <c r="B39" t="s">
        <v>796</v>
      </c>
      <c r="C39" s="1" t="s">
        <v>410</v>
      </c>
      <c r="D39" s="112">
        <v>6</v>
      </c>
      <c r="E39" s="590" t="s">
        <v>914</v>
      </c>
      <c r="K39" s="106"/>
      <c r="L39" s="593"/>
      <c r="M39" s="593"/>
    </row>
    <row r="40" spans="1:13" x14ac:dyDescent="0.35">
      <c r="A40" s="1" t="s">
        <v>790</v>
      </c>
      <c r="B40" t="s">
        <v>791</v>
      </c>
      <c r="C40" s="1" t="s">
        <v>410</v>
      </c>
      <c r="D40" s="112">
        <v>0</v>
      </c>
      <c r="E40" s="590" t="s">
        <v>914</v>
      </c>
      <c r="K40" s="106"/>
      <c r="L40" s="593"/>
      <c r="M40" s="593"/>
    </row>
    <row r="41" spans="1:13" x14ac:dyDescent="0.35">
      <c r="A41" s="1" t="s">
        <v>771</v>
      </c>
      <c r="B41" t="s">
        <v>795</v>
      </c>
      <c r="C41" s="1" t="s">
        <v>410</v>
      </c>
      <c r="D41" s="112">
        <v>6</v>
      </c>
      <c r="E41" s="590" t="s">
        <v>914</v>
      </c>
      <c r="K41" s="106"/>
      <c r="L41" s="593"/>
      <c r="M41" s="593"/>
    </row>
    <row r="42" spans="1:13" x14ac:dyDescent="0.35">
      <c r="A42" s="1" t="s">
        <v>788</v>
      </c>
      <c r="B42" t="s">
        <v>789</v>
      </c>
      <c r="C42" s="1" t="s">
        <v>410</v>
      </c>
      <c r="D42" s="112">
        <v>0</v>
      </c>
      <c r="E42" s="590" t="s">
        <v>914</v>
      </c>
      <c r="K42" s="106"/>
      <c r="L42" s="593"/>
      <c r="M42" s="593"/>
    </row>
    <row r="43" spans="1:13" x14ac:dyDescent="0.35">
      <c r="A43" s="1" t="s">
        <v>95</v>
      </c>
      <c r="B43" t="s">
        <v>432</v>
      </c>
      <c r="C43" s="1" t="s">
        <v>410</v>
      </c>
      <c r="D43" s="112">
        <v>3000</v>
      </c>
      <c r="E43" s="590">
        <v>15.89</v>
      </c>
      <c r="K43" s="106"/>
      <c r="L43" s="593"/>
      <c r="M43" s="593"/>
    </row>
    <row r="44" spans="1:13" x14ac:dyDescent="0.35">
      <c r="A44" s="1" t="s">
        <v>422</v>
      </c>
      <c r="B44" t="s">
        <v>423</v>
      </c>
      <c r="C44" s="1" t="s">
        <v>410</v>
      </c>
      <c r="D44" s="112">
        <v>0</v>
      </c>
      <c r="E44" s="590">
        <v>0</v>
      </c>
      <c r="K44" s="106"/>
      <c r="L44" s="593"/>
      <c r="M44" s="593"/>
    </row>
    <row r="45" spans="1:13" x14ac:dyDescent="0.35">
      <c r="A45" s="1" t="s">
        <v>79</v>
      </c>
      <c r="B45" t="s">
        <v>80</v>
      </c>
      <c r="C45" s="1" t="s">
        <v>410</v>
      </c>
      <c r="D45" s="112">
        <v>0</v>
      </c>
      <c r="E45" s="590">
        <v>6.16</v>
      </c>
      <c r="K45" s="106"/>
      <c r="L45" s="593"/>
      <c r="M45" s="593"/>
    </row>
    <row r="46" spans="1:13" x14ac:dyDescent="0.35">
      <c r="A46" s="1" t="s">
        <v>24</v>
      </c>
      <c r="B46" t="s">
        <v>27</v>
      </c>
      <c r="C46" s="1" t="s">
        <v>410</v>
      </c>
      <c r="D46" s="112">
        <v>423</v>
      </c>
      <c r="E46" s="590">
        <v>5.23</v>
      </c>
      <c r="K46" s="106"/>
      <c r="L46" s="593"/>
      <c r="M46" s="593"/>
    </row>
    <row r="47" spans="1:13" x14ac:dyDescent="0.35">
      <c r="A47" s="1" t="s">
        <v>411</v>
      </c>
      <c r="B47" t="s">
        <v>412</v>
      </c>
      <c r="C47" s="1" t="s">
        <v>410</v>
      </c>
      <c r="D47" s="112">
        <v>0</v>
      </c>
      <c r="E47" s="590">
        <v>4.0999999999999996</v>
      </c>
      <c r="K47" s="106"/>
      <c r="L47" s="593"/>
      <c r="M47" s="593"/>
    </row>
    <row r="48" spans="1:13" x14ac:dyDescent="0.35">
      <c r="A48" s="1" t="s">
        <v>85</v>
      </c>
      <c r="B48" t="s">
        <v>86</v>
      </c>
      <c r="C48" s="1" t="s">
        <v>410</v>
      </c>
      <c r="D48" s="112">
        <v>0</v>
      </c>
      <c r="E48" s="590">
        <v>6.16</v>
      </c>
      <c r="K48" s="106"/>
      <c r="L48" s="593"/>
      <c r="M48" s="593"/>
    </row>
    <row r="49" spans="1:13" x14ac:dyDescent="0.35">
      <c r="A49" s="1" t="s">
        <v>34</v>
      </c>
      <c r="B49" t="s">
        <v>35</v>
      </c>
      <c r="C49" s="1" t="s">
        <v>410</v>
      </c>
      <c r="D49" s="112">
        <v>461</v>
      </c>
      <c r="E49" s="590">
        <v>5.23</v>
      </c>
      <c r="K49" s="106"/>
      <c r="L49" s="593"/>
      <c r="M49" s="593"/>
    </row>
    <row r="50" spans="1:13" x14ac:dyDescent="0.35">
      <c r="A50" s="1" t="s">
        <v>83</v>
      </c>
      <c r="B50" t="s">
        <v>84</v>
      </c>
      <c r="C50" s="1" t="s">
        <v>410</v>
      </c>
      <c r="D50" s="112">
        <v>0</v>
      </c>
      <c r="E50" s="590">
        <v>6.16</v>
      </c>
      <c r="K50" s="106"/>
      <c r="L50" s="593"/>
      <c r="M50" s="593"/>
    </row>
    <row r="51" spans="1:13" x14ac:dyDescent="0.35">
      <c r="A51" s="1" t="s">
        <v>32</v>
      </c>
      <c r="B51" t="s">
        <v>33</v>
      </c>
      <c r="C51" s="1" t="s">
        <v>410</v>
      </c>
      <c r="D51" s="112">
        <v>461</v>
      </c>
      <c r="E51" s="590">
        <v>5.23</v>
      </c>
      <c r="K51" s="106"/>
      <c r="L51" s="593"/>
      <c r="M51" s="593"/>
    </row>
    <row r="52" spans="1:13" x14ac:dyDescent="0.35">
      <c r="A52" s="1" t="s">
        <v>81</v>
      </c>
      <c r="B52" t="s">
        <v>82</v>
      </c>
      <c r="C52" s="1" t="s">
        <v>410</v>
      </c>
      <c r="D52" s="112">
        <v>0</v>
      </c>
      <c r="E52" s="590">
        <v>6.16</v>
      </c>
      <c r="K52" s="106"/>
      <c r="L52" s="593"/>
      <c r="M52" s="593"/>
    </row>
    <row r="53" spans="1:13" x14ac:dyDescent="0.35">
      <c r="A53" s="1" t="s">
        <v>30</v>
      </c>
      <c r="B53" t="s">
        <v>31</v>
      </c>
      <c r="C53" s="1" t="s">
        <v>410</v>
      </c>
      <c r="D53" s="112">
        <v>267</v>
      </c>
      <c r="E53" s="590">
        <v>5.23</v>
      </c>
      <c r="K53" s="106"/>
      <c r="L53" s="593"/>
      <c r="M53" s="593"/>
    </row>
    <row r="54" spans="1:13" x14ac:dyDescent="0.35">
      <c r="A54" s="1" t="s">
        <v>87</v>
      </c>
      <c r="B54" t="s">
        <v>88</v>
      </c>
      <c r="C54" s="1" t="s">
        <v>410</v>
      </c>
      <c r="D54" s="112">
        <v>0</v>
      </c>
      <c r="E54" s="590">
        <v>6.16</v>
      </c>
      <c r="K54" s="106"/>
      <c r="L54" s="593"/>
      <c r="M54" s="593"/>
    </row>
    <row r="55" spans="1:13" x14ac:dyDescent="0.35">
      <c r="A55" s="1" t="s">
        <v>36</v>
      </c>
      <c r="B55" t="s">
        <v>38</v>
      </c>
      <c r="C55" s="1" t="s">
        <v>410</v>
      </c>
      <c r="D55" s="112">
        <v>496</v>
      </c>
      <c r="E55" s="590">
        <v>5.23</v>
      </c>
      <c r="K55" s="106"/>
      <c r="L55" s="593"/>
      <c r="M55" s="593"/>
    </row>
    <row r="56" spans="1:13" x14ac:dyDescent="0.35">
      <c r="A56" s="1" t="s">
        <v>413</v>
      </c>
      <c r="B56" t="s">
        <v>414</v>
      </c>
      <c r="C56" s="1" t="s">
        <v>410</v>
      </c>
      <c r="D56" s="112">
        <v>0</v>
      </c>
      <c r="E56" s="590">
        <v>4.0999999999999996</v>
      </c>
      <c r="K56" s="106"/>
      <c r="L56" s="593"/>
      <c r="M56" s="593"/>
    </row>
    <row r="57" spans="1:13" x14ac:dyDescent="0.35">
      <c r="A57" s="1" t="s">
        <v>93</v>
      </c>
      <c r="B57" t="s">
        <v>94</v>
      </c>
      <c r="C57" s="1" t="s">
        <v>410</v>
      </c>
      <c r="D57" s="112">
        <v>0</v>
      </c>
      <c r="E57" s="590">
        <v>6.16</v>
      </c>
      <c r="K57" s="106"/>
      <c r="L57" s="593"/>
      <c r="M57" s="593"/>
    </row>
    <row r="58" spans="1:13" x14ac:dyDescent="0.35">
      <c r="A58" s="1" t="s">
        <v>43</v>
      </c>
      <c r="B58" t="s">
        <v>44</v>
      </c>
      <c r="C58" s="1" t="s">
        <v>410</v>
      </c>
      <c r="D58" s="112">
        <v>520</v>
      </c>
      <c r="E58" s="590">
        <v>5.23</v>
      </c>
      <c r="K58" s="106"/>
      <c r="L58" s="593"/>
      <c r="M58" s="593"/>
    </row>
    <row r="59" spans="1:13" x14ac:dyDescent="0.35">
      <c r="A59" s="1" t="s">
        <v>91</v>
      </c>
      <c r="B59" t="s">
        <v>92</v>
      </c>
      <c r="C59" s="1" t="s">
        <v>410</v>
      </c>
      <c r="D59" s="112">
        <v>0</v>
      </c>
      <c r="E59" s="590">
        <v>6.16</v>
      </c>
      <c r="K59" s="106"/>
      <c r="L59" s="593"/>
      <c r="M59" s="593"/>
    </row>
    <row r="60" spans="1:13" x14ac:dyDescent="0.35">
      <c r="A60" s="1" t="s">
        <v>41</v>
      </c>
      <c r="B60" t="s">
        <v>42</v>
      </c>
      <c r="C60" s="1" t="s">
        <v>410</v>
      </c>
      <c r="D60" s="112">
        <v>497</v>
      </c>
      <c r="E60" s="590">
        <v>5.23</v>
      </c>
      <c r="K60" s="106"/>
      <c r="L60" s="593"/>
      <c r="M60" s="593"/>
    </row>
    <row r="61" spans="1:13" x14ac:dyDescent="0.35">
      <c r="A61" s="1" t="s">
        <v>89</v>
      </c>
      <c r="B61" t="s">
        <v>90</v>
      </c>
      <c r="C61" s="1" t="s">
        <v>410</v>
      </c>
      <c r="D61" s="112">
        <v>0</v>
      </c>
      <c r="E61" s="590">
        <v>6.16</v>
      </c>
      <c r="K61" s="106"/>
      <c r="L61" s="593"/>
      <c r="M61" s="593"/>
    </row>
    <row r="62" spans="1:13" x14ac:dyDescent="0.35">
      <c r="A62" s="1" t="s">
        <v>39</v>
      </c>
      <c r="B62" t="s">
        <v>40</v>
      </c>
      <c r="C62" s="1" t="s">
        <v>410</v>
      </c>
      <c r="D62" s="112">
        <v>327</v>
      </c>
      <c r="E62" s="590">
        <v>5.23</v>
      </c>
      <c r="K62" s="106"/>
      <c r="L62" s="593"/>
      <c r="M62" s="593"/>
    </row>
    <row r="63" spans="1:13" x14ac:dyDescent="0.35">
      <c r="B63" t="s">
        <v>97</v>
      </c>
      <c r="C63" s="1" t="s">
        <v>410</v>
      </c>
      <c r="D63" s="112">
        <v>0</v>
      </c>
      <c r="E63" s="590" t="s">
        <v>914</v>
      </c>
      <c r="K63" s="106"/>
      <c r="L63" s="593"/>
      <c r="M63" s="593"/>
    </row>
    <row r="64" spans="1:13" x14ac:dyDescent="0.35">
      <c r="A64" s="1" t="s">
        <v>424</v>
      </c>
      <c r="B64" t="s">
        <v>425</v>
      </c>
      <c r="C64" s="1" t="s">
        <v>410</v>
      </c>
      <c r="D64" s="112">
        <v>0</v>
      </c>
      <c r="E64" s="590">
        <v>0</v>
      </c>
      <c r="K64" s="106"/>
      <c r="L64" s="593"/>
      <c r="M64" s="593"/>
    </row>
    <row r="65" spans="1:13" x14ac:dyDescent="0.35">
      <c r="A65" s="1" t="s">
        <v>798</v>
      </c>
      <c r="B65" t="s">
        <v>799</v>
      </c>
      <c r="C65" s="1" t="s">
        <v>410</v>
      </c>
      <c r="D65" s="112">
        <v>0</v>
      </c>
      <c r="E65" s="590" t="s">
        <v>914</v>
      </c>
      <c r="K65" s="106"/>
      <c r="L65" s="593"/>
      <c r="M65" s="593"/>
    </row>
    <row r="66" spans="1:13" x14ac:dyDescent="0.35">
      <c r="A66" s="1" t="s">
        <v>800</v>
      </c>
      <c r="B66" t="s">
        <v>801</v>
      </c>
      <c r="C66" s="1" t="s">
        <v>410</v>
      </c>
      <c r="D66" s="112">
        <v>0</v>
      </c>
      <c r="E66" s="590" t="s">
        <v>914</v>
      </c>
      <c r="K66" s="106"/>
      <c r="L66" s="593"/>
      <c r="M66" s="593"/>
    </row>
    <row r="67" spans="1:13" x14ac:dyDescent="0.35">
      <c r="A67" s="1" t="s">
        <v>728</v>
      </c>
      <c r="B67" t="s">
        <v>729</v>
      </c>
      <c r="C67" s="1" t="s">
        <v>410</v>
      </c>
      <c r="D67" s="112">
        <v>0</v>
      </c>
      <c r="E67" s="590">
        <v>4.21</v>
      </c>
      <c r="K67" s="106"/>
      <c r="L67" s="593"/>
      <c r="M67" s="593"/>
    </row>
    <row r="68" spans="1:13" x14ac:dyDescent="0.35">
      <c r="A68" s="1" t="s">
        <v>188</v>
      </c>
      <c r="B68" t="s">
        <v>190</v>
      </c>
      <c r="C68" s="1" t="s">
        <v>410</v>
      </c>
      <c r="D68" s="112">
        <v>0</v>
      </c>
      <c r="E68" s="590">
        <v>0.93</v>
      </c>
      <c r="K68" s="106"/>
      <c r="L68" s="593"/>
      <c r="M68" s="593"/>
    </row>
    <row r="69" spans="1:13" x14ac:dyDescent="0.35">
      <c r="A69" s="1" t="s">
        <v>195</v>
      </c>
      <c r="B69" t="s">
        <v>196</v>
      </c>
      <c r="C69" s="1" t="s">
        <v>410</v>
      </c>
      <c r="D69" s="112">
        <v>0</v>
      </c>
      <c r="E69" s="590">
        <v>0.93</v>
      </c>
      <c r="K69" s="106"/>
      <c r="L69" s="593"/>
      <c r="M69" s="593"/>
    </row>
    <row r="70" spans="1:13" x14ac:dyDescent="0.35">
      <c r="A70" s="1" t="s">
        <v>193</v>
      </c>
      <c r="B70" t="s">
        <v>194</v>
      </c>
      <c r="C70" s="1" t="s">
        <v>410</v>
      </c>
      <c r="D70" s="112">
        <v>0</v>
      </c>
      <c r="E70" s="590">
        <v>0.93</v>
      </c>
      <c r="K70" s="106"/>
      <c r="L70" s="593"/>
      <c r="M70" s="593"/>
    </row>
    <row r="71" spans="1:13" x14ac:dyDescent="0.35">
      <c r="A71" s="1" t="s">
        <v>191</v>
      </c>
      <c r="B71" t="s">
        <v>192</v>
      </c>
      <c r="C71" s="1" t="s">
        <v>410</v>
      </c>
      <c r="D71" s="112">
        <v>0</v>
      </c>
      <c r="E71" s="590">
        <v>0.93</v>
      </c>
      <c r="K71" s="106"/>
      <c r="L71" s="593"/>
      <c r="M71" s="593"/>
    </row>
    <row r="72" spans="1:13" x14ac:dyDescent="0.35">
      <c r="A72" s="1" t="s">
        <v>722</v>
      </c>
      <c r="B72" t="s">
        <v>723</v>
      </c>
      <c r="C72" s="1" t="s">
        <v>410</v>
      </c>
      <c r="D72" s="112">
        <v>0</v>
      </c>
      <c r="E72" s="590">
        <v>4.21</v>
      </c>
      <c r="K72" s="106"/>
      <c r="L72" s="593"/>
      <c r="M72" s="593"/>
    </row>
    <row r="73" spans="1:13" x14ac:dyDescent="0.35">
      <c r="A73" s="1" t="s">
        <v>724</v>
      </c>
      <c r="B73" t="s">
        <v>725</v>
      </c>
      <c r="C73" s="1" t="s">
        <v>410</v>
      </c>
      <c r="D73" s="112">
        <v>0</v>
      </c>
      <c r="E73" s="590">
        <v>4.21</v>
      </c>
      <c r="K73" s="106"/>
      <c r="L73" s="593"/>
      <c r="M73" s="593"/>
    </row>
    <row r="74" spans="1:13" x14ac:dyDescent="0.35">
      <c r="A74" s="1" t="s">
        <v>444</v>
      </c>
      <c r="B74" t="s">
        <v>445</v>
      </c>
      <c r="C74" s="1" t="s">
        <v>410</v>
      </c>
      <c r="D74" s="112">
        <v>0</v>
      </c>
      <c r="E74" s="590">
        <v>3.72</v>
      </c>
      <c r="K74" s="106"/>
      <c r="L74" s="593"/>
      <c r="M74" s="593"/>
    </row>
    <row r="75" spans="1:13" x14ac:dyDescent="0.35">
      <c r="A75" s="1" t="s">
        <v>125</v>
      </c>
      <c r="B75" t="s">
        <v>126</v>
      </c>
      <c r="C75" s="1" t="s">
        <v>410</v>
      </c>
      <c r="D75" s="112">
        <v>1937</v>
      </c>
      <c r="E75" s="590">
        <v>11.68</v>
      </c>
      <c r="K75" s="106"/>
      <c r="L75" s="593"/>
      <c r="M75" s="593"/>
    </row>
    <row r="76" spans="1:13" x14ac:dyDescent="0.35">
      <c r="A76" s="1" t="s">
        <v>123</v>
      </c>
      <c r="B76" t="s">
        <v>124</v>
      </c>
      <c r="C76" s="1" t="s">
        <v>410</v>
      </c>
      <c r="D76" s="112">
        <v>2226</v>
      </c>
      <c r="E76" s="590">
        <v>11.68</v>
      </c>
      <c r="K76" s="106"/>
      <c r="L76" s="593"/>
      <c r="M76" s="593"/>
    </row>
    <row r="77" spans="1:13" x14ac:dyDescent="0.35">
      <c r="A77" s="1" t="s">
        <v>117</v>
      </c>
      <c r="B77" t="s">
        <v>118</v>
      </c>
      <c r="C77" s="1" t="s">
        <v>410</v>
      </c>
      <c r="D77" s="112">
        <v>2925</v>
      </c>
      <c r="E77" s="590">
        <v>11.68</v>
      </c>
      <c r="K77" s="106"/>
      <c r="L77" s="593"/>
      <c r="M77" s="593"/>
    </row>
    <row r="78" spans="1:13" x14ac:dyDescent="0.35">
      <c r="A78" s="1" t="s">
        <v>148</v>
      </c>
      <c r="B78" t="s">
        <v>149</v>
      </c>
      <c r="C78" s="1" t="s">
        <v>410</v>
      </c>
      <c r="D78" s="112">
        <v>0</v>
      </c>
      <c r="E78" s="590">
        <v>11.68</v>
      </c>
      <c r="K78" s="106"/>
      <c r="L78" s="593"/>
      <c r="M78" s="593"/>
    </row>
    <row r="79" spans="1:13" x14ac:dyDescent="0.35">
      <c r="A79" s="1" t="s">
        <v>127</v>
      </c>
      <c r="B79" t="s">
        <v>128</v>
      </c>
      <c r="C79" s="1" t="s">
        <v>410</v>
      </c>
      <c r="D79" s="112">
        <v>3370</v>
      </c>
      <c r="E79" s="590">
        <v>11.68</v>
      </c>
      <c r="K79" s="106"/>
      <c r="L79" s="593"/>
      <c r="M79" s="593"/>
    </row>
    <row r="80" spans="1:13" x14ac:dyDescent="0.35">
      <c r="A80" s="1" t="s">
        <v>129</v>
      </c>
      <c r="B80" t="s">
        <v>130</v>
      </c>
      <c r="C80" s="1" t="s">
        <v>410</v>
      </c>
      <c r="D80" s="112">
        <v>4040</v>
      </c>
      <c r="E80" s="590">
        <v>11.68</v>
      </c>
      <c r="K80" s="106"/>
      <c r="L80" s="593"/>
      <c r="M80" s="593"/>
    </row>
    <row r="81" spans="1:13" x14ac:dyDescent="0.35">
      <c r="A81" s="1" t="s">
        <v>150</v>
      </c>
      <c r="B81" t="s">
        <v>151</v>
      </c>
      <c r="C81" s="1" t="s">
        <v>410</v>
      </c>
      <c r="D81" s="112">
        <v>0</v>
      </c>
      <c r="E81" s="590">
        <v>11.68</v>
      </c>
      <c r="K81" s="106"/>
      <c r="L81" s="593"/>
      <c r="M81" s="593"/>
    </row>
    <row r="82" spans="1:13" x14ac:dyDescent="0.35">
      <c r="A82" s="1" t="s">
        <v>121</v>
      </c>
      <c r="B82" t="s">
        <v>122</v>
      </c>
      <c r="C82" s="1" t="s">
        <v>410</v>
      </c>
      <c r="D82" s="112">
        <v>7313</v>
      </c>
      <c r="E82" s="590">
        <v>11.68</v>
      </c>
      <c r="K82" s="106"/>
      <c r="L82" s="593"/>
      <c r="M82" s="593"/>
    </row>
    <row r="83" spans="1:13" x14ac:dyDescent="0.35">
      <c r="A83" s="1" t="s">
        <v>119</v>
      </c>
      <c r="B83" t="s">
        <v>120</v>
      </c>
      <c r="C83" s="1" t="s">
        <v>410</v>
      </c>
      <c r="D83" s="112">
        <v>3092</v>
      </c>
      <c r="E83" s="590">
        <v>11.68</v>
      </c>
      <c r="K83" s="106"/>
      <c r="L83" s="593"/>
      <c r="M83" s="593"/>
    </row>
    <row r="84" spans="1:13" x14ac:dyDescent="0.35">
      <c r="A84" s="1" t="s">
        <v>114</v>
      </c>
      <c r="B84" t="s">
        <v>116</v>
      </c>
      <c r="C84" s="1" t="s">
        <v>410</v>
      </c>
      <c r="D84" s="112">
        <v>6926</v>
      </c>
      <c r="E84" s="590">
        <v>11.68</v>
      </c>
      <c r="K84" s="106"/>
      <c r="L84" s="593"/>
      <c r="M84" s="593"/>
    </row>
    <row r="85" spans="1:13" x14ac:dyDescent="0.35">
      <c r="A85" s="1" t="s">
        <v>167</v>
      </c>
      <c r="B85" t="s">
        <v>168</v>
      </c>
      <c r="C85" s="1" t="s">
        <v>410</v>
      </c>
      <c r="D85" s="112">
        <v>9473</v>
      </c>
      <c r="E85" s="590">
        <v>0.81599999999999995</v>
      </c>
      <c r="K85" s="106"/>
      <c r="L85" s="593"/>
      <c r="M85" s="593"/>
    </row>
    <row r="86" spans="1:13" x14ac:dyDescent="0.35">
      <c r="A86" s="1" t="s">
        <v>98</v>
      </c>
      <c r="B86" t="s">
        <v>99</v>
      </c>
      <c r="C86" s="1" t="s">
        <v>410</v>
      </c>
      <c r="D86" s="112">
        <v>13184</v>
      </c>
      <c r="E86" s="590">
        <v>5</v>
      </c>
      <c r="K86" s="106"/>
      <c r="L86" s="593"/>
      <c r="M86" s="593"/>
    </row>
    <row r="87" spans="1:13" x14ac:dyDescent="0.35">
      <c r="A87" s="1" t="s">
        <v>61</v>
      </c>
      <c r="B87" t="s">
        <v>63</v>
      </c>
      <c r="C87" s="1" t="s">
        <v>410</v>
      </c>
      <c r="D87" s="112">
        <v>0</v>
      </c>
      <c r="E87" s="590">
        <v>4.4139999999999997</v>
      </c>
      <c r="K87" s="106"/>
      <c r="L87" s="593"/>
      <c r="M87" s="593"/>
    </row>
    <row r="88" spans="1:13" x14ac:dyDescent="0.35">
      <c r="A88" s="1" t="s">
        <v>173</v>
      </c>
      <c r="B88" t="s">
        <v>174</v>
      </c>
      <c r="C88" s="1" t="s">
        <v>410</v>
      </c>
      <c r="D88" s="112">
        <v>9452</v>
      </c>
      <c r="E88" s="590">
        <v>0.81599999999999995</v>
      </c>
      <c r="K88" s="106"/>
      <c r="L88" s="593"/>
      <c r="M88" s="593"/>
    </row>
    <row r="89" spans="1:13" x14ac:dyDescent="0.35">
      <c r="A89" s="1" t="s">
        <v>104</v>
      </c>
      <c r="B89" t="s">
        <v>105</v>
      </c>
      <c r="C89" s="1" t="s">
        <v>410</v>
      </c>
      <c r="D89" s="112">
        <v>10099</v>
      </c>
      <c r="E89" s="590">
        <v>5</v>
      </c>
      <c r="K89" s="106"/>
      <c r="L89" s="593"/>
      <c r="M89" s="593"/>
    </row>
    <row r="90" spans="1:13" x14ac:dyDescent="0.35">
      <c r="A90" s="1" t="s">
        <v>69</v>
      </c>
      <c r="B90" t="s">
        <v>70</v>
      </c>
      <c r="C90" s="1" t="s">
        <v>410</v>
      </c>
      <c r="D90" s="112">
        <v>0</v>
      </c>
      <c r="E90" s="590">
        <v>4.4139999999999997</v>
      </c>
      <c r="K90" s="106"/>
      <c r="L90" s="593"/>
      <c r="M90" s="593"/>
    </row>
    <row r="91" spans="1:13" x14ac:dyDescent="0.35">
      <c r="A91" s="1" t="s">
        <v>171</v>
      </c>
      <c r="B91" t="s">
        <v>172</v>
      </c>
      <c r="C91" s="1" t="s">
        <v>410</v>
      </c>
      <c r="D91" s="112">
        <v>9689</v>
      </c>
      <c r="E91" s="590">
        <v>0.81599999999999995</v>
      </c>
      <c r="K91" s="106"/>
      <c r="L91" s="593"/>
      <c r="M91" s="593"/>
    </row>
    <row r="92" spans="1:13" x14ac:dyDescent="0.35">
      <c r="A92" s="1" t="s">
        <v>102</v>
      </c>
      <c r="B92" t="s">
        <v>103</v>
      </c>
      <c r="C92" s="1" t="s">
        <v>410</v>
      </c>
      <c r="D92" s="112">
        <v>12679</v>
      </c>
      <c r="E92" s="590">
        <v>5</v>
      </c>
      <c r="K92" s="106"/>
      <c r="L92" s="593"/>
      <c r="M92" s="593"/>
    </row>
    <row r="93" spans="1:13" x14ac:dyDescent="0.35">
      <c r="A93" s="1" t="s">
        <v>67</v>
      </c>
      <c r="B93" t="s">
        <v>68</v>
      </c>
      <c r="C93" s="1" t="s">
        <v>410</v>
      </c>
      <c r="D93" s="112">
        <v>0</v>
      </c>
      <c r="E93" s="590">
        <v>4.4139999999999997</v>
      </c>
      <c r="K93" s="106"/>
      <c r="L93" s="593"/>
      <c r="M93" s="593"/>
    </row>
    <row r="94" spans="1:13" x14ac:dyDescent="0.35">
      <c r="A94" s="1" t="s">
        <v>169</v>
      </c>
      <c r="B94" t="s">
        <v>170</v>
      </c>
      <c r="C94" s="1" t="s">
        <v>410</v>
      </c>
      <c r="D94" s="112">
        <v>9874</v>
      </c>
      <c r="E94" s="590">
        <v>0.81599999999999995</v>
      </c>
      <c r="K94" s="106"/>
      <c r="L94" s="593"/>
      <c r="M94" s="593"/>
    </row>
    <row r="95" spans="1:13" x14ac:dyDescent="0.35">
      <c r="A95" s="1" t="s">
        <v>100</v>
      </c>
      <c r="B95" t="s">
        <v>101</v>
      </c>
      <c r="C95" s="1" t="s">
        <v>410</v>
      </c>
      <c r="D95" s="112">
        <v>13213</v>
      </c>
      <c r="E95" s="590">
        <v>5</v>
      </c>
      <c r="K95" s="106"/>
      <c r="L95" s="593"/>
      <c r="M95" s="593"/>
    </row>
    <row r="96" spans="1:13" x14ac:dyDescent="0.35">
      <c r="A96" s="1" t="s">
        <v>65</v>
      </c>
      <c r="B96" t="s">
        <v>66</v>
      </c>
      <c r="C96" s="1" t="s">
        <v>410</v>
      </c>
      <c r="D96" s="112">
        <v>0</v>
      </c>
      <c r="E96" s="590">
        <v>4.4139999999999997</v>
      </c>
      <c r="K96" s="106"/>
      <c r="L96" s="593"/>
      <c r="M96" s="593"/>
    </row>
    <row r="97" spans="1:13" x14ac:dyDescent="0.35">
      <c r="A97" s="1" t="s">
        <v>855</v>
      </c>
      <c r="B97" t="s">
        <v>893</v>
      </c>
      <c r="C97" s="1" t="s">
        <v>410</v>
      </c>
      <c r="D97" s="112">
        <v>2478</v>
      </c>
      <c r="E97" s="590" t="s">
        <v>914</v>
      </c>
      <c r="K97" s="106"/>
      <c r="L97" s="593"/>
      <c r="M97" s="593"/>
    </row>
    <row r="98" spans="1:13" x14ac:dyDescent="0.35">
      <c r="A98" s="1" t="s">
        <v>856</v>
      </c>
      <c r="B98" t="s">
        <v>894</v>
      </c>
      <c r="C98" s="1" t="s">
        <v>410</v>
      </c>
      <c r="D98" s="112">
        <v>4345</v>
      </c>
      <c r="E98" s="592" t="s">
        <v>914</v>
      </c>
      <c r="K98" s="106"/>
      <c r="L98" s="593"/>
      <c r="M98" s="593"/>
    </row>
    <row r="99" spans="1:13" x14ac:dyDescent="0.35">
      <c r="A99" s="1" t="s">
        <v>142</v>
      </c>
      <c r="B99" t="s">
        <v>143</v>
      </c>
      <c r="C99" s="1" t="s">
        <v>410</v>
      </c>
      <c r="D99" s="112">
        <v>0</v>
      </c>
      <c r="E99" s="590">
        <v>0</v>
      </c>
      <c r="K99" s="106"/>
      <c r="L99" s="593"/>
      <c r="M99" s="593"/>
    </row>
    <row r="100" spans="1:13" x14ac:dyDescent="0.35">
      <c r="A100" s="1" t="s">
        <v>140</v>
      </c>
      <c r="B100" t="s">
        <v>141</v>
      </c>
      <c r="C100" s="1" t="s">
        <v>410</v>
      </c>
      <c r="D100" s="112">
        <v>0</v>
      </c>
      <c r="E100" s="590">
        <v>0</v>
      </c>
      <c r="K100" s="106"/>
      <c r="L100" s="593"/>
      <c r="M100" s="593"/>
    </row>
    <row r="101" spans="1:13" x14ac:dyDescent="0.35">
      <c r="A101" s="1" t="s">
        <v>134</v>
      </c>
      <c r="B101" t="s">
        <v>135</v>
      </c>
      <c r="C101" s="1" t="s">
        <v>410</v>
      </c>
      <c r="D101" s="112">
        <v>0</v>
      </c>
      <c r="E101" s="590">
        <v>0</v>
      </c>
      <c r="K101" s="106"/>
      <c r="L101" s="593"/>
      <c r="M101" s="593"/>
    </row>
    <row r="102" spans="1:13" x14ac:dyDescent="0.35">
      <c r="A102" s="1" t="s">
        <v>152</v>
      </c>
      <c r="B102" t="s">
        <v>153</v>
      </c>
      <c r="C102" s="1" t="s">
        <v>410</v>
      </c>
      <c r="D102" s="112">
        <v>0</v>
      </c>
      <c r="E102" s="590">
        <v>0</v>
      </c>
      <c r="K102" s="106"/>
      <c r="L102" s="593"/>
      <c r="M102" s="593"/>
    </row>
    <row r="103" spans="1:13" x14ac:dyDescent="0.35">
      <c r="A103" s="1" t="s">
        <v>144</v>
      </c>
      <c r="B103" t="s">
        <v>145</v>
      </c>
      <c r="C103" s="1" t="s">
        <v>410</v>
      </c>
      <c r="D103" s="112">
        <v>0</v>
      </c>
      <c r="E103" s="590">
        <v>0</v>
      </c>
      <c r="K103" s="106"/>
      <c r="L103" s="593"/>
      <c r="M103" s="593"/>
    </row>
    <row r="104" spans="1:13" x14ac:dyDescent="0.35">
      <c r="A104" s="1" t="s">
        <v>146</v>
      </c>
      <c r="B104" t="s">
        <v>147</v>
      </c>
      <c r="C104" s="1" t="s">
        <v>410</v>
      </c>
      <c r="D104" s="112">
        <v>0</v>
      </c>
      <c r="E104" s="590">
        <v>0</v>
      </c>
      <c r="K104" s="106"/>
      <c r="L104" s="593"/>
      <c r="M104" s="593"/>
    </row>
    <row r="105" spans="1:13" x14ac:dyDescent="0.35">
      <c r="A105" s="1" t="s">
        <v>154</v>
      </c>
      <c r="B105" t="s">
        <v>734</v>
      </c>
      <c r="C105" s="1" t="s">
        <v>410</v>
      </c>
      <c r="D105" s="112">
        <v>0</v>
      </c>
      <c r="E105" s="590">
        <v>0</v>
      </c>
      <c r="K105" s="106"/>
      <c r="L105" s="593"/>
      <c r="M105" s="593"/>
    </row>
    <row r="106" spans="1:13" x14ac:dyDescent="0.35">
      <c r="A106" s="1" t="s">
        <v>138</v>
      </c>
      <c r="B106" t="s">
        <v>139</v>
      </c>
      <c r="C106" s="1" t="s">
        <v>410</v>
      </c>
      <c r="D106" s="112">
        <v>0</v>
      </c>
      <c r="E106" s="590">
        <v>0</v>
      </c>
      <c r="K106" s="106"/>
      <c r="L106" s="593"/>
      <c r="M106" s="593"/>
    </row>
    <row r="107" spans="1:13" x14ac:dyDescent="0.35">
      <c r="A107" s="1" t="s">
        <v>136</v>
      </c>
      <c r="B107" t="s">
        <v>137</v>
      </c>
      <c r="C107" s="1" t="s">
        <v>410</v>
      </c>
      <c r="D107" s="112">
        <v>0</v>
      </c>
      <c r="E107" s="590">
        <v>0</v>
      </c>
      <c r="K107" s="106"/>
      <c r="L107" s="593"/>
      <c r="M107" s="593"/>
    </row>
    <row r="108" spans="1:13" x14ac:dyDescent="0.35">
      <c r="A108" s="1" t="s">
        <v>131</v>
      </c>
      <c r="B108" t="s">
        <v>133</v>
      </c>
      <c r="C108" s="1" t="s">
        <v>410</v>
      </c>
      <c r="D108" s="112">
        <v>0</v>
      </c>
      <c r="E108" s="590">
        <v>0</v>
      </c>
      <c r="K108" s="106"/>
      <c r="L108" s="593"/>
      <c r="M108" s="593"/>
    </row>
    <row r="109" spans="1:13" x14ac:dyDescent="0.35">
      <c r="A109" s="1" t="s">
        <v>732</v>
      </c>
      <c r="B109" t="s">
        <v>733</v>
      </c>
      <c r="C109" s="1" t="s">
        <v>410</v>
      </c>
      <c r="D109" s="112">
        <v>0</v>
      </c>
      <c r="E109" s="590">
        <v>4.21</v>
      </c>
      <c r="K109" s="106"/>
      <c r="L109" s="593"/>
      <c r="M109" s="593"/>
    </row>
    <row r="110" spans="1:13" x14ac:dyDescent="0.35">
      <c r="A110" s="1" t="s">
        <v>730</v>
      </c>
      <c r="B110" t="s">
        <v>731</v>
      </c>
      <c r="C110" s="1" t="s">
        <v>410</v>
      </c>
      <c r="D110" s="112">
        <v>0</v>
      </c>
      <c r="E110" s="590">
        <v>4.21</v>
      </c>
      <c r="K110" s="106"/>
      <c r="L110" s="593"/>
      <c r="M110" s="593"/>
    </row>
    <row r="111" spans="1:13" x14ac:dyDescent="0.35">
      <c r="A111" s="1" t="s">
        <v>1195</v>
      </c>
      <c r="B111" t="s">
        <v>1194</v>
      </c>
      <c r="C111" s="1" t="s">
        <v>410</v>
      </c>
      <c r="D111" s="112">
        <v>0</v>
      </c>
      <c r="E111" s="590" t="s">
        <v>914</v>
      </c>
      <c r="K111" s="106"/>
      <c r="L111" s="593"/>
      <c r="M111" s="593"/>
    </row>
    <row r="112" spans="1:13" x14ac:dyDescent="0.35">
      <c r="A112" s="1" t="s">
        <v>1196</v>
      </c>
      <c r="B112" t="s">
        <v>1197</v>
      </c>
      <c r="C112" s="1" t="s">
        <v>410</v>
      </c>
      <c r="D112" s="112">
        <v>0</v>
      </c>
      <c r="E112" s="590" t="s">
        <v>914</v>
      </c>
      <c r="K112" s="106"/>
      <c r="L112" s="593"/>
      <c r="M112" s="593"/>
    </row>
    <row r="113" spans="1:13" x14ac:dyDescent="0.35">
      <c r="A113" s="1" t="s">
        <v>808</v>
      </c>
      <c r="B113" t="s">
        <v>809</v>
      </c>
      <c r="C113" s="1" t="s">
        <v>410</v>
      </c>
      <c r="D113" s="112">
        <v>734</v>
      </c>
      <c r="E113" s="590" t="s">
        <v>914</v>
      </c>
      <c r="K113" s="106"/>
      <c r="L113" s="593"/>
      <c r="M113" s="593"/>
    </row>
    <row r="114" spans="1:13" x14ac:dyDescent="0.35">
      <c r="A114" s="1" t="s">
        <v>804</v>
      </c>
      <c r="B114" t="s">
        <v>805</v>
      </c>
      <c r="C114" s="1" t="s">
        <v>410</v>
      </c>
      <c r="D114" s="112">
        <v>0</v>
      </c>
      <c r="E114" s="590" t="s">
        <v>914</v>
      </c>
      <c r="K114" s="106"/>
      <c r="L114" s="593"/>
      <c r="M114" s="593"/>
    </row>
    <row r="115" spans="1:13" x14ac:dyDescent="0.35">
      <c r="A115" s="1" t="s">
        <v>810</v>
      </c>
      <c r="B115" t="s">
        <v>811</v>
      </c>
      <c r="C115" s="1" t="s">
        <v>410</v>
      </c>
      <c r="D115" s="112">
        <v>189</v>
      </c>
      <c r="E115" s="590" t="s">
        <v>914</v>
      </c>
      <c r="K115" s="106"/>
      <c r="L115" s="593"/>
      <c r="M115" s="593"/>
    </row>
    <row r="116" spans="1:13" x14ac:dyDescent="0.35">
      <c r="A116" s="1" t="s">
        <v>806</v>
      </c>
      <c r="B116" t="s">
        <v>807</v>
      </c>
      <c r="C116" s="1" t="s">
        <v>410</v>
      </c>
      <c r="D116" s="112">
        <v>532</v>
      </c>
      <c r="E116" s="590" t="s">
        <v>914</v>
      </c>
      <c r="K116" s="106"/>
      <c r="L116" s="593"/>
      <c r="M116" s="593"/>
    </row>
    <row r="117" spans="1:13" x14ac:dyDescent="0.35">
      <c r="A117" s="1" t="s">
        <v>726</v>
      </c>
      <c r="B117" t="s">
        <v>727</v>
      </c>
      <c r="C117" s="1" t="s">
        <v>410</v>
      </c>
      <c r="D117" s="112">
        <v>0</v>
      </c>
      <c r="E117" s="590">
        <v>4.21</v>
      </c>
      <c r="K117" s="106"/>
      <c r="L117" s="593"/>
      <c r="M117" s="593"/>
    </row>
    <row r="118" spans="1:13" x14ac:dyDescent="0.35">
      <c r="A118" s="1" t="s">
        <v>442</v>
      </c>
      <c r="B118" t="s">
        <v>443</v>
      </c>
      <c r="C118" s="1" t="s">
        <v>410</v>
      </c>
      <c r="D118" s="112">
        <v>398</v>
      </c>
      <c r="E118" s="590">
        <v>0</v>
      </c>
      <c r="K118" s="106"/>
      <c r="L118" s="593"/>
      <c r="M118" s="593"/>
    </row>
    <row r="119" spans="1:13" x14ac:dyDescent="0.35">
      <c r="A119" s="1" t="s">
        <v>197</v>
      </c>
      <c r="B119" t="s">
        <v>426</v>
      </c>
      <c r="C119" s="1" t="s">
        <v>410</v>
      </c>
      <c r="D119" s="112">
        <v>0</v>
      </c>
      <c r="E119" s="590">
        <v>0</v>
      </c>
      <c r="K119" s="106"/>
      <c r="L119" s="593"/>
      <c r="M119" s="593"/>
    </row>
    <row r="120" spans="1:13" x14ac:dyDescent="0.35">
      <c r="A120" s="1" t="s">
        <v>199</v>
      </c>
      <c r="B120" t="s">
        <v>427</v>
      </c>
      <c r="C120" s="1" t="s">
        <v>410</v>
      </c>
      <c r="D120" s="112">
        <v>0</v>
      </c>
      <c r="E120" s="590">
        <v>0</v>
      </c>
      <c r="K120" s="106"/>
      <c r="L120" s="593"/>
      <c r="M120" s="593"/>
    </row>
    <row r="121" spans="1:13" x14ac:dyDescent="0.35">
      <c r="A121" s="1" t="s">
        <v>201</v>
      </c>
      <c r="B121" t="s">
        <v>428</v>
      </c>
      <c r="C121" s="1" t="s">
        <v>410</v>
      </c>
      <c r="D121" s="112">
        <v>0</v>
      </c>
      <c r="E121" s="590">
        <v>0</v>
      </c>
      <c r="K121" s="106"/>
      <c r="L121" s="593"/>
      <c r="M121" s="593"/>
    </row>
    <row r="122" spans="1:13" x14ac:dyDescent="0.35">
      <c r="A122" s="1" t="s">
        <v>203</v>
      </c>
      <c r="B122" t="s">
        <v>429</v>
      </c>
      <c r="C122" s="1" t="s">
        <v>410</v>
      </c>
      <c r="D122" s="112">
        <v>0</v>
      </c>
      <c r="E122" s="590">
        <v>0</v>
      </c>
      <c r="K122" s="106"/>
      <c r="L122" s="593"/>
      <c r="M122" s="593"/>
    </row>
    <row r="123" spans="1:13" x14ac:dyDescent="0.35">
      <c r="A123" s="1" t="s">
        <v>205</v>
      </c>
      <c r="B123" t="s">
        <v>430</v>
      </c>
      <c r="C123" s="1" t="s">
        <v>410</v>
      </c>
      <c r="D123" s="112">
        <v>0</v>
      </c>
      <c r="E123" s="590">
        <v>0</v>
      </c>
      <c r="K123" s="106"/>
      <c r="L123" s="593"/>
      <c r="M123" s="593"/>
    </row>
    <row r="124" spans="1:13" x14ac:dyDescent="0.35">
      <c r="A124" s="1" t="s">
        <v>207</v>
      </c>
      <c r="B124" t="s">
        <v>431</v>
      </c>
      <c r="C124" s="1" t="s">
        <v>410</v>
      </c>
      <c r="D124" s="112">
        <v>0</v>
      </c>
      <c r="E124" s="590">
        <v>0</v>
      </c>
      <c r="K124" s="106"/>
      <c r="L124" s="593"/>
      <c r="M124" s="593"/>
    </row>
    <row r="125" spans="1:13" x14ac:dyDescent="0.35">
      <c r="A125" s="1" t="s">
        <v>433</v>
      </c>
      <c r="B125" t="s">
        <v>434</v>
      </c>
      <c r="C125" s="1" t="s">
        <v>410</v>
      </c>
      <c r="D125" s="112">
        <v>0</v>
      </c>
      <c r="E125" s="590">
        <v>0</v>
      </c>
      <c r="K125" s="106"/>
      <c r="L125" s="593"/>
      <c r="M125" s="593"/>
    </row>
    <row r="126" spans="1:13" x14ac:dyDescent="0.35">
      <c r="A126" s="1" t="s">
        <v>209</v>
      </c>
      <c r="B126" t="s">
        <v>435</v>
      </c>
      <c r="C126" s="1" t="s">
        <v>410</v>
      </c>
      <c r="D126" s="112">
        <v>0</v>
      </c>
      <c r="E126" s="590">
        <v>0</v>
      </c>
      <c r="K126" s="106"/>
      <c r="L126" s="593"/>
      <c r="M126" s="593"/>
    </row>
    <row r="127" spans="1:13" x14ac:dyDescent="0.35">
      <c r="A127" s="1" t="s">
        <v>211</v>
      </c>
      <c r="B127" t="s">
        <v>436</v>
      </c>
      <c r="C127" s="1" t="s">
        <v>410</v>
      </c>
      <c r="D127" s="112">
        <v>0</v>
      </c>
      <c r="E127" s="590">
        <v>0</v>
      </c>
      <c r="K127" s="106"/>
      <c r="L127" s="593"/>
      <c r="M127" s="593"/>
    </row>
    <row r="128" spans="1:13" x14ac:dyDescent="0.35">
      <c r="A128" s="1" t="s">
        <v>437</v>
      </c>
      <c r="B128" t="s">
        <v>438</v>
      </c>
      <c r="C128" s="1" t="s">
        <v>410</v>
      </c>
      <c r="D128" s="112">
        <v>0</v>
      </c>
      <c r="E128" s="590">
        <v>0</v>
      </c>
      <c r="K128" s="106"/>
      <c r="L128" s="593"/>
      <c r="M128" s="593"/>
    </row>
    <row r="129" spans="1:13" x14ac:dyDescent="0.35">
      <c r="A129" s="1" t="s">
        <v>439</v>
      </c>
      <c r="B129" t="s">
        <v>440</v>
      </c>
      <c r="C129" s="1" t="s">
        <v>410</v>
      </c>
      <c r="D129" s="112">
        <v>0</v>
      </c>
      <c r="E129" s="590">
        <v>0</v>
      </c>
      <c r="K129" s="106"/>
      <c r="L129" s="593"/>
      <c r="M129" s="593"/>
    </row>
    <row r="130" spans="1:13" x14ac:dyDescent="0.35">
      <c r="A130" s="1" t="s">
        <v>213</v>
      </c>
      <c r="B130" t="s">
        <v>441</v>
      </c>
      <c r="C130" s="1" t="s">
        <v>410</v>
      </c>
      <c r="D130" s="112">
        <v>0</v>
      </c>
      <c r="E130" s="590">
        <v>0</v>
      </c>
      <c r="K130" s="106"/>
      <c r="L130" s="593"/>
      <c r="M130" s="593"/>
    </row>
    <row r="131" spans="1:13" x14ac:dyDescent="0.35">
      <c r="A131" s="1" t="s">
        <v>156</v>
      </c>
      <c r="B131" t="s">
        <v>159</v>
      </c>
      <c r="C131" s="1" t="s">
        <v>410</v>
      </c>
      <c r="D131" s="112">
        <v>19537</v>
      </c>
      <c r="E131" s="590">
        <v>0.81599999999999995</v>
      </c>
      <c r="K131" s="106"/>
      <c r="L131" s="593"/>
      <c r="M131" s="593"/>
    </row>
    <row r="132" spans="1:13" x14ac:dyDescent="0.35">
      <c r="A132" s="1" t="s">
        <v>106</v>
      </c>
      <c r="B132" t="s">
        <v>107</v>
      </c>
      <c r="C132" s="1" t="s">
        <v>410</v>
      </c>
      <c r="D132" s="112">
        <v>9209</v>
      </c>
      <c r="E132" s="590">
        <v>5</v>
      </c>
      <c r="K132" s="106"/>
      <c r="L132" s="593"/>
      <c r="M132" s="593"/>
    </row>
    <row r="133" spans="1:13" x14ac:dyDescent="0.35">
      <c r="A133" s="1" t="s">
        <v>71</v>
      </c>
      <c r="B133" t="s">
        <v>72</v>
      </c>
      <c r="C133" s="1" t="s">
        <v>410</v>
      </c>
      <c r="D133" s="112">
        <v>0</v>
      </c>
      <c r="E133" s="590">
        <v>4.4139999999999997</v>
      </c>
      <c r="K133" s="106"/>
      <c r="L133" s="593"/>
      <c r="M133" s="593"/>
    </row>
    <row r="134" spans="1:13" x14ac:dyDescent="0.35">
      <c r="A134" s="1" t="s">
        <v>165</v>
      </c>
      <c r="B134" t="s">
        <v>166</v>
      </c>
      <c r="C134" s="1" t="s">
        <v>410</v>
      </c>
      <c r="D134" s="112">
        <v>23766</v>
      </c>
      <c r="E134" s="590">
        <v>0.81599999999999995</v>
      </c>
      <c r="K134" s="106"/>
      <c r="L134" s="593"/>
      <c r="M134" s="593"/>
    </row>
    <row r="135" spans="1:13" x14ac:dyDescent="0.35">
      <c r="A135" s="1" t="s">
        <v>112</v>
      </c>
      <c r="B135" t="s">
        <v>113</v>
      </c>
      <c r="C135" s="1" t="s">
        <v>410</v>
      </c>
      <c r="D135" s="112">
        <v>6479</v>
      </c>
      <c r="E135" s="590">
        <v>5</v>
      </c>
      <c r="K135" s="106"/>
      <c r="L135" s="593"/>
      <c r="M135" s="593"/>
    </row>
    <row r="136" spans="1:13" x14ac:dyDescent="0.35">
      <c r="A136" s="1" t="s">
        <v>77</v>
      </c>
      <c r="B136" t="s">
        <v>78</v>
      </c>
      <c r="C136" s="1" t="s">
        <v>410</v>
      </c>
      <c r="D136" s="112">
        <v>0</v>
      </c>
      <c r="E136" s="590">
        <v>4.4139999999999997</v>
      </c>
      <c r="K136" s="106"/>
      <c r="L136" s="593"/>
      <c r="M136" s="593"/>
    </row>
    <row r="137" spans="1:13" x14ac:dyDescent="0.35">
      <c r="A137" s="1" t="s">
        <v>163</v>
      </c>
      <c r="B137" t="s">
        <v>164</v>
      </c>
      <c r="C137" s="1" t="s">
        <v>410</v>
      </c>
      <c r="D137" s="112">
        <v>20447</v>
      </c>
      <c r="E137" s="590">
        <v>0.81599999999999995</v>
      </c>
      <c r="K137" s="106"/>
      <c r="L137" s="593"/>
      <c r="M137" s="593"/>
    </row>
    <row r="138" spans="1:13" x14ac:dyDescent="0.35">
      <c r="A138" s="1" t="s">
        <v>110</v>
      </c>
      <c r="B138" t="s">
        <v>111</v>
      </c>
      <c r="C138" s="1" t="s">
        <v>410</v>
      </c>
      <c r="D138" s="112">
        <v>6411</v>
      </c>
      <c r="E138" s="590">
        <v>5</v>
      </c>
      <c r="K138" s="106"/>
      <c r="L138" s="593"/>
      <c r="M138" s="593"/>
    </row>
    <row r="139" spans="1:13" x14ac:dyDescent="0.35">
      <c r="A139" s="1" t="s">
        <v>75</v>
      </c>
      <c r="B139" t="s">
        <v>76</v>
      </c>
      <c r="C139" s="1" t="s">
        <v>410</v>
      </c>
      <c r="D139" s="112">
        <v>0</v>
      </c>
      <c r="E139" s="590">
        <v>4.4139999999999997</v>
      </c>
      <c r="K139" s="106"/>
      <c r="L139" s="593"/>
      <c r="M139" s="593"/>
    </row>
    <row r="140" spans="1:13" x14ac:dyDescent="0.35">
      <c r="A140" s="1" t="s">
        <v>161</v>
      </c>
      <c r="B140" t="s">
        <v>162</v>
      </c>
      <c r="C140" s="1" t="s">
        <v>410</v>
      </c>
      <c r="D140" s="112">
        <v>25050</v>
      </c>
      <c r="E140" s="590">
        <v>0.81599999999999995</v>
      </c>
      <c r="K140" s="106"/>
      <c r="L140" s="593"/>
      <c r="M140" s="593"/>
    </row>
    <row r="141" spans="1:13" x14ac:dyDescent="0.35">
      <c r="A141" s="1" t="s">
        <v>108</v>
      </c>
      <c r="B141" t="s">
        <v>109</v>
      </c>
      <c r="C141" s="1" t="s">
        <v>410</v>
      </c>
      <c r="D141" s="112">
        <v>11575</v>
      </c>
      <c r="E141" s="590">
        <v>5</v>
      </c>
      <c r="K141" s="106"/>
      <c r="L141" s="593"/>
      <c r="M141" s="593"/>
    </row>
    <row r="142" spans="1:13" x14ac:dyDescent="0.35">
      <c r="A142" s="1" t="s">
        <v>73</v>
      </c>
      <c r="B142" t="s">
        <v>74</v>
      </c>
      <c r="C142" s="1" t="s">
        <v>410</v>
      </c>
      <c r="D142" s="112">
        <v>0</v>
      </c>
      <c r="E142" s="590">
        <v>4.4139999999999997</v>
      </c>
      <c r="K142" s="106"/>
      <c r="L142" s="593"/>
      <c r="M142" s="593"/>
    </row>
    <row r="143" spans="1:13" x14ac:dyDescent="0.35">
      <c r="A143" s="1" t="s">
        <v>175</v>
      </c>
      <c r="B143" t="s">
        <v>178</v>
      </c>
      <c r="C143" s="1" t="s">
        <v>410</v>
      </c>
      <c r="D143" s="112">
        <v>2970</v>
      </c>
      <c r="E143" s="590">
        <v>2.0499999999999998</v>
      </c>
      <c r="K143" s="106"/>
      <c r="L143" s="593"/>
      <c r="M143" s="593"/>
    </row>
    <row r="144" spans="1:13" x14ac:dyDescent="0.35">
      <c r="A144" s="1" t="s">
        <v>180</v>
      </c>
      <c r="B144" t="s">
        <v>181</v>
      </c>
      <c r="C144" s="1" t="s">
        <v>410</v>
      </c>
      <c r="D144" s="112">
        <v>666</v>
      </c>
      <c r="E144" s="590">
        <v>2.0499999999999998</v>
      </c>
      <c r="K144" s="106"/>
      <c r="L144" s="593"/>
      <c r="M144" s="593"/>
    </row>
    <row r="145" spans="1:13" x14ac:dyDescent="0.35">
      <c r="A145" s="1" t="s">
        <v>182</v>
      </c>
      <c r="B145" t="s">
        <v>183</v>
      </c>
      <c r="C145" s="1" t="s">
        <v>410</v>
      </c>
      <c r="D145" s="112">
        <v>422</v>
      </c>
      <c r="E145" s="590">
        <v>2.0499999999999998</v>
      </c>
      <c r="K145" s="106"/>
      <c r="L145" s="593"/>
      <c r="M145" s="593"/>
    </row>
    <row r="146" spans="1:13" x14ac:dyDescent="0.35">
      <c r="A146" s="1" t="s">
        <v>184</v>
      </c>
      <c r="B146" t="s">
        <v>185</v>
      </c>
      <c r="C146" s="1" t="s">
        <v>410</v>
      </c>
      <c r="D146" s="112">
        <v>618</v>
      </c>
      <c r="E146" s="590">
        <v>2.0499999999999998</v>
      </c>
      <c r="K146" s="106"/>
      <c r="L146" s="593"/>
      <c r="M146" s="593"/>
    </row>
    <row r="147" spans="1:13" x14ac:dyDescent="0.35">
      <c r="A147" s="1" t="s">
        <v>446</v>
      </c>
      <c r="B147" t="s">
        <v>447</v>
      </c>
      <c r="C147" s="1" t="s">
        <v>410</v>
      </c>
      <c r="D147" s="112">
        <v>0</v>
      </c>
      <c r="E147" s="590">
        <v>0.93</v>
      </c>
      <c r="K147" s="106"/>
      <c r="L147" s="593"/>
      <c r="M147" s="593"/>
    </row>
    <row r="148" spans="1:13" x14ac:dyDescent="0.35">
      <c r="A148" s="1" t="s">
        <v>452</v>
      </c>
      <c r="B148" t="s">
        <v>453</v>
      </c>
      <c r="C148" s="1" t="s">
        <v>410</v>
      </c>
      <c r="D148" s="112">
        <v>0</v>
      </c>
      <c r="E148" s="590">
        <v>0.93</v>
      </c>
      <c r="K148" s="106"/>
      <c r="L148" s="593"/>
      <c r="M148" s="593"/>
    </row>
    <row r="149" spans="1:13" x14ac:dyDescent="0.35">
      <c r="A149" s="1" t="s">
        <v>450</v>
      </c>
      <c r="B149" t="s">
        <v>451</v>
      </c>
      <c r="C149" s="1" t="s">
        <v>410</v>
      </c>
      <c r="D149" s="112">
        <v>0</v>
      </c>
      <c r="E149" s="590">
        <v>0.93</v>
      </c>
      <c r="K149" s="106"/>
      <c r="L149" s="593"/>
      <c r="M149" s="593"/>
    </row>
    <row r="150" spans="1:13" x14ac:dyDescent="0.35">
      <c r="A150" s="1" t="s">
        <v>448</v>
      </c>
      <c r="B150" t="s">
        <v>449</v>
      </c>
      <c r="C150" s="1" t="s">
        <v>410</v>
      </c>
      <c r="D150" s="112">
        <v>0</v>
      </c>
      <c r="E150" s="590">
        <v>0.93</v>
      </c>
      <c r="K150" s="106"/>
      <c r="L150" s="593"/>
      <c r="M150" s="593"/>
    </row>
    <row r="151" spans="1:13" x14ac:dyDescent="0.35">
      <c r="A151" s="1" t="s">
        <v>819</v>
      </c>
      <c r="B151" t="s">
        <v>857</v>
      </c>
      <c r="C151" s="1" t="s">
        <v>410</v>
      </c>
      <c r="D151" s="112">
        <v>297</v>
      </c>
      <c r="E151" s="590" t="s">
        <v>914</v>
      </c>
      <c r="K151" s="106"/>
      <c r="L151" s="593"/>
      <c r="M151" s="593"/>
    </row>
    <row r="152" spans="1:13" x14ac:dyDescent="0.35">
      <c r="A152" s="1" t="s">
        <v>820</v>
      </c>
      <c r="B152" t="s">
        <v>858</v>
      </c>
      <c r="C152" s="1" t="s">
        <v>410</v>
      </c>
      <c r="D152" s="112">
        <v>298</v>
      </c>
      <c r="E152" s="590" t="s">
        <v>914</v>
      </c>
      <c r="K152" s="106"/>
      <c r="L152" s="593"/>
      <c r="M152" s="593"/>
    </row>
    <row r="153" spans="1:13" x14ac:dyDescent="0.35">
      <c r="A153" s="1" t="s">
        <v>821</v>
      </c>
      <c r="B153" t="s">
        <v>859</v>
      </c>
      <c r="C153" s="1" t="s">
        <v>410</v>
      </c>
      <c r="D153" s="112">
        <v>277</v>
      </c>
      <c r="E153" s="590" t="s">
        <v>914</v>
      </c>
      <c r="K153" s="106"/>
      <c r="L153" s="593"/>
      <c r="M153" s="593"/>
    </row>
    <row r="154" spans="1:13" x14ac:dyDescent="0.35">
      <c r="A154" s="1" t="s">
        <v>831</v>
      </c>
      <c r="B154" t="s">
        <v>869</v>
      </c>
      <c r="C154" s="1" t="s">
        <v>410</v>
      </c>
      <c r="D154" s="112">
        <v>199</v>
      </c>
      <c r="E154" s="590" t="s">
        <v>914</v>
      </c>
      <c r="K154" s="106"/>
      <c r="L154" s="593"/>
      <c r="M154" s="593"/>
    </row>
    <row r="155" spans="1:13" x14ac:dyDescent="0.35">
      <c r="A155" s="1" t="s">
        <v>832</v>
      </c>
      <c r="B155" t="s">
        <v>870</v>
      </c>
      <c r="C155" s="1" t="s">
        <v>410</v>
      </c>
      <c r="D155" s="112">
        <v>199</v>
      </c>
      <c r="E155" s="590" t="s">
        <v>914</v>
      </c>
      <c r="K155" s="106"/>
      <c r="L155" s="593"/>
      <c r="M155" s="593"/>
    </row>
    <row r="156" spans="1:13" x14ac:dyDescent="0.35">
      <c r="A156" s="1" t="s">
        <v>833</v>
      </c>
      <c r="B156" t="s">
        <v>871</v>
      </c>
      <c r="C156" s="1" t="s">
        <v>410</v>
      </c>
      <c r="D156" s="112">
        <v>199</v>
      </c>
      <c r="E156" s="590" t="s">
        <v>914</v>
      </c>
      <c r="K156" s="106"/>
      <c r="L156" s="593"/>
      <c r="M156" s="593"/>
    </row>
    <row r="157" spans="1:13" x14ac:dyDescent="0.35">
      <c r="A157" s="1" t="s">
        <v>837</v>
      </c>
      <c r="B157" t="s">
        <v>875</v>
      </c>
      <c r="C157" s="1" t="s">
        <v>410</v>
      </c>
      <c r="D157" s="112">
        <v>0</v>
      </c>
      <c r="E157" s="590" t="s">
        <v>914</v>
      </c>
      <c r="K157" s="106"/>
      <c r="L157" s="593"/>
      <c r="M157" s="593"/>
    </row>
    <row r="158" spans="1:13" x14ac:dyDescent="0.35">
      <c r="A158" s="1" t="s">
        <v>838</v>
      </c>
      <c r="B158" t="s">
        <v>876</v>
      </c>
      <c r="C158" s="1" t="s">
        <v>410</v>
      </c>
      <c r="D158" s="112">
        <v>0</v>
      </c>
      <c r="E158" s="590" t="s">
        <v>914</v>
      </c>
      <c r="K158" s="106"/>
      <c r="L158" s="593"/>
      <c r="M158" s="593"/>
    </row>
    <row r="159" spans="1:13" x14ac:dyDescent="0.35">
      <c r="A159" s="1" t="s">
        <v>839</v>
      </c>
      <c r="B159" t="s">
        <v>877</v>
      </c>
      <c r="C159" s="1" t="s">
        <v>410</v>
      </c>
      <c r="D159" s="112">
        <v>0</v>
      </c>
      <c r="E159" s="590" t="s">
        <v>914</v>
      </c>
      <c r="K159" s="106"/>
      <c r="L159" s="593"/>
      <c r="M159" s="593"/>
    </row>
    <row r="160" spans="1:13" x14ac:dyDescent="0.35">
      <c r="A160" s="1" t="s">
        <v>843</v>
      </c>
      <c r="B160" t="s">
        <v>881</v>
      </c>
      <c r="C160" s="1" t="s">
        <v>410</v>
      </c>
      <c r="D160" s="112">
        <v>179</v>
      </c>
      <c r="E160" s="590" t="s">
        <v>914</v>
      </c>
      <c r="K160" s="106"/>
      <c r="L160" s="593"/>
      <c r="M160" s="593"/>
    </row>
    <row r="161" spans="1:13" x14ac:dyDescent="0.35">
      <c r="A161" s="1" t="s">
        <v>844</v>
      </c>
      <c r="B161" t="s">
        <v>882</v>
      </c>
      <c r="C161" s="1" t="s">
        <v>410</v>
      </c>
      <c r="D161" s="112">
        <v>299</v>
      </c>
      <c r="E161" s="590" t="s">
        <v>914</v>
      </c>
      <c r="K161" s="106"/>
      <c r="L161" s="593"/>
      <c r="M161" s="593"/>
    </row>
    <row r="162" spans="1:13" x14ac:dyDescent="0.35">
      <c r="A162" s="1" t="s">
        <v>845</v>
      </c>
      <c r="B162" t="s">
        <v>883</v>
      </c>
      <c r="C162" s="1" t="s">
        <v>410</v>
      </c>
      <c r="D162" s="112">
        <v>179</v>
      </c>
      <c r="E162" s="590" t="s">
        <v>914</v>
      </c>
      <c r="K162" s="106"/>
      <c r="L162" s="593"/>
      <c r="M162" s="593"/>
    </row>
    <row r="163" spans="1:13" x14ac:dyDescent="0.35">
      <c r="A163" s="1" t="s">
        <v>840</v>
      </c>
      <c r="B163" t="s">
        <v>878</v>
      </c>
      <c r="C163" s="1" t="s">
        <v>410</v>
      </c>
      <c r="D163" s="112">
        <v>179</v>
      </c>
      <c r="E163" s="590" t="s">
        <v>914</v>
      </c>
      <c r="K163" s="106"/>
      <c r="L163" s="593"/>
      <c r="M163" s="593"/>
    </row>
    <row r="164" spans="1:13" x14ac:dyDescent="0.35">
      <c r="A164" s="1" t="s">
        <v>841</v>
      </c>
      <c r="B164" t="s">
        <v>879</v>
      </c>
      <c r="C164" s="1" t="s">
        <v>410</v>
      </c>
      <c r="D164" s="112">
        <v>299</v>
      </c>
      <c r="E164" s="590" t="s">
        <v>914</v>
      </c>
      <c r="K164" s="106"/>
      <c r="L164" s="593"/>
      <c r="M164" s="593"/>
    </row>
    <row r="165" spans="1:13" x14ac:dyDescent="0.35">
      <c r="A165" s="1" t="s">
        <v>842</v>
      </c>
      <c r="B165" t="s">
        <v>880</v>
      </c>
      <c r="C165" s="1" t="s">
        <v>410</v>
      </c>
      <c r="D165" s="112">
        <v>299</v>
      </c>
      <c r="E165" s="590" t="s">
        <v>914</v>
      </c>
      <c r="K165" s="106"/>
      <c r="L165" s="593"/>
      <c r="M165" s="593"/>
    </row>
    <row r="166" spans="1:13" x14ac:dyDescent="0.35">
      <c r="A166" s="1" t="s">
        <v>834</v>
      </c>
      <c r="B166" t="s">
        <v>872</v>
      </c>
      <c r="C166" s="1" t="s">
        <v>410</v>
      </c>
      <c r="D166" s="112">
        <v>0</v>
      </c>
      <c r="E166" s="590" t="s">
        <v>914</v>
      </c>
      <c r="K166" s="106"/>
      <c r="L166" s="593"/>
      <c r="M166" s="593"/>
    </row>
    <row r="167" spans="1:13" x14ac:dyDescent="0.35">
      <c r="A167" s="1" t="s">
        <v>835</v>
      </c>
      <c r="B167" t="s">
        <v>873</v>
      </c>
      <c r="C167" s="1" t="s">
        <v>410</v>
      </c>
      <c r="D167" s="112">
        <v>0</v>
      </c>
      <c r="E167" s="590" t="s">
        <v>914</v>
      </c>
      <c r="K167" s="106"/>
      <c r="L167" s="593"/>
      <c r="M167" s="593"/>
    </row>
    <row r="168" spans="1:13" x14ac:dyDescent="0.35">
      <c r="A168" s="1" t="s">
        <v>836</v>
      </c>
      <c r="B168" t="s">
        <v>874</v>
      </c>
      <c r="C168" s="1" t="s">
        <v>410</v>
      </c>
      <c r="D168" s="112">
        <v>0</v>
      </c>
      <c r="E168" s="590" t="s">
        <v>914</v>
      </c>
      <c r="K168" s="106"/>
      <c r="L168" s="593"/>
      <c r="M168" s="593"/>
    </row>
    <row r="169" spans="1:13" x14ac:dyDescent="0.35">
      <c r="A169" s="1" t="s">
        <v>822</v>
      </c>
      <c r="B169" t="s">
        <v>860</v>
      </c>
      <c r="C169" s="1" t="s">
        <v>410</v>
      </c>
      <c r="D169" s="112">
        <v>99</v>
      </c>
      <c r="E169" s="590" t="s">
        <v>914</v>
      </c>
      <c r="K169" s="106"/>
      <c r="L169" s="593"/>
      <c r="M169" s="593"/>
    </row>
    <row r="170" spans="1:13" x14ac:dyDescent="0.35">
      <c r="A170" s="1" t="s">
        <v>823</v>
      </c>
      <c r="B170" t="s">
        <v>861</v>
      </c>
      <c r="C170" s="1" t="s">
        <v>410</v>
      </c>
      <c r="D170" s="112">
        <v>299</v>
      </c>
      <c r="E170" s="590" t="s">
        <v>914</v>
      </c>
      <c r="K170" s="106"/>
      <c r="L170" s="593"/>
      <c r="M170" s="593"/>
    </row>
    <row r="171" spans="1:13" x14ac:dyDescent="0.35">
      <c r="A171" s="1" t="s">
        <v>824</v>
      </c>
      <c r="B171" t="s">
        <v>862</v>
      </c>
      <c r="C171" s="1" t="s">
        <v>410</v>
      </c>
      <c r="D171" s="112">
        <v>99</v>
      </c>
      <c r="E171" s="590" t="s">
        <v>914</v>
      </c>
      <c r="K171" s="106"/>
      <c r="L171" s="593"/>
      <c r="M171" s="593"/>
    </row>
    <row r="172" spans="1:13" x14ac:dyDescent="0.35">
      <c r="A172" s="1" t="s">
        <v>846</v>
      </c>
      <c r="B172" t="s">
        <v>884</v>
      </c>
      <c r="C172" s="1" t="s">
        <v>410</v>
      </c>
      <c r="D172" s="112">
        <v>179</v>
      </c>
      <c r="E172" s="590" t="s">
        <v>914</v>
      </c>
      <c r="K172" s="106"/>
      <c r="L172" s="593"/>
      <c r="M172" s="593"/>
    </row>
    <row r="173" spans="1:13" x14ac:dyDescent="0.35">
      <c r="A173" s="1" t="s">
        <v>847</v>
      </c>
      <c r="B173" t="s">
        <v>885</v>
      </c>
      <c r="C173" s="1" t="s">
        <v>410</v>
      </c>
      <c r="D173" s="112">
        <v>179</v>
      </c>
      <c r="E173" s="590" t="s">
        <v>914</v>
      </c>
      <c r="K173" s="106"/>
      <c r="L173" s="593"/>
      <c r="M173" s="593"/>
    </row>
    <row r="174" spans="1:13" x14ac:dyDescent="0.35">
      <c r="A174" s="1" t="s">
        <v>848</v>
      </c>
      <c r="B174" t="s">
        <v>886</v>
      </c>
      <c r="C174" s="1" t="s">
        <v>410</v>
      </c>
      <c r="D174" s="112">
        <v>299</v>
      </c>
      <c r="E174" s="590" t="s">
        <v>914</v>
      </c>
      <c r="K174" s="106"/>
      <c r="L174" s="593"/>
      <c r="M174" s="593"/>
    </row>
    <row r="175" spans="1:13" x14ac:dyDescent="0.35">
      <c r="A175" s="1" t="s">
        <v>852</v>
      </c>
      <c r="B175" t="s">
        <v>890</v>
      </c>
      <c r="C175" s="1" t="s">
        <v>410</v>
      </c>
      <c r="D175" s="112">
        <v>179</v>
      </c>
      <c r="E175" s="590" t="s">
        <v>914</v>
      </c>
      <c r="K175" s="106"/>
      <c r="L175" s="593"/>
      <c r="M175" s="593"/>
    </row>
    <row r="176" spans="1:13" x14ac:dyDescent="0.35">
      <c r="A176" s="1" t="s">
        <v>853</v>
      </c>
      <c r="B176" t="s">
        <v>891</v>
      </c>
      <c r="C176" s="1" t="s">
        <v>410</v>
      </c>
      <c r="D176" s="112">
        <v>180</v>
      </c>
      <c r="E176" s="590" t="s">
        <v>914</v>
      </c>
      <c r="K176" s="106"/>
      <c r="L176" s="593"/>
      <c r="M176" s="593"/>
    </row>
    <row r="177" spans="1:13" x14ac:dyDescent="0.35">
      <c r="A177" s="1" t="s">
        <v>854</v>
      </c>
      <c r="B177" t="s">
        <v>892</v>
      </c>
      <c r="C177" s="1" t="s">
        <v>410</v>
      </c>
      <c r="D177" s="112">
        <v>298</v>
      </c>
      <c r="E177" s="590" t="s">
        <v>914</v>
      </c>
      <c r="K177" s="106"/>
      <c r="L177" s="593"/>
      <c r="M177" s="593"/>
    </row>
    <row r="178" spans="1:13" x14ac:dyDescent="0.35">
      <c r="A178" s="1" t="s">
        <v>825</v>
      </c>
      <c r="B178" t="s">
        <v>863</v>
      </c>
      <c r="C178" s="1" t="s">
        <v>410</v>
      </c>
      <c r="D178" s="112">
        <v>299</v>
      </c>
      <c r="E178" s="590" t="s">
        <v>914</v>
      </c>
      <c r="K178" s="106"/>
      <c r="L178" s="593"/>
      <c r="M178" s="593"/>
    </row>
    <row r="179" spans="1:13" x14ac:dyDescent="0.35">
      <c r="A179" s="1" t="s">
        <v>826</v>
      </c>
      <c r="B179" t="s">
        <v>864</v>
      </c>
      <c r="C179" s="1" t="s">
        <v>410</v>
      </c>
      <c r="D179" s="112">
        <v>299</v>
      </c>
      <c r="E179" s="590" t="s">
        <v>914</v>
      </c>
      <c r="K179" s="106"/>
      <c r="L179" s="593"/>
      <c r="M179" s="593"/>
    </row>
    <row r="180" spans="1:13" x14ac:dyDescent="0.35">
      <c r="A180" s="1" t="s">
        <v>827</v>
      </c>
      <c r="B180" t="s">
        <v>865</v>
      </c>
      <c r="C180" s="1" t="s">
        <v>410</v>
      </c>
      <c r="D180" s="112">
        <v>299</v>
      </c>
      <c r="E180" s="590" t="s">
        <v>914</v>
      </c>
      <c r="K180" s="106"/>
      <c r="L180" s="593"/>
      <c r="M180" s="593"/>
    </row>
    <row r="181" spans="1:13" x14ac:dyDescent="0.35">
      <c r="A181" s="1" t="s">
        <v>828</v>
      </c>
      <c r="B181" t="s">
        <v>866</v>
      </c>
      <c r="C181" s="1" t="s">
        <v>410</v>
      </c>
      <c r="D181" s="112">
        <v>99</v>
      </c>
      <c r="E181" s="590" t="s">
        <v>914</v>
      </c>
      <c r="K181" s="106"/>
      <c r="L181" s="593"/>
      <c r="M181" s="593"/>
    </row>
    <row r="182" spans="1:13" x14ac:dyDescent="0.35">
      <c r="A182" s="1" t="s">
        <v>829</v>
      </c>
      <c r="B182" t="s">
        <v>867</v>
      </c>
      <c r="C182" s="1" t="s">
        <v>410</v>
      </c>
      <c r="D182" s="112">
        <v>99</v>
      </c>
      <c r="E182" s="590" t="s">
        <v>914</v>
      </c>
      <c r="K182" s="106"/>
      <c r="L182" s="593"/>
      <c r="M182" s="593"/>
    </row>
    <row r="183" spans="1:13" x14ac:dyDescent="0.35">
      <c r="A183" s="1" t="s">
        <v>830</v>
      </c>
      <c r="B183" t="s">
        <v>868</v>
      </c>
      <c r="C183" s="1" t="s">
        <v>410</v>
      </c>
      <c r="D183" s="112">
        <v>199</v>
      </c>
      <c r="E183" s="590" t="s">
        <v>914</v>
      </c>
      <c r="K183" s="106"/>
      <c r="L183" s="593"/>
      <c r="M183" s="593"/>
    </row>
    <row r="184" spans="1:13" x14ac:dyDescent="0.35">
      <c r="A184" s="1" t="s">
        <v>849</v>
      </c>
      <c r="B184" t="s">
        <v>887</v>
      </c>
      <c r="C184" s="1" t="s">
        <v>410</v>
      </c>
      <c r="D184" s="112">
        <v>161</v>
      </c>
      <c r="E184" s="590" t="s">
        <v>914</v>
      </c>
      <c r="K184" s="106"/>
      <c r="L184" s="593"/>
      <c r="M184" s="593"/>
    </row>
    <row r="185" spans="1:13" x14ac:dyDescent="0.35">
      <c r="A185" s="1" t="s">
        <v>850</v>
      </c>
      <c r="B185" t="s">
        <v>888</v>
      </c>
      <c r="C185" s="1" t="s">
        <v>410</v>
      </c>
      <c r="D185" s="112">
        <v>179</v>
      </c>
      <c r="E185" s="590" t="s">
        <v>914</v>
      </c>
      <c r="K185" s="106"/>
      <c r="L185" s="593"/>
      <c r="M185" s="593"/>
    </row>
    <row r="186" spans="1:13" x14ac:dyDescent="0.35">
      <c r="A186" s="1" t="s">
        <v>851</v>
      </c>
      <c r="B186" t="s">
        <v>889</v>
      </c>
      <c r="C186" s="1" t="s">
        <v>410</v>
      </c>
      <c r="D186" s="112">
        <v>286</v>
      </c>
      <c r="E186" s="590" t="s">
        <v>914</v>
      </c>
      <c r="K186" s="106"/>
      <c r="L186" s="593"/>
      <c r="M186" s="593"/>
    </row>
    <row r="187" spans="1:13" x14ac:dyDescent="0.35">
      <c r="A187"/>
      <c r="C187"/>
      <c r="D187"/>
      <c r="K187" s="106"/>
      <c r="L187" s="593"/>
      <c r="M187" s="593"/>
    </row>
    <row r="188" spans="1:13" x14ac:dyDescent="0.35">
      <c r="A188"/>
      <c r="C188"/>
      <c r="D188"/>
      <c r="K188" s="106"/>
      <c r="L188" s="593"/>
      <c r="M188" s="593"/>
    </row>
    <row r="189" spans="1:13" x14ac:dyDescent="0.35">
      <c r="A189"/>
      <c r="C189"/>
      <c r="D189"/>
      <c r="K189" s="106"/>
      <c r="L189" s="593"/>
      <c r="M189" s="593"/>
    </row>
    <row r="190" spans="1:13" x14ac:dyDescent="0.35">
      <c r="A190"/>
      <c r="C190"/>
      <c r="D190"/>
      <c r="K190" s="106"/>
      <c r="L190" s="593"/>
      <c r="M190" s="593"/>
    </row>
    <row r="191" spans="1:13" x14ac:dyDescent="0.35">
      <c r="A191"/>
      <c r="C191"/>
      <c r="D191"/>
      <c r="K191" s="106"/>
      <c r="L191" s="593"/>
      <c r="M191" s="593"/>
    </row>
    <row r="192" spans="1:13" x14ac:dyDescent="0.35">
      <c r="A192"/>
      <c r="C192"/>
      <c r="D192"/>
      <c r="K192" s="106"/>
      <c r="L192" s="593"/>
      <c r="M192" s="593"/>
    </row>
    <row r="193" spans="1:13" x14ac:dyDescent="0.35">
      <c r="A193"/>
      <c r="C193"/>
      <c r="D193"/>
      <c r="K193" s="106"/>
      <c r="L193" s="593"/>
      <c r="M193" s="593"/>
    </row>
    <row r="194" spans="1:13" x14ac:dyDescent="0.35">
      <c r="A194"/>
      <c r="C194"/>
      <c r="D194"/>
      <c r="K194" s="106"/>
      <c r="L194" s="593"/>
      <c r="M194" s="593"/>
    </row>
    <row r="195" spans="1:13" x14ac:dyDescent="0.35">
      <c r="A195"/>
      <c r="C195"/>
      <c r="D195"/>
      <c r="K195" s="106"/>
      <c r="L195" s="593"/>
      <c r="M195" s="593"/>
    </row>
    <row r="196" spans="1:13" x14ac:dyDescent="0.35">
      <c r="A196"/>
      <c r="C196"/>
      <c r="D196"/>
      <c r="K196" s="106"/>
      <c r="L196" s="593"/>
      <c r="M196" s="593"/>
    </row>
    <row r="197" spans="1:13" x14ac:dyDescent="0.35">
      <c r="A197"/>
      <c r="C197"/>
      <c r="D197"/>
      <c r="K197" s="106"/>
      <c r="L197" s="593"/>
      <c r="M197" s="593"/>
    </row>
    <row r="198" spans="1:13" x14ac:dyDescent="0.35">
      <c r="A198"/>
      <c r="C198"/>
      <c r="D198"/>
      <c r="K198" s="106"/>
      <c r="L198" s="593"/>
      <c r="M198" s="593"/>
    </row>
    <row r="199" spans="1:13" x14ac:dyDescent="0.35">
      <c r="A199"/>
      <c r="C199"/>
      <c r="D199"/>
      <c r="K199" s="106"/>
      <c r="L199" s="593"/>
      <c r="M199" s="593"/>
    </row>
    <row r="200" spans="1:13" x14ac:dyDescent="0.35">
      <c r="A200"/>
      <c r="C200"/>
      <c r="D200"/>
      <c r="K200" s="106"/>
      <c r="L200" s="593"/>
      <c r="M200" s="593"/>
    </row>
    <row r="201" spans="1:13" x14ac:dyDescent="0.35">
      <c r="A201"/>
      <c r="C201"/>
      <c r="D201"/>
      <c r="K201" s="106"/>
      <c r="L201" s="593"/>
      <c r="M201" s="593"/>
    </row>
    <row r="202" spans="1:13" x14ac:dyDescent="0.35">
      <c r="A202"/>
      <c r="C202"/>
      <c r="D202"/>
      <c r="K202" s="106"/>
      <c r="L202" s="593"/>
      <c r="M202" s="593"/>
    </row>
    <row r="203" spans="1:13" x14ac:dyDescent="0.35">
      <c r="A203"/>
      <c r="C203"/>
      <c r="D203"/>
      <c r="K203" s="106"/>
      <c r="L203" s="593"/>
      <c r="M203" s="593"/>
    </row>
    <row r="204" spans="1:13" x14ac:dyDescent="0.35">
      <c r="A204"/>
      <c r="C204"/>
      <c r="D204"/>
      <c r="K204" s="106"/>
      <c r="L204" s="593"/>
      <c r="M204" s="593"/>
    </row>
    <row r="205" spans="1:13" x14ac:dyDescent="0.35">
      <c r="A205"/>
      <c r="C205"/>
      <c r="D205"/>
      <c r="K205" s="106"/>
      <c r="L205" s="593"/>
      <c r="M205" s="593"/>
    </row>
    <row r="206" spans="1:13" x14ac:dyDescent="0.35">
      <c r="A206"/>
      <c r="C206"/>
      <c r="D206"/>
      <c r="K206" s="106"/>
      <c r="L206" s="593"/>
      <c r="M206" s="593"/>
    </row>
    <row r="207" spans="1:13" x14ac:dyDescent="0.35">
      <c r="A207"/>
      <c r="C207"/>
      <c r="D207"/>
      <c r="K207" s="106"/>
      <c r="L207" s="593"/>
      <c r="M207" s="593"/>
    </row>
    <row r="208" spans="1:13" x14ac:dyDescent="0.35">
      <c r="A208"/>
      <c r="C208"/>
      <c r="D208"/>
      <c r="K208" s="106"/>
      <c r="L208" s="593"/>
      <c r="M208" s="593"/>
    </row>
    <row r="209" spans="1:13" x14ac:dyDescent="0.35">
      <c r="A209"/>
      <c r="C209"/>
      <c r="D209"/>
      <c r="K209" s="106"/>
      <c r="L209" s="593"/>
      <c r="M209" s="593"/>
    </row>
    <row r="210" spans="1:13" x14ac:dyDescent="0.35">
      <c r="A210"/>
      <c r="C210"/>
      <c r="D210"/>
      <c r="K210" s="106"/>
      <c r="L210" s="593"/>
      <c r="M210" s="593"/>
    </row>
    <row r="211" spans="1:13" x14ac:dyDescent="0.35">
      <c r="A211"/>
      <c r="C211"/>
      <c r="D211"/>
      <c r="K211" s="106"/>
      <c r="L211" s="593"/>
      <c r="M211" s="593"/>
    </row>
    <row r="212" spans="1:13" x14ac:dyDescent="0.35">
      <c r="A212"/>
      <c r="C212"/>
      <c r="D212"/>
      <c r="K212" s="106"/>
      <c r="L212" s="593"/>
      <c r="M212" s="593"/>
    </row>
    <row r="213" spans="1:13" x14ac:dyDescent="0.35">
      <c r="A213"/>
      <c r="C213"/>
      <c r="D213"/>
      <c r="K213" s="106"/>
      <c r="L213" s="593"/>
      <c r="M213" s="593"/>
    </row>
    <row r="214" spans="1:13" x14ac:dyDescent="0.35">
      <c r="A214"/>
      <c r="C214"/>
      <c r="D214"/>
      <c r="K214" s="106"/>
      <c r="L214" s="593"/>
      <c r="M214" s="593"/>
    </row>
    <row r="215" spans="1:13" x14ac:dyDescent="0.35">
      <c r="A215"/>
      <c r="C215"/>
      <c r="D215"/>
      <c r="K215" s="106"/>
      <c r="L215" s="593"/>
      <c r="M215" s="593"/>
    </row>
    <row r="216" spans="1:13" x14ac:dyDescent="0.35">
      <c r="A216"/>
      <c r="C216"/>
      <c r="D216"/>
      <c r="K216" s="106"/>
      <c r="L216" s="593"/>
      <c r="M216" s="593"/>
    </row>
    <row r="217" spans="1:13" x14ac:dyDescent="0.35">
      <c r="A217"/>
      <c r="C217"/>
      <c r="D217"/>
      <c r="K217" s="106"/>
      <c r="L217" s="593"/>
      <c r="M217" s="593"/>
    </row>
    <row r="218" spans="1:13" x14ac:dyDescent="0.35">
      <c r="A218"/>
      <c r="C218"/>
      <c r="D218"/>
      <c r="K218" s="106"/>
      <c r="L218" s="593"/>
      <c r="M218" s="593"/>
    </row>
    <row r="219" spans="1:13" x14ac:dyDescent="0.35">
      <c r="A219"/>
      <c r="C219"/>
      <c r="D219"/>
      <c r="K219" s="106"/>
      <c r="L219" s="593"/>
      <c r="M219" s="593"/>
    </row>
    <row r="220" spans="1:13" x14ac:dyDescent="0.35">
      <c r="A220"/>
      <c r="C220"/>
      <c r="D220"/>
      <c r="K220" s="106"/>
      <c r="L220" s="593"/>
      <c r="M220" s="593"/>
    </row>
    <row r="221" spans="1:13" x14ac:dyDescent="0.35">
      <c r="A221"/>
      <c r="C221"/>
      <c r="D221"/>
      <c r="K221" s="106"/>
      <c r="L221" s="593"/>
      <c r="M221" s="593"/>
    </row>
    <row r="222" spans="1:13" x14ac:dyDescent="0.35">
      <c r="A222"/>
      <c r="C222"/>
      <c r="D222"/>
      <c r="K222" s="106"/>
      <c r="L222" s="593"/>
      <c r="M222" s="593"/>
    </row>
    <row r="223" spans="1:13" x14ac:dyDescent="0.35">
      <c r="A223"/>
      <c r="C223"/>
      <c r="D223"/>
      <c r="K223" s="106"/>
      <c r="L223" s="593"/>
      <c r="M223" s="593"/>
    </row>
    <row r="224" spans="1:13" x14ac:dyDescent="0.35">
      <c r="A224"/>
      <c r="C224"/>
      <c r="D224"/>
      <c r="K224" s="106"/>
      <c r="L224" s="593"/>
      <c r="M224" s="593"/>
    </row>
    <row r="225" spans="1:13" x14ac:dyDescent="0.35">
      <c r="A225"/>
      <c r="C225"/>
      <c r="D225"/>
      <c r="K225" s="106"/>
      <c r="L225" s="593"/>
      <c r="M225" s="593"/>
    </row>
    <row r="226" spans="1:13" x14ac:dyDescent="0.35">
      <c r="A226"/>
      <c r="C226"/>
      <c r="D226"/>
      <c r="K226" s="106"/>
      <c r="L226" s="593"/>
      <c r="M226" s="593"/>
    </row>
    <row r="227" spans="1:13" x14ac:dyDescent="0.35">
      <c r="A227"/>
      <c r="C227"/>
      <c r="D227"/>
      <c r="K227" s="106"/>
      <c r="L227" s="593"/>
      <c r="M227" s="593"/>
    </row>
    <row r="228" spans="1:13" x14ac:dyDescent="0.35">
      <c r="A228"/>
      <c r="C228"/>
      <c r="D228"/>
      <c r="K228" s="106"/>
      <c r="L228" s="593"/>
      <c r="M228" s="593"/>
    </row>
    <row r="229" spans="1:13" x14ac:dyDescent="0.35">
      <c r="A229"/>
      <c r="C229"/>
      <c r="D229"/>
      <c r="K229" s="106"/>
      <c r="L229" s="593"/>
      <c r="M229" s="593"/>
    </row>
    <row r="230" spans="1:13" x14ac:dyDescent="0.35">
      <c r="A230"/>
      <c r="C230"/>
      <c r="D230"/>
      <c r="K230" s="106"/>
      <c r="L230" s="593"/>
      <c r="M230" s="593"/>
    </row>
    <row r="231" spans="1:13" x14ac:dyDescent="0.35">
      <c r="A231"/>
      <c r="C231"/>
      <c r="D231"/>
      <c r="K231" s="106"/>
      <c r="L231" s="593"/>
      <c r="M231" s="593"/>
    </row>
    <row r="232" spans="1:13" x14ac:dyDescent="0.35">
      <c r="A232"/>
      <c r="C232"/>
      <c r="D232"/>
      <c r="K232" s="106"/>
      <c r="L232" s="593"/>
      <c r="M232" s="593"/>
    </row>
    <row r="233" spans="1:13" x14ac:dyDescent="0.35">
      <c r="A233"/>
      <c r="C233"/>
      <c r="D233"/>
      <c r="K233" s="106"/>
      <c r="L233" s="593"/>
      <c r="M233" s="593"/>
    </row>
    <row r="234" spans="1:13" x14ac:dyDescent="0.35">
      <c r="A234"/>
      <c r="C234"/>
      <c r="D234"/>
      <c r="K234" s="106"/>
      <c r="L234" s="593"/>
      <c r="M234" s="593"/>
    </row>
    <row r="235" spans="1:13" x14ac:dyDescent="0.35">
      <c r="A235"/>
      <c r="C235"/>
      <c r="D235"/>
      <c r="K235" s="106"/>
      <c r="L235" s="593"/>
      <c r="M235" s="593"/>
    </row>
    <row r="236" spans="1:13" x14ac:dyDescent="0.35">
      <c r="A236"/>
      <c r="C236"/>
      <c r="D236"/>
      <c r="K236" s="106"/>
      <c r="L236" s="593"/>
      <c r="M236" s="593"/>
    </row>
    <row r="237" spans="1:13" x14ac:dyDescent="0.35">
      <c r="A237"/>
      <c r="C237"/>
      <c r="D237"/>
      <c r="K237" s="106"/>
      <c r="L237" s="593"/>
      <c r="M237" s="593"/>
    </row>
    <row r="238" spans="1:13" x14ac:dyDescent="0.35">
      <c r="A238"/>
      <c r="C238"/>
      <c r="D238"/>
      <c r="K238" s="106"/>
      <c r="L238" s="593"/>
      <c r="M238" s="593"/>
    </row>
    <row r="239" spans="1:13" x14ac:dyDescent="0.35">
      <c r="A239"/>
      <c r="C239"/>
      <c r="D239"/>
      <c r="K239" s="106"/>
      <c r="L239" s="593"/>
      <c r="M239" s="593"/>
    </row>
    <row r="240" spans="1:13" x14ac:dyDescent="0.35">
      <c r="A240"/>
      <c r="C240"/>
      <c r="D240"/>
      <c r="K240" s="106"/>
      <c r="L240" s="593"/>
      <c r="M240" s="593"/>
    </row>
    <row r="241" spans="1:13" x14ac:dyDescent="0.35">
      <c r="A241"/>
      <c r="C241"/>
      <c r="D241"/>
      <c r="K241" s="106"/>
      <c r="L241" s="593"/>
      <c r="M241" s="593"/>
    </row>
    <row r="242" spans="1:13" x14ac:dyDescent="0.35">
      <c r="A242"/>
      <c r="C242"/>
      <c r="D242"/>
      <c r="K242" s="106"/>
      <c r="L242" s="593"/>
      <c r="M242" s="593"/>
    </row>
    <row r="243" spans="1:13" x14ac:dyDescent="0.35">
      <c r="A243"/>
      <c r="C243"/>
      <c r="D243"/>
      <c r="K243" s="106"/>
      <c r="L243" s="593"/>
      <c r="M243" s="593"/>
    </row>
    <row r="244" spans="1:13" x14ac:dyDescent="0.35">
      <c r="A244"/>
      <c r="C244"/>
      <c r="D244"/>
      <c r="K244" s="106"/>
      <c r="L244" s="593"/>
      <c r="M244" s="593"/>
    </row>
    <row r="245" spans="1:13" x14ac:dyDescent="0.35">
      <c r="A245"/>
      <c r="C245"/>
      <c r="D245"/>
      <c r="K245" s="106"/>
      <c r="L245" s="593"/>
      <c r="M245" s="593"/>
    </row>
    <row r="246" spans="1:13" x14ac:dyDescent="0.35">
      <c r="A246"/>
      <c r="C246"/>
      <c r="D246"/>
      <c r="K246" s="106"/>
      <c r="L246" s="593"/>
      <c r="M246" s="593"/>
    </row>
    <row r="247" spans="1:13" x14ac:dyDescent="0.35">
      <c r="A247"/>
      <c r="C247"/>
      <c r="D247"/>
      <c r="K247" s="106"/>
      <c r="L247" s="593"/>
      <c r="M247" s="593"/>
    </row>
    <row r="248" spans="1:13" x14ac:dyDescent="0.35">
      <c r="A248"/>
      <c r="C248"/>
      <c r="D248"/>
      <c r="K248" s="106"/>
      <c r="L248" s="593"/>
      <c r="M248" s="593"/>
    </row>
    <row r="249" spans="1:13" x14ac:dyDescent="0.35">
      <c r="A249"/>
      <c r="C249"/>
      <c r="D249"/>
      <c r="K249" s="106"/>
      <c r="L249" s="593"/>
      <c r="M249" s="593"/>
    </row>
    <row r="250" spans="1:13" x14ac:dyDescent="0.35">
      <c r="A250"/>
      <c r="C250"/>
      <c r="D250"/>
      <c r="K250" s="106"/>
      <c r="L250" s="593"/>
      <c r="M250" s="593"/>
    </row>
    <row r="251" spans="1:13" x14ac:dyDescent="0.35">
      <c r="A251"/>
      <c r="C251"/>
      <c r="D251"/>
      <c r="K251" s="106"/>
      <c r="L251" s="593"/>
      <c r="M251" s="593"/>
    </row>
    <row r="252" spans="1:13" x14ac:dyDescent="0.35">
      <c r="A252"/>
      <c r="C252"/>
      <c r="D252"/>
      <c r="K252" s="106"/>
      <c r="L252" s="593"/>
      <c r="M252" s="593"/>
    </row>
    <row r="253" spans="1:13" x14ac:dyDescent="0.35">
      <c r="A253"/>
      <c r="C253"/>
      <c r="D253"/>
      <c r="K253" s="106"/>
      <c r="L253" s="593"/>
      <c r="M253" s="593"/>
    </row>
    <row r="254" spans="1:13" x14ac:dyDescent="0.35">
      <c r="A254"/>
      <c r="C254"/>
      <c r="D254"/>
      <c r="K254" s="106"/>
      <c r="L254" s="593"/>
      <c r="M254" s="593"/>
    </row>
    <row r="255" spans="1:13" x14ac:dyDescent="0.35">
      <c r="A255"/>
      <c r="C255"/>
      <c r="D255"/>
      <c r="K255" s="106"/>
      <c r="L255" s="593"/>
      <c r="M255" s="593"/>
    </row>
    <row r="256" spans="1:13" x14ac:dyDescent="0.35">
      <c r="A256"/>
      <c r="C256"/>
      <c r="D256"/>
      <c r="K256" s="106"/>
      <c r="L256" s="593"/>
      <c r="M256" s="593"/>
    </row>
    <row r="257" spans="1:13" x14ac:dyDescent="0.35">
      <c r="A257"/>
      <c r="C257"/>
      <c r="D257"/>
      <c r="K257" s="106"/>
      <c r="L257" s="593"/>
      <c r="M257" s="593"/>
    </row>
    <row r="258" spans="1:13" x14ac:dyDescent="0.35">
      <c r="A258"/>
      <c r="C258"/>
      <c r="D258"/>
      <c r="K258" s="106"/>
      <c r="L258" s="593"/>
      <c r="M258" s="593"/>
    </row>
    <row r="259" spans="1:13" x14ac:dyDescent="0.35">
      <c r="A259"/>
      <c r="C259"/>
      <c r="D259"/>
      <c r="K259" s="106"/>
      <c r="L259" s="593"/>
      <c r="M259" s="593"/>
    </row>
    <row r="260" spans="1:13" x14ac:dyDescent="0.35">
      <c r="A260"/>
      <c r="C260"/>
      <c r="D260"/>
      <c r="K260" s="106"/>
      <c r="L260" s="593"/>
      <c r="M260" s="593"/>
    </row>
    <row r="261" spans="1:13" x14ac:dyDescent="0.35">
      <c r="A261"/>
      <c r="C261"/>
      <c r="D261"/>
      <c r="K261" s="106"/>
      <c r="L261" s="593"/>
      <c r="M261" s="593"/>
    </row>
    <row r="262" spans="1:13" x14ac:dyDescent="0.35">
      <c r="A262"/>
      <c r="C262"/>
      <c r="D262"/>
      <c r="K262" s="106"/>
      <c r="L262" s="593"/>
      <c r="M262" s="593"/>
    </row>
    <row r="263" spans="1:13" x14ac:dyDescent="0.35">
      <c r="A263"/>
      <c r="C263"/>
      <c r="D263"/>
      <c r="K263" s="106"/>
      <c r="L263" s="593"/>
      <c r="M263" s="593"/>
    </row>
    <row r="264" spans="1:13" x14ac:dyDescent="0.35">
      <c r="A264"/>
      <c r="C264"/>
      <c r="D264"/>
      <c r="K264" s="106"/>
      <c r="L264" s="593"/>
      <c r="M264" s="593"/>
    </row>
    <row r="265" spans="1:13" x14ac:dyDescent="0.35">
      <c r="A265"/>
      <c r="C265"/>
      <c r="D265"/>
      <c r="K265" s="106"/>
      <c r="L265" s="593"/>
      <c r="M265" s="593"/>
    </row>
    <row r="266" spans="1:13" x14ac:dyDescent="0.35">
      <c r="A266"/>
      <c r="C266"/>
      <c r="D266"/>
      <c r="K266" s="106"/>
      <c r="L266" s="593"/>
      <c r="M266" s="593"/>
    </row>
    <row r="267" spans="1:13" x14ac:dyDescent="0.35">
      <c r="A267"/>
      <c r="C267"/>
      <c r="D267"/>
      <c r="K267" s="106"/>
      <c r="L267" s="593"/>
      <c r="M267" s="593"/>
    </row>
    <row r="268" spans="1:13" x14ac:dyDescent="0.35">
      <c r="A268"/>
      <c r="C268"/>
      <c r="D268"/>
      <c r="K268" s="106"/>
      <c r="L268" s="593"/>
      <c r="M268" s="593"/>
    </row>
    <row r="269" spans="1:13" x14ac:dyDescent="0.35">
      <c r="A269"/>
      <c r="C269"/>
      <c r="D269"/>
      <c r="K269" s="106"/>
      <c r="L269" s="593"/>
      <c r="M269" s="593"/>
    </row>
    <row r="270" spans="1:13" x14ac:dyDescent="0.35">
      <c r="A270"/>
      <c r="C270"/>
      <c r="D270"/>
      <c r="K270" s="106"/>
      <c r="L270" s="593"/>
      <c r="M270" s="593"/>
    </row>
    <row r="271" spans="1:13" x14ac:dyDescent="0.35">
      <c r="A271"/>
      <c r="C271"/>
      <c r="D271"/>
      <c r="K271" s="106"/>
      <c r="L271" s="593"/>
      <c r="M271" s="593"/>
    </row>
    <row r="272" spans="1:13" x14ac:dyDescent="0.35">
      <c r="K272" s="106"/>
      <c r="L272" s="593"/>
      <c r="M272" s="593"/>
    </row>
    <row r="273" spans="11:13" x14ac:dyDescent="0.35">
      <c r="K273" s="106"/>
      <c r="L273" s="593"/>
      <c r="M273" s="593"/>
    </row>
    <row r="274" spans="11:13" x14ac:dyDescent="0.35">
      <c r="K274" s="106"/>
      <c r="L274" s="593"/>
      <c r="M274" s="593"/>
    </row>
    <row r="275" spans="11:13" x14ac:dyDescent="0.35">
      <c r="K275" s="106"/>
      <c r="L275" s="593"/>
      <c r="M275" s="593"/>
    </row>
    <row r="276" spans="11:13" x14ac:dyDescent="0.35">
      <c r="K276" s="106"/>
      <c r="L276" s="593"/>
      <c r="M276" s="593"/>
    </row>
    <row r="277" spans="11:13" x14ac:dyDescent="0.35">
      <c r="K277" s="106"/>
      <c r="L277" s="593"/>
      <c r="M277" s="593"/>
    </row>
    <row r="278" spans="11:13" x14ac:dyDescent="0.35">
      <c r="K278" s="106"/>
      <c r="L278" s="593"/>
      <c r="M278" s="593"/>
    </row>
    <row r="279" spans="11:13" x14ac:dyDescent="0.35">
      <c r="K279" s="106"/>
      <c r="L279" s="593"/>
      <c r="M279" s="593"/>
    </row>
    <row r="280" spans="11:13" x14ac:dyDescent="0.35">
      <c r="K280" s="106"/>
      <c r="L280" s="593"/>
      <c r="M280" s="593"/>
    </row>
    <row r="281" spans="11:13" x14ac:dyDescent="0.35">
      <c r="K281" s="106"/>
      <c r="L281" s="593"/>
      <c r="M281" s="593"/>
    </row>
    <row r="282" spans="11:13" x14ac:dyDescent="0.35">
      <c r="K282" s="106"/>
      <c r="L282" s="593"/>
      <c r="M282" s="593"/>
    </row>
    <row r="283" spans="11:13" x14ac:dyDescent="0.35">
      <c r="K283" s="106"/>
      <c r="L283" s="593"/>
      <c r="M283" s="593"/>
    </row>
    <row r="284" spans="11:13" x14ac:dyDescent="0.35">
      <c r="K284" s="106"/>
      <c r="L284" s="593"/>
      <c r="M284" s="593"/>
    </row>
    <row r="285" spans="11:13" x14ac:dyDescent="0.35">
      <c r="K285" s="106"/>
      <c r="L285" s="593"/>
      <c r="M285" s="593"/>
    </row>
    <row r="286" spans="11:13" x14ac:dyDescent="0.35">
      <c r="K286" s="106"/>
      <c r="L286" s="593"/>
      <c r="M286" s="593"/>
    </row>
    <row r="287" spans="11:13" x14ac:dyDescent="0.35">
      <c r="K287" s="106"/>
      <c r="L287" s="593"/>
      <c r="M287" s="593"/>
    </row>
    <row r="288" spans="11:13" x14ac:dyDescent="0.35">
      <c r="K288" s="106"/>
      <c r="L288" s="593"/>
      <c r="M288" s="593"/>
    </row>
    <row r="289" spans="11:13" x14ac:dyDescent="0.35">
      <c r="K289" s="106"/>
      <c r="L289" s="593"/>
      <c r="M289" s="593"/>
    </row>
    <row r="290" spans="11:13" x14ac:dyDescent="0.35">
      <c r="K290" s="106"/>
      <c r="L290" s="593"/>
      <c r="M290" s="593"/>
    </row>
    <row r="291" spans="11:13" x14ac:dyDescent="0.35">
      <c r="K291" s="106"/>
      <c r="L291" s="593"/>
      <c r="M291" s="593"/>
    </row>
    <row r="292" spans="11:13" x14ac:dyDescent="0.35">
      <c r="K292" s="106"/>
      <c r="L292" s="593"/>
      <c r="M292" s="593"/>
    </row>
    <row r="293" spans="11:13" x14ac:dyDescent="0.35">
      <c r="K293" s="106"/>
      <c r="L293" s="593"/>
      <c r="M293" s="593"/>
    </row>
    <row r="294" spans="11:13" x14ac:dyDescent="0.35">
      <c r="K294" s="106"/>
      <c r="L294" s="593"/>
      <c r="M294" s="593"/>
    </row>
    <row r="295" spans="11:13" x14ac:dyDescent="0.35">
      <c r="K295" s="106"/>
      <c r="L295" s="593"/>
      <c r="M295" s="593"/>
    </row>
    <row r="296" spans="11:13" x14ac:dyDescent="0.35">
      <c r="K296" s="106"/>
      <c r="L296" s="593"/>
      <c r="M296" s="593"/>
    </row>
    <row r="297" spans="11:13" x14ac:dyDescent="0.35">
      <c r="K297" s="106"/>
      <c r="L297" s="593"/>
      <c r="M297" s="593"/>
    </row>
    <row r="298" spans="11:13" x14ac:dyDescent="0.35">
      <c r="K298" s="106"/>
      <c r="L298" s="593"/>
      <c r="M298" s="593"/>
    </row>
    <row r="299" spans="11:13" x14ac:dyDescent="0.35">
      <c r="K299" s="106"/>
      <c r="L299" s="593"/>
      <c r="M299" s="593"/>
    </row>
    <row r="300" spans="11:13" x14ac:dyDescent="0.35">
      <c r="K300" s="106"/>
      <c r="L300" s="593"/>
      <c r="M300" s="593"/>
    </row>
    <row r="301" spans="11:13" x14ac:dyDescent="0.35">
      <c r="K301" s="106"/>
      <c r="L301" s="593"/>
      <c r="M301" s="59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8"/>
  <dimension ref="A1:Y211"/>
  <sheetViews>
    <sheetView showGridLines="0" topLeftCell="A25" zoomScaleNormal="100" zoomScaleSheetLayoutView="100" workbookViewId="0">
      <selection activeCell="I28" sqref="I28"/>
    </sheetView>
  </sheetViews>
  <sheetFormatPr defaultColWidth="8.7265625" defaultRowHeight="12.5" x14ac:dyDescent="0.35"/>
  <cols>
    <col min="1" max="1" width="8.453125" style="124" customWidth="1"/>
    <col min="2" max="2" width="17.81640625" style="124" customWidth="1"/>
    <col min="3" max="3" width="12.7265625" style="124" customWidth="1"/>
    <col min="4" max="4" width="6.26953125" style="125" customWidth="1"/>
    <col min="5" max="5" width="15.453125" style="124" customWidth="1"/>
    <col min="6" max="6" width="3.453125" style="126" customWidth="1"/>
    <col min="7" max="7" width="7.81640625" style="124" customWidth="1"/>
    <col min="8" max="8" width="9" style="124" customWidth="1"/>
    <col min="9" max="9" width="7.81640625" style="126" customWidth="1"/>
    <col min="10" max="10" width="14.1796875" style="126" bestFit="1" customWidth="1"/>
    <col min="11" max="11" width="12" style="124" customWidth="1"/>
    <col min="12" max="12" width="4.1796875" style="124" customWidth="1"/>
    <col min="13" max="16384" width="8.7265625" style="124"/>
  </cols>
  <sheetData>
    <row r="1" spans="1:25" ht="14.15" customHeight="1" x14ac:dyDescent="0.35">
      <c r="A1" s="240"/>
      <c r="B1" s="240"/>
      <c r="G1" s="127"/>
      <c r="H1" s="279"/>
      <c r="I1" s="280"/>
      <c r="J1" s="280"/>
      <c r="K1" s="280"/>
      <c r="L1" s="123"/>
    </row>
    <row r="2" spans="1:25" ht="14.15" customHeight="1" x14ac:dyDescent="0.35">
      <c r="G2" s="127"/>
      <c r="H2" s="128" t="s">
        <v>264</v>
      </c>
      <c r="I2" s="129"/>
      <c r="J2" s="129"/>
      <c r="K2" s="129"/>
      <c r="L2" s="127"/>
      <c r="Q2" s="129"/>
    </row>
    <row r="3" spans="1:25" ht="14.15" customHeight="1" x14ac:dyDescent="0.35">
      <c r="G3" s="127"/>
      <c r="H3" s="130"/>
      <c r="I3" s="124"/>
      <c r="J3" s="124"/>
      <c r="K3" s="129"/>
      <c r="L3" s="127"/>
      <c r="Q3" s="129"/>
    </row>
    <row r="4" spans="1:25" ht="14.15" customHeight="1" x14ac:dyDescent="0.35">
      <c r="G4" s="127"/>
      <c r="H4" s="130" t="s">
        <v>265</v>
      </c>
      <c r="I4" s="124"/>
      <c r="J4" s="124"/>
      <c r="K4" s="129"/>
      <c r="L4" s="127"/>
      <c r="Q4" s="129"/>
    </row>
    <row r="5" spans="1:25" ht="14.15" customHeight="1" x14ac:dyDescent="0.35">
      <c r="G5" s="127"/>
      <c r="H5" s="130" t="s">
        <v>623</v>
      </c>
      <c r="I5" s="124"/>
      <c r="J5" s="124"/>
      <c r="K5" s="129"/>
      <c r="L5" s="127"/>
      <c r="O5" s="129"/>
    </row>
    <row r="6" spans="1:25" ht="14.15" customHeight="1" x14ac:dyDescent="0.35">
      <c r="C6" s="125"/>
      <c r="D6" s="313"/>
      <c r="G6" s="127"/>
      <c r="H6" s="130" t="s">
        <v>1122</v>
      </c>
      <c r="K6" s="129"/>
      <c r="L6" s="127"/>
    </row>
    <row r="7" spans="1:25" ht="14.15" customHeight="1" x14ac:dyDescent="0.35">
      <c r="A7" s="132"/>
      <c r="B7" s="132"/>
      <c r="C7" s="133"/>
      <c r="D7" s="314"/>
      <c r="E7" s="132"/>
      <c r="F7" s="134"/>
      <c r="G7" s="135"/>
      <c r="H7" s="136" t="s">
        <v>1120</v>
      </c>
      <c r="I7" s="134"/>
      <c r="J7" s="134"/>
      <c r="K7" s="132"/>
      <c r="L7" s="135"/>
    </row>
    <row r="8" spans="1:25" x14ac:dyDescent="0.35">
      <c r="A8" s="638" t="s">
        <v>462</v>
      </c>
      <c r="B8" s="626"/>
      <c r="C8" s="635" t="s">
        <v>463</v>
      </c>
      <c r="D8" s="639"/>
      <c r="E8" s="638" t="s">
        <v>464</v>
      </c>
      <c r="F8" s="626"/>
      <c r="G8" s="638" t="s">
        <v>465</v>
      </c>
      <c r="H8" s="624"/>
      <c r="I8" s="624"/>
      <c r="J8" s="149"/>
      <c r="K8" s="635" t="s">
        <v>466</v>
      </c>
      <c r="L8" s="631"/>
    </row>
    <row r="9" spans="1:25" ht="14.5" customHeight="1" x14ac:dyDescent="0.35">
      <c r="A9" s="640" t="s">
        <v>467</v>
      </c>
      <c r="B9" s="641"/>
      <c r="C9" s="645">
        <v>45488</v>
      </c>
      <c r="D9" s="646"/>
      <c r="E9" s="647"/>
      <c r="F9" s="647"/>
      <c r="G9" s="648" t="s">
        <v>1075</v>
      </c>
      <c r="H9" s="649"/>
      <c r="I9" s="649"/>
      <c r="J9" s="650"/>
      <c r="K9" s="640" t="s">
        <v>245</v>
      </c>
      <c r="L9" s="641"/>
    </row>
    <row r="10" spans="1:25" x14ac:dyDescent="0.35">
      <c r="A10" s="635" t="s">
        <v>468</v>
      </c>
      <c r="B10" s="630"/>
      <c r="C10" s="630"/>
      <c r="D10" s="637"/>
      <c r="E10" s="630"/>
      <c r="F10" s="630"/>
      <c r="G10" s="630"/>
      <c r="H10" s="630"/>
      <c r="I10" s="630"/>
      <c r="J10" s="630"/>
      <c r="K10" s="630"/>
      <c r="L10" s="631"/>
    </row>
    <row r="11" spans="1:25" ht="14" x14ac:dyDescent="0.35">
      <c r="A11" s="167" t="s">
        <v>912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5"/>
    </row>
    <row r="12" spans="1:25" ht="31.5" customHeight="1" x14ac:dyDescent="0.35">
      <c r="A12" s="141" t="s">
        <v>469</v>
      </c>
      <c r="B12" s="642" t="s">
        <v>470</v>
      </c>
      <c r="C12" s="643"/>
      <c r="D12" s="643"/>
      <c r="E12" s="644"/>
      <c r="F12" s="142" t="s">
        <v>471</v>
      </c>
      <c r="G12" s="141" t="s">
        <v>472</v>
      </c>
      <c r="H12" s="141" t="s">
        <v>473</v>
      </c>
      <c r="I12" s="141" t="s">
        <v>474</v>
      </c>
      <c r="J12" s="141" t="s">
        <v>1113</v>
      </c>
      <c r="K12" s="141" t="s">
        <v>475</v>
      </c>
      <c r="L12" s="141" t="s">
        <v>476</v>
      </c>
    </row>
    <row r="13" spans="1:25" ht="13" customHeight="1" x14ac:dyDescent="0.35">
      <c r="A13" s="262"/>
      <c r="B13" s="217" t="s">
        <v>1052</v>
      </c>
      <c r="C13" s="263"/>
      <c r="D13" s="263"/>
      <c r="E13" s="264"/>
      <c r="F13" s="265"/>
      <c r="G13" s="579"/>
      <c r="H13" s="324"/>
      <c r="I13" s="579"/>
      <c r="J13" s="316"/>
      <c r="K13" s="324"/>
      <c r="L13" s="326"/>
      <c r="O13" s="129"/>
    </row>
    <row r="14" spans="1:25" ht="14.5" x14ac:dyDescent="0.35">
      <c r="A14" s="256">
        <f t="array" ref="A14:A23">INDEX(salesHistory[sku], SMALL(IF((salesHistory[qty]&lt;&gt;0)*(salesHistory[order_no]=77), ROW(salesHistory[qty])-MIN(ROW(salesHistory[qty]))+1), ROW(A1:A10)))</f>
        <v>0</v>
      </c>
      <c r="B14" s="469" t="e">
        <f>INDEX(bhpc_data[description],MATCH($A14,bhpc_data[sku],0))</f>
        <v>#N/A</v>
      </c>
      <c r="C14" s="258"/>
      <c r="D14" s="258"/>
      <c r="E14" s="259"/>
      <c r="F14" s="260" t="s">
        <v>924</v>
      </c>
      <c r="G14" s="580">
        <f t="array" ref="G14:G23">INDEX(salesHistory[qty], SMALL(IF((salesHistory[qty]&lt;&gt;0)*(salesHistory[order_no]=77), ROW(salesHistory[qty])-MIN(ROW(salesHistory[qty]))+1), ROW(A1:A10)))</f>
        <v>0</v>
      </c>
      <c r="H14" s="325">
        <f t="array" ref="H14:H23">INDEX(salesHistory[price], SMALL(IF((salesHistory[qty]&lt;&gt;0)*(salesHistory[order_no]=77), ROW(salesHistory[qty])-MIN(ROW(salesHistory[qty]))+1), ROW(A1:A10)))</f>
        <v>0</v>
      </c>
      <c r="I14" s="580">
        <f t="shared" ref="I14:I23" si="0">CEILING(G14/24,1)</f>
        <v>0</v>
      </c>
      <c r="J14" s="317" t="e">
        <f>INDEX(bhpc_data[ean],MATCH(A14,bhpc_data[sku],0))</f>
        <v>#N/A</v>
      </c>
      <c r="K14" s="325">
        <f t="shared" ref="K14:K23" si="1">G14*H14</f>
        <v>0</v>
      </c>
      <c r="L14" s="312" t="s">
        <v>267</v>
      </c>
      <c r="O14" s="126"/>
      <c r="T14" s="61"/>
      <c r="U14" s="61"/>
      <c r="V14" s="145"/>
      <c r="W14" s="61"/>
      <c r="X14" s="145"/>
      <c r="Y14" s="61"/>
    </row>
    <row r="15" spans="1:25" ht="14.5" x14ac:dyDescent="0.35">
      <c r="A15" s="256" t="e">
        <v>#NUM!</v>
      </c>
      <c r="B15" s="469" t="e">
        <f>INDEX(bhpc_data[description],MATCH($A15,bhpc_data[sku],0))</f>
        <v>#NUM!</v>
      </c>
      <c r="C15" s="258"/>
      <c r="D15" s="258"/>
      <c r="E15" s="259"/>
      <c r="F15" s="260" t="s">
        <v>924</v>
      </c>
      <c r="G15" s="580" t="e">
        <v>#NUM!</v>
      </c>
      <c r="H15" s="325" t="e">
        <v>#NUM!</v>
      </c>
      <c r="I15" s="580" t="e">
        <f t="shared" si="0"/>
        <v>#NUM!</v>
      </c>
      <c r="J15" s="317" t="e">
        <f>INDEX(bhpc_data[ean],MATCH(A15,bhpc_data[sku],0))</f>
        <v>#NUM!</v>
      </c>
      <c r="K15" s="325" t="e">
        <f t="shared" si="1"/>
        <v>#NUM!</v>
      </c>
      <c r="L15" s="312" t="s">
        <v>267</v>
      </c>
      <c r="O15" s="129"/>
    </row>
    <row r="16" spans="1:25" ht="14.5" x14ac:dyDescent="0.35">
      <c r="A16" s="256" t="e">
        <v>#NUM!</v>
      </c>
      <c r="B16" s="469" t="e">
        <f>INDEX(bhpc_data[description],MATCH($A16,bhpc_data[sku],0))</f>
        <v>#NUM!</v>
      </c>
      <c r="C16" s="258"/>
      <c r="D16" s="258"/>
      <c r="E16" s="259"/>
      <c r="F16" s="260" t="s">
        <v>924</v>
      </c>
      <c r="G16" s="580" t="e">
        <v>#NUM!</v>
      </c>
      <c r="H16" s="325" t="e">
        <v>#NUM!</v>
      </c>
      <c r="I16" s="580" t="e">
        <f t="shared" si="0"/>
        <v>#NUM!</v>
      </c>
      <c r="J16" s="317" t="e">
        <f>INDEX(bhpc_data[ean],MATCH(A16,bhpc_data[sku],0))</f>
        <v>#NUM!</v>
      </c>
      <c r="K16" s="325" t="e">
        <f t="shared" si="1"/>
        <v>#NUM!</v>
      </c>
      <c r="L16" s="312" t="s">
        <v>267</v>
      </c>
      <c r="O16" s="126"/>
      <c r="U16" s="61"/>
      <c r="V16" s="145"/>
      <c r="W16" s="61"/>
      <c r="X16" s="145"/>
      <c r="Y16" s="61"/>
    </row>
    <row r="17" spans="1:25" ht="14.5" x14ac:dyDescent="0.35">
      <c r="A17" s="256" t="e">
        <v>#NUM!</v>
      </c>
      <c r="B17" s="469" t="e">
        <f>INDEX(bhpc_data[description],MATCH($A17,bhpc_data[sku],0))</f>
        <v>#NUM!</v>
      </c>
      <c r="C17" s="288"/>
      <c r="D17" s="121"/>
      <c r="E17" s="259"/>
      <c r="F17" s="260" t="s">
        <v>924</v>
      </c>
      <c r="G17" s="580" t="e">
        <v>#NUM!</v>
      </c>
      <c r="H17" s="325" t="e">
        <v>#NUM!</v>
      </c>
      <c r="I17" s="580" t="e">
        <f t="shared" si="0"/>
        <v>#NUM!</v>
      </c>
      <c r="J17" s="317" t="e">
        <f>INDEX(bhpc_data[ean],MATCH(A17,bhpc_data[sku],0))</f>
        <v>#NUM!</v>
      </c>
      <c r="K17" s="325" t="e">
        <f t="shared" si="1"/>
        <v>#NUM!</v>
      </c>
      <c r="L17" s="312" t="s">
        <v>267</v>
      </c>
      <c r="O17" s="129"/>
    </row>
    <row r="18" spans="1:25" ht="14.5" x14ac:dyDescent="0.35">
      <c r="A18" s="256" t="e">
        <v>#NUM!</v>
      </c>
      <c r="B18" s="469" t="e">
        <f>INDEX(bhpc_data[description],MATCH($A18,bhpc_data[sku],0))</f>
        <v>#NUM!</v>
      </c>
      <c r="C18" s="288"/>
      <c r="D18" s="121"/>
      <c r="E18" s="259"/>
      <c r="F18" s="260" t="s">
        <v>924</v>
      </c>
      <c r="G18" s="580" t="e">
        <v>#NUM!</v>
      </c>
      <c r="H18" s="325" t="e">
        <v>#NUM!</v>
      </c>
      <c r="I18" s="580" t="e">
        <f t="shared" si="0"/>
        <v>#NUM!</v>
      </c>
      <c r="J18" s="317" t="e">
        <f>INDEX(bhpc_data[ean],MATCH(A18,bhpc_data[sku],0))</f>
        <v>#NUM!</v>
      </c>
      <c r="K18" s="325" t="e">
        <f t="shared" si="1"/>
        <v>#NUM!</v>
      </c>
      <c r="L18" s="312" t="s">
        <v>267</v>
      </c>
      <c r="O18" s="126"/>
      <c r="U18" s="61"/>
      <c r="V18" s="145"/>
      <c r="W18" s="61"/>
      <c r="X18" s="145"/>
      <c r="Y18" s="61"/>
    </row>
    <row r="19" spans="1:25" ht="14.5" x14ac:dyDescent="0.35">
      <c r="A19" s="256" t="e">
        <v>#NUM!</v>
      </c>
      <c r="B19" s="469" t="e">
        <f>INDEX(bhpc_data[description],MATCH($A19,bhpc_data[sku],0))</f>
        <v>#NUM!</v>
      </c>
      <c r="C19" s="288"/>
      <c r="D19" s="291"/>
      <c r="E19" s="259"/>
      <c r="F19" s="260" t="s">
        <v>924</v>
      </c>
      <c r="G19" s="580" t="e">
        <v>#NUM!</v>
      </c>
      <c r="H19" s="325" t="e">
        <v>#NUM!</v>
      </c>
      <c r="I19" s="580" t="e">
        <f t="shared" si="0"/>
        <v>#NUM!</v>
      </c>
      <c r="J19" s="317" t="e">
        <f>INDEX(bhpc_data[ean],MATCH(A19,bhpc_data[sku],0))</f>
        <v>#NUM!</v>
      </c>
      <c r="K19" s="325" t="e">
        <f t="shared" si="1"/>
        <v>#NUM!</v>
      </c>
      <c r="L19" s="312" t="s">
        <v>267</v>
      </c>
    </row>
    <row r="20" spans="1:25" ht="14.5" x14ac:dyDescent="0.35">
      <c r="A20" s="256" t="e">
        <v>#NUM!</v>
      </c>
      <c r="B20" s="469" t="e">
        <f>INDEX(bhpc_data[description],MATCH($A20,bhpc_data[sku],0))</f>
        <v>#NUM!</v>
      </c>
      <c r="C20" s="288"/>
      <c r="D20" s="291"/>
      <c r="E20" s="259"/>
      <c r="F20" s="260" t="s">
        <v>924</v>
      </c>
      <c r="G20" s="580" t="e">
        <v>#NUM!</v>
      </c>
      <c r="H20" s="325" t="e">
        <v>#NUM!</v>
      </c>
      <c r="I20" s="580" t="e">
        <f t="shared" si="0"/>
        <v>#NUM!</v>
      </c>
      <c r="J20" s="317" t="e">
        <f>INDEX(bhpc_data[ean],MATCH(A20,bhpc_data[sku],0))</f>
        <v>#NUM!</v>
      </c>
      <c r="K20" s="325" t="e">
        <f t="shared" si="1"/>
        <v>#NUM!</v>
      </c>
      <c r="L20" s="312" t="s">
        <v>267</v>
      </c>
    </row>
    <row r="21" spans="1:25" ht="14.5" x14ac:dyDescent="0.35">
      <c r="A21" s="256" t="e">
        <v>#NUM!</v>
      </c>
      <c r="B21" s="469" t="e">
        <f>INDEX(bhpc_data[description],MATCH($A21,bhpc_data[sku],0))</f>
        <v>#NUM!</v>
      </c>
      <c r="C21" s="288"/>
      <c r="D21" s="315"/>
      <c r="E21" s="259"/>
      <c r="F21" s="260" t="s">
        <v>924</v>
      </c>
      <c r="G21" s="580" t="e">
        <v>#NUM!</v>
      </c>
      <c r="H21" s="325" t="e">
        <v>#NUM!</v>
      </c>
      <c r="I21" s="580" t="e">
        <f t="shared" si="0"/>
        <v>#NUM!</v>
      </c>
      <c r="J21" s="317" t="e">
        <f>INDEX(bhpc_data[ean],MATCH(A21,bhpc_data[sku],0))</f>
        <v>#NUM!</v>
      </c>
      <c r="K21" s="325" t="e">
        <f t="shared" si="1"/>
        <v>#NUM!</v>
      </c>
      <c r="L21" s="312" t="s">
        <v>267</v>
      </c>
    </row>
    <row r="22" spans="1:25" ht="14.5" x14ac:dyDescent="0.35">
      <c r="A22" s="256" t="e">
        <v>#NUM!</v>
      </c>
      <c r="B22" s="469" t="e">
        <f>INDEX(bhpc_data[description],MATCH($A22,bhpc_data[sku],0))</f>
        <v>#NUM!</v>
      </c>
      <c r="C22" s="288"/>
      <c r="D22" s="291"/>
      <c r="E22" s="259"/>
      <c r="F22" s="260" t="s">
        <v>924</v>
      </c>
      <c r="G22" s="580" t="e">
        <v>#NUM!</v>
      </c>
      <c r="H22" s="325" t="e">
        <v>#NUM!</v>
      </c>
      <c r="I22" s="580" t="e">
        <f t="shared" si="0"/>
        <v>#NUM!</v>
      </c>
      <c r="J22" s="317" t="e">
        <f>INDEX(bhpc_data[ean],MATCH(A22,bhpc_data[sku],0))</f>
        <v>#NUM!</v>
      </c>
      <c r="K22" s="325" t="e">
        <f t="shared" si="1"/>
        <v>#NUM!</v>
      </c>
      <c r="L22" s="312" t="s">
        <v>267</v>
      </c>
    </row>
    <row r="23" spans="1:25" ht="14.5" x14ac:dyDescent="0.35">
      <c r="A23" s="256" t="e">
        <v>#NUM!</v>
      </c>
      <c r="B23" s="469" t="e">
        <f>INDEX(bhpc_data[description],MATCH($A23,bhpc_data[sku],0))</f>
        <v>#NUM!</v>
      </c>
      <c r="C23" s="288"/>
      <c r="D23" s="121"/>
      <c r="E23" s="259"/>
      <c r="F23" s="260" t="s">
        <v>924</v>
      </c>
      <c r="G23" s="580" t="e">
        <v>#NUM!</v>
      </c>
      <c r="H23" s="325" t="e">
        <v>#NUM!</v>
      </c>
      <c r="I23" s="580" t="e">
        <f t="shared" si="0"/>
        <v>#NUM!</v>
      </c>
      <c r="J23" s="317" t="e">
        <f>INDEX(bhpc_data[ean],MATCH(A23,bhpc_data[sku],0))</f>
        <v>#NUM!</v>
      </c>
      <c r="K23" s="325" t="e">
        <f t="shared" si="1"/>
        <v>#NUM!</v>
      </c>
      <c r="L23" s="312" t="s">
        <v>267</v>
      </c>
    </row>
    <row r="24" spans="1:25" ht="14.5" x14ac:dyDescent="0.35">
      <c r="A24" s="256"/>
      <c r="B24" s="469"/>
      <c r="C24" s="288"/>
      <c r="D24" s="291"/>
      <c r="E24" s="259"/>
      <c r="F24" s="260"/>
      <c r="G24" s="580"/>
      <c r="H24" s="325"/>
      <c r="I24" s="580"/>
      <c r="J24" s="317"/>
      <c r="K24" s="325"/>
      <c r="L24" s="312"/>
    </row>
    <row r="25" spans="1:25" ht="14.5" x14ac:dyDescent="0.35">
      <c r="A25" s="256"/>
      <c r="B25" s="469"/>
      <c r="C25" s="288"/>
      <c r="D25" s="121"/>
      <c r="E25" s="259"/>
      <c r="F25" s="260"/>
      <c r="G25" s="580"/>
      <c r="H25" s="325"/>
      <c r="I25" s="580"/>
      <c r="J25" s="317"/>
      <c r="K25" s="325"/>
      <c r="L25" s="312"/>
    </row>
    <row r="26" spans="1:25" ht="14.5" x14ac:dyDescent="0.35">
      <c r="A26" s="256"/>
      <c r="B26" s="469"/>
      <c r="C26" s="288" t="s">
        <v>1048</v>
      </c>
      <c r="D26" s="291" t="e">
        <f>CONCATENATE(plModel1!$A$60," Kg.")</f>
        <v>#NUM!</v>
      </c>
      <c r="E26" s="259"/>
      <c r="F26" s="260"/>
      <c r="G26" s="580"/>
      <c r="H26" s="325"/>
      <c r="I26" s="580"/>
      <c r="J26" s="317"/>
      <c r="K26" s="325"/>
      <c r="L26" s="312"/>
    </row>
    <row r="27" spans="1:25" ht="14.5" x14ac:dyDescent="0.35">
      <c r="A27" s="256"/>
      <c r="B27" s="469"/>
      <c r="C27" s="288" t="s">
        <v>1049</v>
      </c>
      <c r="D27" s="121" t="e">
        <f>CONCATENATE(plModel1!$C$60," Kg.")</f>
        <v>#NUM!</v>
      </c>
      <c r="E27" s="259"/>
      <c r="F27" s="260"/>
      <c r="G27" s="580"/>
      <c r="H27" s="325"/>
      <c r="I27" s="580"/>
      <c r="J27" s="317"/>
      <c r="K27" s="325"/>
      <c r="L27" s="312"/>
    </row>
    <row r="28" spans="1:25" ht="14.5" x14ac:dyDescent="0.35">
      <c r="A28" s="256"/>
      <c r="B28" s="469"/>
      <c r="C28" s="288" t="s">
        <v>1050</v>
      </c>
      <c r="D28" s="315" t="e">
        <f>plModel1!$C$58</f>
        <v>#NUM!</v>
      </c>
      <c r="E28" s="259"/>
      <c r="F28" s="260"/>
      <c r="G28" s="580"/>
      <c r="H28" s="325"/>
      <c r="I28" s="580"/>
      <c r="J28" s="317"/>
      <c r="K28" s="325"/>
      <c r="L28" s="312"/>
    </row>
    <row r="29" spans="1:25" ht="14.5" x14ac:dyDescent="0.35">
      <c r="A29" s="256"/>
      <c r="B29" s="469"/>
      <c r="C29" s="288" t="s">
        <v>1051</v>
      </c>
      <c r="D29" s="121">
        <f>plModel1!$E$58</f>
        <v>0</v>
      </c>
      <c r="E29" s="259"/>
      <c r="F29" s="260"/>
      <c r="G29" s="580"/>
      <c r="H29" s="325"/>
      <c r="I29" s="580"/>
      <c r="J29" s="317"/>
      <c r="K29" s="325"/>
      <c r="L29" s="312"/>
    </row>
    <row r="30" spans="1:25" ht="14.5" x14ac:dyDescent="0.35">
      <c r="A30" s="256"/>
      <c r="B30" s="469"/>
      <c r="C30" s="288" t="s">
        <v>1047</v>
      </c>
      <c r="D30" s="291" t="str">
        <f>plModel1!$G$58</f>
        <v>100x120x(h)</v>
      </c>
      <c r="E30" s="259"/>
      <c r="F30" s="260"/>
      <c r="G30" s="580"/>
      <c r="H30" s="325"/>
      <c r="I30" s="580"/>
      <c r="J30" s="317"/>
      <c r="K30" s="325"/>
      <c r="L30" s="312"/>
    </row>
    <row r="31" spans="1:25" ht="14.5" x14ac:dyDescent="0.35">
      <c r="A31" s="256"/>
      <c r="B31" s="469"/>
      <c r="C31" s="288"/>
      <c r="D31" s="291"/>
      <c r="E31" s="259"/>
      <c r="F31" s="260"/>
      <c r="G31" s="580"/>
      <c r="H31" s="325"/>
      <c r="I31" s="580"/>
      <c r="J31" s="317"/>
      <c r="K31" s="325"/>
      <c r="L31" s="312"/>
    </row>
    <row r="32" spans="1:25" ht="14.5" x14ac:dyDescent="0.35">
      <c r="A32" s="256"/>
      <c r="B32" s="469"/>
      <c r="C32" s="288"/>
      <c r="D32" s="315"/>
      <c r="E32" s="259"/>
      <c r="F32" s="260"/>
      <c r="G32" s="580"/>
      <c r="H32" s="325"/>
      <c r="I32" s="580"/>
      <c r="J32" s="317"/>
      <c r="K32" s="325"/>
      <c r="L32" s="312"/>
    </row>
    <row r="33" spans="1:12" ht="14.5" x14ac:dyDescent="0.35">
      <c r="A33" s="256"/>
      <c r="B33" s="578"/>
      <c r="C33" s="288"/>
      <c r="D33" s="291"/>
      <c r="E33" s="259"/>
      <c r="F33" s="260"/>
      <c r="G33" s="580"/>
      <c r="H33" s="325"/>
      <c r="I33" s="580"/>
      <c r="J33" s="317"/>
      <c r="K33" s="325"/>
      <c r="L33" s="312"/>
    </row>
    <row r="34" spans="1:12" ht="14.5" x14ac:dyDescent="0.35">
      <c r="A34" s="256"/>
      <c r="B34" s="578"/>
      <c r="C34" s="288"/>
      <c r="D34" s="291"/>
      <c r="E34" s="259"/>
      <c r="F34" s="260"/>
      <c r="G34" s="580"/>
      <c r="H34" s="325"/>
      <c r="I34" s="580"/>
      <c r="J34" s="317"/>
      <c r="K34" s="325"/>
      <c r="L34" s="312"/>
    </row>
    <row r="35" spans="1:12" ht="14.5" x14ac:dyDescent="0.35">
      <c r="A35" s="256"/>
      <c r="B35" s="578"/>
      <c r="C35" s="288"/>
      <c r="D35" s="121"/>
      <c r="E35" s="259"/>
      <c r="F35" s="260"/>
      <c r="G35" s="580"/>
      <c r="H35" s="325"/>
      <c r="I35" s="580"/>
      <c r="J35" s="317"/>
      <c r="K35" s="325"/>
      <c r="L35" s="312"/>
    </row>
    <row r="36" spans="1:12" ht="14.5" x14ac:dyDescent="0.35">
      <c r="A36" s="256"/>
      <c r="B36" s="578"/>
      <c r="C36" s="288"/>
      <c r="D36" s="315"/>
      <c r="E36" s="259"/>
      <c r="F36" s="260"/>
      <c r="G36" s="580"/>
      <c r="H36" s="325"/>
      <c r="I36" s="580"/>
      <c r="J36" s="317"/>
      <c r="K36" s="325"/>
      <c r="L36" s="312"/>
    </row>
    <row r="37" spans="1:12" ht="14.5" x14ac:dyDescent="0.35">
      <c r="A37" s="256"/>
      <c r="B37" s="578"/>
      <c r="C37" s="288"/>
      <c r="D37" s="121"/>
      <c r="E37" s="259"/>
      <c r="F37" s="260"/>
      <c r="G37" s="580"/>
      <c r="H37" s="325"/>
      <c r="I37" s="580"/>
      <c r="J37" s="317"/>
      <c r="K37" s="325"/>
      <c r="L37" s="312"/>
    </row>
    <row r="38" spans="1:12" ht="14.5" x14ac:dyDescent="0.35">
      <c r="A38" s="256"/>
      <c r="B38" s="469"/>
      <c r="C38" s="288"/>
      <c r="D38" s="121"/>
      <c r="E38" s="259"/>
      <c r="F38" s="260"/>
      <c r="G38" s="580"/>
      <c r="H38" s="325"/>
      <c r="I38" s="580"/>
      <c r="J38" s="317"/>
      <c r="K38" s="325"/>
      <c r="L38" s="312"/>
    </row>
    <row r="39" spans="1:12" ht="14.5" x14ac:dyDescent="0.35">
      <c r="A39" s="256"/>
      <c r="B39" s="469"/>
      <c r="C39" s="288"/>
      <c r="D39" s="315"/>
      <c r="E39" s="259"/>
      <c r="F39" s="260"/>
      <c r="G39" s="580"/>
      <c r="H39" s="325"/>
      <c r="I39" s="580"/>
      <c r="J39" s="317"/>
      <c r="K39" s="325"/>
      <c r="L39" s="312"/>
    </row>
    <row r="40" spans="1:12" ht="14.5" x14ac:dyDescent="0.35">
      <c r="A40" s="256"/>
      <c r="B40" s="469"/>
      <c r="C40" s="288"/>
      <c r="D40" s="315"/>
      <c r="E40" s="259"/>
      <c r="F40" s="260"/>
      <c r="G40" s="580"/>
      <c r="H40" s="325"/>
      <c r="I40" s="580"/>
      <c r="J40" s="317"/>
      <c r="K40" s="325"/>
      <c r="L40" s="312"/>
    </row>
    <row r="41" spans="1:12" ht="14.5" x14ac:dyDescent="0.35">
      <c r="A41" s="256"/>
      <c r="B41" s="469"/>
      <c r="C41" s="288"/>
      <c r="D41" s="121"/>
      <c r="E41" s="259"/>
      <c r="F41" s="260"/>
      <c r="G41" s="580"/>
      <c r="H41" s="325"/>
      <c r="I41" s="580"/>
      <c r="J41" s="317"/>
      <c r="K41" s="325"/>
      <c r="L41" s="312"/>
    </row>
    <row r="42" spans="1:12" ht="14.5" x14ac:dyDescent="0.35">
      <c r="A42" s="256"/>
      <c r="B42" s="469"/>
      <c r="C42" s="288"/>
      <c r="D42" s="121"/>
      <c r="E42" s="259"/>
      <c r="F42" s="260"/>
      <c r="G42" s="580"/>
      <c r="H42" s="325"/>
      <c r="I42" s="580"/>
      <c r="J42" s="317"/>
      <c r="K42" s="325"/>
      <c r="L42" s="312"/>
    </row>
    <row r="43" spans="1:12" ht="14.5" x14ac:dyDescent="0.35">
      <c r="A43" s="256"/>
      <c r="B43" s="469"/>
      <c r="C43" s="288"/>
      <c r="D43" s="315"/>
      <c r="E43" s="259"/>
      <c r="F43" s="260"/>
      <c r="G43" s="580"/>
      <c r="H43" s="325"/>
      <c r="I43" s="580"/>
      <c r="J43" s="317"/>
      <c r="K43" s="325"/>
      <c r="L43" s="312"/>
    </row>
    <row r="44" spans="1:12" ht="14.5" x14ac:dyDescent="0.35">
      <c r="A44" s="256"/>
      <c r="B44" s="469"/>
      <c r="C44" s="288"/>
      <c r="D44" s="291"/>
      <c r="E44" s="259"/>
      <c r="F44" s="260"/>
      <c r="G44" s="580"/>
      <c r="H44" s="325"/>
      <c r="I44" s="580"/>
      <c r="J44" s="317"/>
      <c r="K44" s="325"/>
      <c r="L44" s="312"/>
    </row>
    <row r="45" spans="1:12" ht="14.5" x14ac:dyDescent="0.35">
      <c r="A45" s="256"/>
      <c r="B45" s="469"/>
      <c r="C45" s="288"/>
      <c r="D45" s="291"/>
      <c r="E45" s="259"/>
      <c r="F45" s="260"/>
      <c r="G45" s="580"/>
      <c r="H45" s="325"/>
      <c r="I45" s="580"/>
      <c r="J45" s="317"/>
      <c r="K45" s="325"/>
      <c r="L45" s="312"/>
    </row>
    <row r="46" spans="1:12" ht="14.5" x14ac:dyDescent="0.35">
      <c r="A46" s="256"/>
      <c r="B46" s="469"/>
      <c r="C46" s="288"/>
      <c r="D46" s="121"/>
      <c r="E46" s="259"/>
      <c r="F46" s="260"/>
      <c r="G46" s="580"/>
      <c r="H46" s="325"/>
      <c r="I46" s="580"/>
      <c r="J46" s="317"/>
      <c r="K46" s="325"/>
      <c r="L46" s="312"/>
    </row>
    <row r="47" spans="1:12" ht="14.5" x14ac:dyDescent="0.35">
      <c r="A47" s="256"/>
      <c r="B47" s="469"/>
      <c r="C47" s="288"/>
      <c r="D47" s="315"/>
      <c r="E47" s="259"/>
      <c r="F47" s="260"/>
      <c r="G47" s="580"/>
      <c r="H47" s="325"/>
      <c r="I47" s="580"/>
      <c r="J47" s="317"/>
      <c r="K47" s="325"/>
      <c r="L47" s="312"/>
    </row>
    <row r="48" spans="1:12" ht="14.5" x14ac:dyDescent="0.35">
      <c r="A48" s="256"/>
      <c r="B48" s="469"/>
      <c r="C48" s="288"/>
      <c r="D48" s="121"/>
      <c r="E48" s="259"/>
      <c r="F48" s="260"/>
      <c r="G48" s="580"/>
      <c r="H48" s="325"/>
      <c r="I48" s="580"/>
      <c r="J48" s="317"/>
      <c r="K48" s="325"/>
      <c r="L48" s="312"/>
    </row>
    <row r="49" spans="1:15" ht="14.5" x14ac:dyDescent="0.35">
      <c r="A49" s="256"/>
      <c r="B49" s="469"/>
      <c r="C49" s="288"/>
      <c r="D49" s="121"/>
      <c r="E49" s="259"/>
      <c r="F49" s="260"/>
      <c r="G49" s="580"/>
      <c r="H49" s="325"/>
      <c r="I49" s="580"/>
      <c r="J49" s="317"/>
      <c r="K49" s="325"/>
      <c r="L49" s="312"/>
    </row>
    <row r="50" spans="1:15" ht="14.5" x14ac:dyDescent="0.35">
      <c r="A50" s="256"/>
      <c r="B50" s="469"/>
      <c r="C50" s="288"/>
      <c r="D50" s="315"/>
      <c r="E50" s="259"/>
      <c r="F50" s="260"/>
      <c r="G50" s="580"/>
      <c r="H50" s="325"/>
      <c r="I50" s="580"/>
      <c r="J50" s="317"/>
      <c r="K50" s="325"/>
      <c r="L50" s="312"/>
    </row>
    <row r="51" spans="1:15" x14ac:dyDescent="0.35">
      <c r="A51" s="635" t="s">
        <v>1046</v>
      </c>
      <c r="B51" s="630"/>
      <c r="C51" s="630"/>
      <c r="D51" s="637"/>
      <c r="E51" s="630"/>
      <c r="F51" s="630"/>
      <c r="G51" s="631"/>
      <c r="H51" s="636" t="s">
        <v>477</v>
      </c>
      <c r="I51" s="630"/>
      <c r="J51" s="630"/>
      <c r="K51" s="636"/>
      <c r="L51" s="631"/>
    </row>
    <row r="52" spans="1:15" s="137" customFormat="1" ht="14.5" customHeight="1" x14ac:dyDescent="0.35">
      <c r="A52" s="284" t="s">
        <v>348</v>
      </c>
      <c r="B52" s="285"/>
      <c r="C52" s="321"/>
      <c r="D52" s="322"/>
      <c r="E52" s="276"/>
      <c r="F52" s="276"/>
      <c r="G52" s="277"/>
      <c r="H52" s="632" t="e">
        <f>SUM(K14:K50)</f>
        <v>#NUM!</v>
      </c>
      <c r="I52" s="628"/>
      <c r="J52" s="628"/>
      <c r="K52" s="628"/>
      <c r="L52" s="629"/>
    </row>
    <row r="53" spans="1:15" x14ac:dyDescent="0.35">
      <c r="A53" s="633" t="s">
        <v>478</v>
      </c>
      <c r="B53" s="634"/>
      <c r="C53" s="323" t="s">
        <v>479</v>
      </c>
      <c r="D53" s="635" t="s">
        <v>480</v>
      </c>
      <c r="E53" s="631"/>
      <c r="F53" s="633" t="s">
        <v>481</v>
      </c>
      <c r="G53" s="634"/>
      <c r="H53" s="623" t="s">
        <v>482</v>
      </c>
      <c r="I53" s="624"/>
      <c r="J53" s="624"/>
      <c r="K53" s="625"/>
      <c r="L53" s="626"/>
    </row>
    <row r="54" spans="1:15" ht="14.5" customHeight="1" x14ac:dyDescent="0.35">
      <c r="A54" s="608" t="s">
        <v>268</v>
      </c>
      <c r="B54" s="609"/>
      <c r="C54" s="612" t="s">
        <v>267</v>
      </c>
      <c r="D54" s="614" t="e">
        <f>H52</f>
        <v>#NUM!</v>
      </c>
      <c r="E54" s="615"/>
      <c r="F54" s="619">
        <f>IF(C54="022",22%,0)</f>
        <v>0</v>
      </c>
      <c r="G54" s="620"/>
      <c r="H54" s="627" t="e">
        <f>H52</f>
        <v>#NUM!</v>
      </c>
      <c r="I54" s="628"/>
      <c r="J54" s="628"/>
      <c r="K54" s="628"/>
      <c r="L54" s="629"/>
    </row>
    <row r="55" spans="1:15" x14ac:dyDescent="0.35">
      <c r="A55" s="608"/>
      <c r="B55" s="609"/>
      <c r="C55" s="612"/>
      <c r="D55" s="616"/>
      <c r="E55" s="615"/>
      <c r="F55" s="619"/>
      <c r="G55" s="620"/>
      <c r="H55" s="623" t="s">
        <v>483</v>
      </c>
      <c r="I55" s="624"/>
      <c r="J55" s="624"/>
      <c r="K55" s="625"/>
      <c r="L55" s="626"/>
    </row>
    <row r="56" spans="1:15" ht="14.5" customHeight="1" x14ac:dyDescent="0.35">
      <c r="A56" s="608"/>
      <c r="B56" s="609"/>
      <c r="C56" s="612"/>
      <c r="D56" s="616"/>
      <c r="E56" s="615"/>
      <c r="F56" s="619"/>
      <c r="G56" s="620"/>
      <c r="H56" s="627">
        <f>SEK54*F54</f>
        <v>0</v>
      </c>
      <c r="I56" s="628"/>
      <c r="J56" s="628"/>
      <c r="K56" s="628"/>
      <c r="L56" s="629"/>
    </row>
    <row r="57" spans="1:15" x14ac:dyDescent="0.35">
      <c r="A57" s="608"/>
      <c r="B57" s="609"/>
      <c r="C57" s="612"/>
      <c r="D57" s="616"/>
      <c r="E57" s="615"/>
      <c r="F57" s="619"/>
      <c r="G57" s="620"/>
      <c r="H57" s="623" t="s">
        <v>484</v>
      </c>
      <c r="I57" s="624"/>
      <c r="J57" s="624"/>
      <c r="K57" s="625"/>
      <c r="L57" s="626"/>
    </row>
    <row r="58" spans="1:15" ht="14.5" customHeight="1" x14ac:dyDescent="0.35">
      <c r="A58" s="610"/>
      <c r="B58" s="611"/>
      <c r="C58" s="613"/>
      <c r="D58" s="617"/>
      <c r="E58" s="618"/>
      <c r="F58" s="621"/>
      <c r="G58" s="622"/>
      <c r="H58" s="627" t="e">
        <f>H52+H56</f>
        <v>#NUM!</v>
      </c>
      <c r="I58" s="628"/>
      <c r="J58" s="628"/>
      <c r="K58" s="628"/>
      <c r="L58" s="629"/>
    </row>
    <row r="59" spans="1:15" x14ac:dyDescent="0.35">
      <c r="A59" s="597" t="s">
        <v>485</v>
      </c>
      <c r="B59" s="598"/>
      <c r="C59" s="598"/>
      <c r="D59" s="598"/>
      <c r="E59" s="598"/>
      <c r="F59" s="598"/>
      <c r="G59" s="598"/>
      <c r="H59" s="599"/>
      <c r="I59" s="598"/>
      <c r="J59" s="598"/>
      <c r="K59" s="599"/>
      <c r="L59" s="600"/>
    </row>
    <row r="60" spans="1:15" s="139" customFormat="1" ht="10.5" customHeight="1" x14ac:dyDescent="0.35">
      <c r="A60" s="601" t="s">
        <v>486</v>
      </c>
      <c r="B60" s="602"/>
      <c r="C60" s="602"/>
      <c r="D60" s="602"/>
      <c r="E60" s="602"/>
      <c r="F60" s="602"/>
      <c r="G60" s="602"/>
      <c r="H60" s="603"/>
      <c r="I60" s="602"/>
      <c r="J60" s="602"/>
      <c r="K60" s="603"/>
      <c r="L60" s="604"/>
      <c r="N60" s="124"/>
      <c r="O60" s="124"/>
    </row>
    <row r="61" spans="1:15" s="140" customFormat="1" ht="7.5" customHeight="1" x14ac:dyDescent="0.35">
      <c r="A61" s="597" t="s">
        <v>487</v>
      </c>
      <c r="B61" s="606" t="s">
        <v>488</v>
      </c>
      <c r="C61" s="606"/>
      <c r="D61" s="606"/>
      <c r="E61" s="606"/>
      <c r="F61" s="598"/>
      <c r="G61" s="598"/>
      <c r="H61" s="598"/>
      <c r="I61" s="598"/>
      <c r="J61" s="598"/>
      <c r="K61" s="598"/>
      <c r="L61" s="600"/>
      <c r="N61" s="124"/>
      <c r="O61" s="124"/>
    </row>
    <row r="62" spans="1:15" ht="14.5" customHeight="1" x14ac:dyDescent="0.35">
      <c r="A62" s="601"/>
      <c r="B62" s="607"/>
      <c r="C62" s="607"/>
      <c r="D62" s="607"/>
      <c r="E62" s="607"/>
      <c r="F62" s="602"/>
      <c r="G62" s="602"/>
      <c r="H62" s="602"/>
      <c r="I62" s="602"/>
      <c r="J62" s="602"/>
      <c r="K62" s="602"/>
      <c r="L62" s="604"/>
    </row>
    <row r="63" spans="1:15" s="140" customFormat="1" ht="10" x14ac:dyDescent="0.35">
      <c r="A63" s="594" t="s">
        <v>489</v>
      </c>
      <c r="B63" s="594"/>
      <c r="C63" s="594"/>
      <c r="D63" s="594"/>
      <c r="E63" s="594"/>
      <c r="F63" s="594"/>
      <c r="G63" s="594"/>
      <c r="H63" s="605"/>
      <c r="I63" s="594"/>
      <c r="J63" s="594"/>
      <c r="K63" s="605"/>
      <c r="L63" s="594"/>
    </row>
    <row r="64" spans="1:15" x14ac:dyDescent="0.35">
      <c r="A64" s="594" t="s">
        <v>490</v>
      </c>
      <c r="B64" s="594"/>
      <c r="C64" s="594"/>
      <c r="D64" s="594"/>
      <c r="E64" s="594"/>
      <c r="F64" s="594"/>
      <c r="G64" s="594"/>
      <c r="H64" s="605"/>
      <c r="I64" s="594"/>
      <c r="J64" s="594"/>
      <c r="K64" s="605"/>
      <c r="L64" s="594"/>
    </row>
    <row r="65" spans="1:12" x14ac:dyDescent="0.35">
      <c r="A65" s="594" t="s">
        <v>491</v>
      </c>
      <c r="B65" s="595"/>
      <c r="C65" s="595"/>
      <c r="D65" s="595"/>
      <c r="E65" s="595"/>
      <c r="F65" s="595"/>
      <c r="G65" s="595"/>
      <c r="H65" s="596"/>
      <c r="I65" s="595"/>
      <c r="J65" s="595"/>
      <c r="K65" s="596"/>
      <c r="L65" s="595"/>
    </row>
    <row r="66" spans="1:12" x14ac:dyDescent="0.35">
      <c r="H66" s="143"/>
      <c r="K66" s="143"/>
    </row>
    <row r="67" spans="1:12" x14ac:dyDescent="0.35">
      <c r="H67" s="143"/>
      <c r="K67" s="143"/>
    </row>
    <row r="68" spans="1:12" x14ac:dyDescent="0.35">
      <c r="H68" s="143"/>
      <c r="K68" s="143"/>
    </row>
    <row r="69" spans="1:12" x14ac:dyDescent="0.35">
      <c r="H69" s="143"/>
      <c r="K69" s="143"/>
    </row>
    <row r="70" spans="1:12" x14ac:dyDescent="0.35">
      <c r="H70" s="143"/>
      <c r="K70" s="143"/>
    </row>
    <row r="71" spans="1:12" x14ac:dyDescent="0.35">
      <c r="H71" s="143"/>
      <c r="K71" s="143"/>
    </row>
    <row r="72" spans="1:12" x14ac:dyDescent="0.35">
      <c r="H72" s="143"/>
      <c r="K72" s="143"/>
    </row>
    <row r="73" spans="1:12" x14ac:dyDescent="0.35">
      <c r="H73" s="143"/>
      <c r="K73" s="143"/>
    </row>
    <row r="74" spans="1:12" x14ac:dyDescent="0.35">
      <c r="H74" s="143"/>
      <c r="K74" s="143"/>
    </row>
    <row r="75" spans="1:12" x14ac:dyDescent="0.35">
      <c r="H75" s="143"/>
      <c r="K75" s="143"/>
    </row>
    <row r="76" spans="1:12" x14ac:dyDescent="0.35">
      <c r="H76" s="143"/>
      <c r="K76" s="143"/>
    </row>
    <row r="77" spans="1:12" x14ac:dyDescent="0.35">
      <c r="H77" s="143"/>
      <c r="K77" s="143"/>
    </row>
    <row r="78" spans="1:12" x14ac:dyDescent="0.35">
      <c r="H78" s="143"/>
      <c r="K78" s="143"/>
    </row>
    <row r="79" spans="1:12" x14ac:dyDescent="0.35">
      <c r="H79" s="143"/>
      <c r="K79" s="143"/>
    </row>
    <row r="80" spans="1:12" x14ac:dyDescent="0.35">
      <c r="H80" s="143"/>
      <c r="K80" s="143"/>
    </row>
    <row r="81" spans="8:11" x14ac:dyDescent="0.35">
      <c r="H81" s="143"/>
      <c r="K81" s="143"/>
    </row>
    <row r="82" spans="8:11" x14ac:dyDescent="0.35">
      <c r="H82" s="143"/>
      <c r="K82" s="143"/>
    </row>
    <row r="83" spans="8:11" x14ac:dyDescent="0.35">
      <c r="H83" s="143"/>
      <c r="K83" s="143"/>
    </row>
    <row r="84" spans="8:11" x14ac:dyDescent="0.35">
      <c r="H84" s="143"/>
      <c r="K84" s="143"/>
    </row>
    <row r="85" spans="8:11" x14ac:dyDescent="0.35">
      <c r="H85" s="143"/>
      <c r="K85" s="143"/>
    </row>
    <row r="86" spans="8:11" x14ac:dyDescent="0.35">
      <c r="H86" s="143"/>
      <c r="K86" s="143"/>
    </row>
    <row r="87" spans="8:11" x14ac:dyDescent="0.35">
      <c r="H87" s="143"/>
      <c r="K87" s="143"/>
    </row>
    <row r="88" spans="8:11" x14ac:dyDescent="0.35">
      <c r="H88" s="143"/>
      <c r="K88" s="143"/>
    </row>
    <row r="89" spans="8:11" x14ac:dyDescent="0.35">
      <c r="H89" s="143"/>
      <c r="K89" s="143"/>
    </row>
    <row r="90" spans="8:11" x14ac:dyDescent="0.35">
      <c r="H90" s="143"/>
      <c r="K90" s="143"/>
    </row>
    <row r="91" spans="8:11" x14ac:dyDescent="0.35">
      <c r="H91" s="143"/>
      <c r="K91" s="143"/>
    </row>
    <row r="92" spans="8:11" x14ac:dyDescent="0.35">
      <c r="H92" s="143"/>
      <c r="K92" s="143"/>
    </row>
    <row r="93" spans="8:11" x14ac:dyDescent="0.35">
      <c r="H93" s="143"/>
      <c r="K93" s="143"/>
    </row>
    <row r="94" spans="8:11" x14ac:dyDescent="0.35">
      <c r="H94" s="143"/>
      <c r="K94" s="143"/>
    </row>
    <row r="95" spans="8:11" x14ac:dyDescent="0.35">
      <c r="H95" s="143"/>
      <c r="K95" s="143"/>
    </row>
    <row r="96" spans="8:11" x14ac:dyDescent="0.35">
      <c r="H96" s="143"/>
      <c r="K96" s="143"/>
    </row>
    <row r="97" spans="8:11" x14ac:dyDescent="0.35">
      <c r="H97" s="143"/>
      <c r="K97" s="143"/>
    </row>
    <row r="98" spans="8:11" x14ac:dyDescent="0.35">
      <c r="H98" s="143"/>
      <c r="K98" s="143"/>
    </row>
    <row r="99" spans="8:11" x14ac:dyDescent="0.35">
      <c r="H99" s="143"/>
      <c r="K99" s="143"/>
    </row>
    <row r="100" spans="8:11" x14ac:dyDescent="0.35">
      <c r="H100" s="143"/>
      <c r="K100" s="143"/>
    </row>
    <row r="101" spans="8:11" x14ac:dyDescent="0.35">
      <c r="H101" s="143"/>
      <c r="K101" s="143"/>
    </row>
    <row r="102" spans="8:11" x14ac:dyDescent="0.35">
      <c r="H102" s="143"/>
      <c r="K102" s="143"/>
    </row>
    <row r="103" spans="8:11" x14ac:dyDescent="0.35">
      <c r="H103" s="143"/>
      <c r="K103" s="143"/>
    </row>
    <row r="104" spans="8:11" x14ac:dyDescent="0.35">
      <c r="H104" s="143"/>
      <c r="K104" s="143"/>
    </row>
    <row r="105" spans="8:11" x14ac:dyDescent="0.35">
      <c r="H105" s="143"/>
      <c r="K105" s="143"/>
    </row>
    <row r="106" spans="8:11" x14ac:dyDescent="0.35">
      <c r="H106" s="143"/>
      <c r="K106" s="143"/>
    </row>
    <row r="107" spans="8:11" x14ac:dyDescent="0.35">
      <c r="H107" s="143"/>
      <c r="K107" s="143"/>
    </row>
    <row r="108" spans="8:11" x14ac:dyDescent="0.35">
      <c r="H108" s="143"/>
      <c r="K108" s="143"/>
    </row>
    <row r="109" spans="8:11" x14ac:dyDescent="0.35">
      <c r="H109" s="143"/>
      <c r="K109" s="143"/>
    </row>
    <row r="110" spans="8:11" x14ac:dyDescent="0.35">
      <c r="H110" s="143"/>
      <c r="K110" s="143"/>
    </row>
    <row r="111" spans="8:11" x14ac:dyDescent="0.35">
      <c r="H111" s="143"/>
      <c r="K111" s="143"/>
    </row>
    <row r="112" spans="8:11" x14ac:dyDescent="0.35">
      <c r="H112" s="143"/>
      <c r="K112" s="143"/>
    </row>
    <row r="113" spans="8:11" x14ac:dyDescent="0.35">
      <c r="H113" s="143"/>
      <c r="K113" s="143"/>
    </row>
    <row r="114" spans="8:11" x14ac:dyDescent="0.35">
      <c r="H114" s="143"/>
      <c r="K114" s="143"/>
    </row>
    <row r="115" spans="8:11" x14ac:dyDescent="0.35">
      <c r="H115" s="143"/>
      <c r="K115" s="143"/>
    </row>
    <row r="116" spans="8:11" x14ac:dyDescent="0.35">
      <c r="H116" s="143"/>
      <c r="K116" s="143"/>
    </row>
    <row r="117" spans="8:11" x14ac:dyDescent="0.35">
      <c r="H117" s="143"/>
      <c r="K117" s="143"/>
    </row>
    <row r="118" spans="8:11" x14ac:dyDescent="0.35">
      <c r="H118" s="143"/>
      <c r="K118" s="143"/>
    </row>
    <row r="119" spans="8:11" x14ac:dyDescent="0.35">
      <c r="H119" s="143"/>
      <c r="K119" s="143"/>
    </row>
    <row r="120" spans="8:11" x14ac:dyDescent="0.35">
      <c r="H120" s="143"/>
      <c r="K120" s="143"/>
    </row>
    <row r="121" spans="8:11" x14ac:dyDescent="0.35">
      <c r="H121" s="143"/>
      <c r="K121" s="143"/>
    </row>
    <row r="122" spans="8:11" x14ac:dyDescent="0.35">
      <c r="H122" s="143"/>
      <c r="K122" s="143"/>
    </row>
    <row r="123" spans="8:11" x14ac:dyDescent="0.35">
      <c r="H123" s="143"/>
      <c r="K123" s="143"/>
    </row>
    <row r="124" spans="8:11" x14ac:dyDescent="0.35">
      <c r="H124" s="143"/>
      <c r="K124" s="143"/>
    </row>
    <row r="125" spans="8:11" x14ac:dyDescent="0.35">
      <c r="H125" s="143"/>
      <c r="K125" s="143"/>
    </row>
    <row r="126" spans="8:11" x14ac:dyDescent="0.35">
      <c r="H126" s="143"/>
      <c r="K126" s="143"/>
    </row>
    <row r="127" spans="8:11" x14ac:dyDescent="0.35">
      <c r="H127" s="143"/>
      <c r="K127" s="143"/>
    </row>
    <row r="128" spans="8:11" x14ac:dyDescent="0.35">
      <c r="H128" s="143"/>
      <c r="K128" s="143"/>
    </row>
    <row r="129" spans="8:11" x14ac:dyDescent="0.35">
      <c r="H129" s="143"/>
      <c r="K129" s="143"/>
    </row>
    <row r="130" spans="8:11" x14ac:dyDescent="0.35">
      <c r="H130" s="143"/>
      <c r="K130" s="143"/>
    </row>
    <row r="131" spans="8:11" x14ac:dyDescent="0.35">
      <c r="H131" s="143"/>
      <c r="K131" s="143"/>
    </row>
    <row r="132" spans="8:11" x14ac:dyDescent="0.35">
      <c r="H132" s="143"/>
      <c r="K132" s="143"/>
    </row>
    <row r="133" spans="8:11" x14ac:dyDescent="0.35">
      <c r="H133" s="143"/>
      <c r="K133" s="143"/>
    </row>
    <row r="134" spans="8:11" x14ac:dyDescent="0.35">
      <c r="H134" s="143"/>
      <c r="K134" s="143"/>
    </row>
    <row r="135" spans="8:11" x14ac:dyDescent="0.35">
      <c r="H135" s="143"/>
      <c r="K135" s="143"/>
    </row>
    <row r="136" spans="8:11" x14ac:dyDescent="0.35">
      <c r="H136" s="143"/>
      <c r="K136" s="143"/>
    </row>
    <row r="137" spans="8:11" x14ac:dyDescent="0.35">
      <c r="H137" s="143"/>
      <c r="K137" s="143"/>
    </row>
    <row r="138" spans="8:11" x14ac:dyDescent="0.35">
      <c r="H138" s="143"/>
      <c r="K138" s="143"/>
    </row>
    <row r="139" spans="8:11" x14ac:dyDescent="0.35">
      <c r="H139" s="143"/>
      <c r="K139" s="143"/>
    </row>
    <row r="140" spans="8:11" x14ac:dyDescent="0.35">
      <c r="H140" s="143"/>
      <c r="K140" s="143"/>
    </row>
    <row r="141" spans="8:11" x14ac:dyDescent="0.35">
      <c r="H141" s="143"/>
      <c r="K141" s="143"/>
    </row>
    <row r="142" spans="8:11" x14ac:dyDescent="0.35">
      <c r="H142" s="143"/>
      <c r="K142" s="143"/>
    </row>
    <row r="143" spans="8:11" x14ac:dyDescent="0.35">
      <c r="H143" s="143"/>
      <c r="K143" s="143"/>
    </row>
    <row r="144" spans="8:11" x14ac:dyDescent="0.35">
      <c r="H144" s="143"/>
      <c r="K144" s="143"/>
    </row>
    <row r="145" spans="8:11" x14ac:dyDescent="0.35">
      <c r="H145" s="143"/>
      <c r="K145" s="143"/>
    </row>
    <row r="146" spans="8:11" x14ac:dyDescent="0.35">
      <c r="H146" s="143"/>
      <c r="K146" s="143"/>
    </row>
    <row r="147" spans="8:11" x14ac:dyDescent="0.35">
      <c r="H147" s="143"/>
      <c r="K147" s="143"/>
    </row>
    <row r="148" spans="8:11" x14ac:dyDescent="0.35">
      <c r="H148" s="143"/>
      <c r="K148" s="143"/>
    </row>
    <row r="149" spans="8:11" x14ac:dyDescent="0.35">
      <c r="H149" s="143"/>
      <c r="K149" s="143"/>
    </row>
    <row r="150" spans="8:11" x14ac:dyDescent="0.35">
      <c r="H150" s="143"/>
      <c r="K150" s="143"/>
    </row>
    <row r="151" spans="8:11" x14ac:dyDescent="0.35">
      <c r="H151" s="143"/>
      <c r="K151" s="143"/>
    </row>
    <row r="152" spans="8:11" x14ac:dyDescent="0.35">
      <c r="H152" s="143"/>
      <c r="K152" s="143"/>
    </row>
    <row r="153" spans="8:11" x14ac:dyDescent="0.35">
      <c r="H153" s="143"/>
      <c r="K153" s="143"/>
    </row>
    <row r="154" spans="8:11" x14ac:dyDescent="0.35">
      <c r="H154" s="143"/>
      <c r="K154" s="143"/>
    </row>
    <row r="155" spans="8:11" x14ac:dyDescent="0.35">
      <c r="H155" s="143"/>
      <c r="K155" s="143"/>
    </row>
    <row r="156" spans="8:11" x14ac:dyDescent="0.35">
      <c r="H156" s="143"/>
      <c r="K156" s="143"/>
    </row>
    <row r="157" spans="8:11" x14ac:dyDescent="0.35">
      <c r="H157" s="143"/>
      <c r="K157" s="143"/>
    </row>
    <row r="158" spans="8:11" x14ac:dyDescent="0.35">
      <c r="H158" s="143"/>
      <c r="K158" s="143"/>
    </row>
    <row r="159" spans="8:11" x14ac:dyDescent="0.35">
      <c r="H159" s="143"/>
      <c r="K159" s="143"/>
    </row>
    <row r="160" spans="8:11" x14ac:dyDescent="0.35">
      <c r="H160" s="143"/>
      <c r="K160" s="143"/>
    </row>
    <row r="161" spans="8:11" x14ac:dyDescent="0.35">
      <c r="H161" s="143"/>
      <c r="K161" s="143"/>
    </row>
    <row r="162" spans="8:11" x14ac:dyDescent="0.35">
      <c r="H162" s="143"/>
      <c r="K162" s="143"/>
    </row>
    <row r="163" spans="8:11" x14ac:dyDescent="0.35">
      <c r="H163" s="143"/>
      <c r="K163" s="143"/>
    </row>
    <row r="164" spans="8:11" x14ac:dyDescent="0.35">
      <c r="H164" s="143"/>
      <c r="K164" s="143"/>
    </row>
    <row r="165" spans="8:11" x14ac:dyDescent="0.35">
      <c r="H165" s="143"/>
      <c r="K165" s="143"/>
    </row>
    <row r="166" spans="8:11" x14ac:dyDescent="0.35">
      <c r="H166" s="143"/>
      <c r="K166" s="143"/>
    </row>
    <row r="167" spans="8:11" x14ac:dyDescent="0.35">
      <c r="H167" s="143"/>
      <c r="K167" s="143"/>
    </row>
    <row r="168" spans="8:11" x14ac:dyDescent="0.35">
      <c r="H168" s="143"/>
      <c r="K168" s="143"/>
    </row>
    <row r="169" spans="8:11" x14ac:dyDescent="0.35">
      <c r="H169" s="143"/>
      <c r="K169" s="143"/>
    </row>
    <row r="170" spans="8:11" x14ac:dyDescent="0.35">
      <c r="H170" s="143"/>
      <c r="K170" s="143"/>
    </row>
    <row r="171" spans="8:11" x14ac:dyDescent="0.35">
      <c r="H171" s="143"/>
      <c r="K171" s="143"/>
    </row>
    <row r="172" spans="8:11" x14ac:dyDescent="0.35">
      <c r="H172" s="143"/>
      <c r="K172" s="143"/>
    </row>
    <row r="173" spans="8:11" x14ac:dyDescent="0.35">
      <c r="H173" s="143"/>
      <c r="K173" s="143"/>
    </row>
    <row r="174" spans="8:11" x14ac:dyDescent="0.35">
      <c r="H174" s="143"/>
      <c r="K174" s="143"/>
    </row>
    <row r="175" spans="8:11" x14ac:dyDescent="0.35">
      <c r="H175" s="143"/>
      <c r="K175" s="143"/>
    </row>
    <row r="176" spans="8:11" x14ac:dyDescent="0.35">
      <c r="H176" s="143"/>
      <c r="K176" s="143"/>
    </row>
    <row r="177" spans="8:11" x14ac:dyDescent="0.35">
      <c r="H177" s="143"/>
      <c r="K177" s="143"/>
    </row>
    <row r="178" spans="8:11" x14ac:dyDescent="0.35">
      <c r="H178" s="143"/>
      <c r="K178" s="143"/>
    </row>
    <row r="179" spans="8:11" x14ac:dyDescent="0.35">
      <c r="H179" s="143"/>
      <c r="K179" s="143"/>
    </row>
    <row r="180" spans="8:11" x14ac:dyDescent="0.35">
      <c r="H180" s="143"/>
      <c r="K180" s="143"/>
    </row>
    <row r="181" spans="8:11" x14ac:dyDescent="0.35">
      <c r="H181" s="143"/>
      <c r="K181" s="143"/>
    </row>
    <row r="182" spans="8:11" x14ac:dyDescent="0.35">
      <c r="H182" s="143"/>
      <c r="K182" s="143"/>
    </row>
    <row r="183" spans="8:11" x14ac:dyDescent="0.35">
      <c r="H183" s="143"/>
      <c r="K183" s="143"/>
    </row>
    <row r="184" spans="8:11" x14ac:dyDescent="0.35">
      <c r="H184" s="143"/>
      <c r="K184" s="143"/>
    </row>
    <row r="185" spans="8:11" x14ac:dyDescent="0.35">
      <c r="H185" s="143"/>
      <c r="K185" s="143"/>
    </row>
    <row r="186" spans="8:11" x14ac:dyDescent="0.35">
      <c r="H186" s="143"/>
      <c r="K186" s="143"/>
    </row>
    <row r="187" spans="8:11" x14ac:dyDescent="0.35">
      <c r="H187" s="143"/>
      <c r="K187" s="143"/>
    </row>
    <row r="188" spans="8:11" x14ac:dyDescent="0.35">
      <c r="H188" s="143"/>
      <c r="K188" s="143"/>
    </row>
    <row r="189" spans="8:11" x14ac:dyDescent="0.35">
      <c r="H189" s="143"/>
      <c r="K189" s="143"/>
    </row>
    <row r="190" spans="8:11" x14ac:dyDescent="0.35">
      <c r="H190" s="143"/>
      <c r="K190" s="143"/>
    </row>
    <row r="191" spans="8:11" x14ac:dyDescent="0.35">
      <c r="H191" s="143"/>
      <c r="K191" s="143"/>
    </row>
    <row r="192" spans="8:11" x14ac:dyDescent="0.35">
      <c r="H192" s="143"/>
      <c r="K192" s="143"/>
    </row>
    <row r="193" spans="4:11" x14ac:dyDescent="0.35">
      <c r="H193" s="143"/>
      <c r="K193" s="143"/>
    </row>
    <row r="194" spans="4:11" x14ac:dyDescent="0.35">
      <c r="H194" s="143"/>
      <c r="K194" s="143"/>
    </row>
    <row r="195" spans="4:11" x14ac:dyDescent="0.35">
      <c r="H195" s="143"/>
      <c r="K195" s="143"/>
    </row>
    <row r="196" spans="4:11" x14ac:dyDescent="0.35">
      <c r="H196" s="143"/>
      <c r="K196" s="143"/>
    </row>
    <row r="197" spans="4:11" x14ac:dyDescent="0.35">
      <c r="H197" s="143"/>
      <c r="K197" s="143"/>
    </row>
    <row r="198" spans="4:11" x14ac:dyDescent="0.35">
      <c r="H198" s="143"/>
      <c r="K198" s="143"/>
    </row>
    <row r="199" spans="4:11" x14ac:dyDescent="0.35">
      <c r="H199" s="143"/>
      <c r="K199" s="143"/>
    </row>
    <row r="200" spans="4:11" x14ac:dyDescent="0.35">
      <c r="H200" s="143"/>
      <c r="K200" s="143"/>
    </row>
    <row r="201" spans="4:11" x14ac:dyDescent="0.35">
      <c r="H201" s="143"/>
      <c r="K201" s="143"/>
    </row>
    <row r="202" spans="4:11" x14ac:dyDescent="0.35">
      <c r="H202" s="143"/>
      <c r="K202" s="143"/>
    </row>
    <row r="203" spans="4:11" x14ac:dyDescent="0.35">
      <c r="H203" s="143"/>
      <c r="K203" s="143"/>
    </row>
    <row r="204" spans="4:11" x14ac:dyDescent="0.35">
      <c r="K204" s="143"/>
    </row>
    <row r="205" spans="4:11" x14ac:dyDescent="0.35">
      <c r="D205" s="144"/>
      <c r="E205" s="143"/>
      <c r="K205" s="143"/>
    </row>
    <row r="206" spans="4:11" x14ac:dyDescent="0.35">
      <c r="D206" s="144"/>
      <c r="E206" s="143"/>
      <c r="K206" s="143"/>
    </row>
    <row r="207" spans="4:11" x14ac:dyDescent="0.35">
      <c r="D207" s="144"/>
      <c r="E207" s="143"/>
      <c r="K207" s="143"/>
    </row>
    <row r="208" spans="4:11" x14ac:dyDescent="0.35">
      <c r="D208" s="144"/>
      <c r="E208" s="143"/>
      <c r="K208" s="143"/>
    </row>
    <row r="209" spans="4:11" x14ac:dyDescent="0.35">
      <c r="D209" s="144"/>
      <c r="E209" s="143"/>
      <c r="K209" s="143"/>
    </row>
    <row r="210" spans="4:11" x14ac:dyDescent="0.35">
      <c r="D210" s="144"/>
      <c r="E210" s="143"/>
      <c r="K210" s="143"/>
    </row>
    <row r="211" spans="4:11" x14ac:dyDescent="0.35">
      <c r="D211" s="144"/>
      <c r="E211" s="143"/>
      <c r="K211" s="143"/>
    </row>
  </sheetData>
  <sheetProtection sort="0" autoFilter="0"/>
  <mergeCells count="38">
    <mergeCell ref="K9:L9"/>
    <mergeCell ref="A10:L10"/>
    <mergeCell ref="B12:E12"/>
    <mergeCell ref="A9:B9"/>
    <mergeCell ref="C9:D9"/>
    <mergeCell ref="E9:F9"/>
    <mergeCell ref="G9:J9"/>
    <mergeCell ref="A8:B8"/>
    <mergeCell ref="C8:D8"/>
    <mergeCell ref="E8:F8"/>
    <mergeCell ref="G8:I8"/>
    <mergeCell ref="K8:L8"/>
    <mergeCell ref="E51:G51"/>
    <mergeCell ref="H52:L52"/>
    <mergeCell ref="A53:B53"/>
    <mergeCell ref="D53:E53"/>
    <mergeCell ref="F53:G53"/>
    <mergeCell ref="H53:L53"/>
    <mergeCell ref="H51:L51"/>
    <mergeCell ref="A51:B51"/>
    <mergeCell ref="C51:D51"/>
    <mergeCell ref="A54:B58"/>
    <mergeCell ref="C54:C58"/>
    <mergeCell ref="D54:E58"/>
    <mergeCell ref="F54:G58"/>
    <mergeCell ref="H55:L55"/>
    <mergeCell ref="H57:L57"/>
    <mergeCell ref="H54:L54"/>
    <mergeCell ref="H56:L56"/>
    <mergeCell ref="H58:L58"/>
    <mergeCell ref="A65:L65"/>
    <mergeCell ref="A59:L59"/>
    <mergeCell ref="A60:L60"/>
    <mergeCell ref="A61:A62"/>
    <mergeCell ref="A63:L63"/>
    <mergeCell ref="A64:L64"/>
    <mergeCell ref="B61:E62"/>
    <mergeCell ref="F61:L62"/>
  </mergeCells>
  <dataValidations disablePrompts="1" count="1">
    <dataValidation type="list" allowBlank="1" showInputMessage="1" showErrorMessage="1" sqref="K9:L9" xr:uid="{00000000-0002-0000-07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/>
  <dimension ref="A1:Y211"/>
  <sheetViews>
    <sheetView showGridLines="0" zoomScaleNormal="100" zoomScaleSheetLayoutView="100" workbookViewId="0">
      <selection activeCell="B106" sqref="B106"/>
    </sheetView>
  </sheetViews>
  <sheetFormatPr defaultColWidth="10.7265625" defaultRowHeight="12.5" x14ac:dyDescent="0.35"/>
  <cols>
    <col min="1" max="1" width="8.1796875" style="124" customWidth="1"/>
    <col min="2" max="2" width="17.81640625" style="124" customWidth="1"/>
    <col min="3" max="3" width="12.7265625" style="124" customWidth="1"/>
    <col min="4" max="4" width="6.26953125" style="125" customWidth="1"/>
    <col min="5" max="5" width="16.54296875" style="124" customWidth="1"/>
    <col min="6" max="6" width="3.453125" style="126" customWidth="1"/>
    <col min="7" max="7" width="7" style="124" customWidth="1"/>
    <col min="8" max="8" width="9.1796875" style="124" customWidth="1"/>
    <col min="9" max="9" width="6.54296875" style="126" customWidth="1"/>
    <col min="10" max="10" width="14.1796875" style="126" bestFit="1" customWidth="1"/>
    <col min="11" max="11" width="12.453125" style="124" customWidth="1"/>
    <col min="12" max="12" width="5" style="124" customWidth="1"/>
    <col min="13" max="16384" width="10.7265625" style="124"/>
  </cols>
  <sheetData>
    <row r="1" spans="1:25" ht="12.75" customHeight="1" x14ac:dyDescent="0.35">
      <c r="A1" s="240"/>
      <c r="B1" s="240"/>
      <c r="G1" s="127"/>
      <c r="H1" s="148"/>
      <c r="I1" s="149"/>
      <c r="J1" s="149"/>
      <c r="K1" s="149"/>
      <c r="L1" s="123"/>
    </row>
    <row r="2" spans="1:25" ht="12.75" customHeight="1" x14ac:dyDescent="0.35">
      <c r="G2" s="127"/>
      <c r="H2" s="128" t="s">
        <v>617</v>
      </c>
      <c r="I2" s="129"/>
      <c r="J2" s="129"/>
      <c r="K2" s="129"/>
      <c r="L2" s="127"/>
      <c r="Q2" s="129"/>
    </row>
    <row r="3" spans="1:25" ht="12.75" customHeight="1" x14ac:dyDescent="0.35">
      <c r="G3" s="127"/>
      <c r="H3" s="130"/>
      <c r="I3" s="124"/>
      <c r="J3" s="124"/>
      <c r="K3" s="129"/>
      <c r="L3" s="127"/>
      <c r="Q3" s="129"/>
    </row>
    <row r="4" spans="1:25" ht="12.75" customHeight="1" x14ac:dyDescent="0.35">
      <c r="G4" s="127"/>
      <c r="H4" s="130" t="s">
        <v>618</v>
      </c>
      <c r="I4" s="124"/>
      <c r="J4" s="124"/>
      <c r="K4" s="129"/>
      <c r="L4" s="127"/>
      <c r="Q4" s="129"/>
    </row>
    <row r="5" spans="1:25" ht="12.75" customHeight="1" x14ac:dyDescent="0.35">
      <c r="G5" s="127"/>
      <c r="H5" s="130" t="s">
        <v>619</v>
      </c>
      <c r="I5" s="124"/>
      <c r="J5" s="124"/>
      <c r="K5" s="129"/>
      <c r="L5" s="127"/>
      <c r="O5" s="129"/>
    </row>
    <row r="6" spans="1:25" ht="12.75" customHeight="1" x14ac:dyDescent="0.35">
      <c r="G6" s="127"/>
      <c r="H6" s="130" t="s">
        <v>616</v>
      </c>
      <c r="K6" s="129"/>
      <c r="L6" s="127"/>
    </row>
    <row r="7" spans="1:25" ht="12.75" customHeight="1" x14ac:dyDescent="0.35">
      <c r="A7" s="132"/>
      <c r="B7" s="132"/>
      <c r="C7" s="132"/>
      <c r="D7" s="133"/>
      <c r="E7" s="132"/>
      <c r="F7" s="134"/>
      <c r="G7" s="135"/>
      <c r="H7" s="136" t="s">
        <v>1120</v>
      </c>
      <c r="I7" s="134"/>
      <c r="J7" s="134"/>
      <c r="K7" s="132"/>
      <c r="L7" s="135"/>
    </row>
    <row r="8" spans="1:25" x14ac:dyDescent="0.35">
      <c r="A8" s="638" t="s">
        <v>462</v>
      </c>
      <c r="B8" s="626"/>
      <c r="C8" s="638" t="s">
        <v>463</v>
      </c>
      <c r="D8" s="626"/>
      <c r="E8" s="638" t="s">
        <v>464</v>
      </c>
      <c r="F8" s="626"/>
      <c r="G8" s="638" t="s">
        <v>465</v>
      </c>
      <c r="H8" s="624"/>
      <c r="I8" s="624"/>
      <c r="J8" s="149"/>
      <c r="K8" s="635" t="s">
        <v>466</v>
      </c>
      <c r="L8" s="631"/>
    </row>
    <row r="9" spans="1:25" ht="14.5" customHeight="1" x14ac:dyDescent="0.35">
      <c r="A9" s="654" t="s">
        <v>467</v>
      </c>
      <c r="B9" s="655"/>
      <c r="C9" s="656">
        <v>45486</v>
      </c>
      <c r="D9" s="657"/>
      <c r="E9" s="658"/>
      <c r="F9" s="658"/>
      <c r="G9" s="651" t="s">
        <v>243</v>
      </c>
      <c r="H9" s="652"/>
      <c r="I9" s="652"/>
      <c r="J9" s="653"/>
      <c r="K9" s="654" t="s">
        <v>245</v>
      </c>
      <c r="L9" s="655"/>
    </row>
    <row r="10" spans="1:25" x14ac:dyDescent="0.35">
      <c r="A10" s="635" t="s">
        <v>468</v>
      </c>
      <c r="B10" s="630"/>
      <c r="C10" s="630"/>
      <c r="D10" s="630"/>
      <c r="E10" s="630"/>
      <c r="F10" s="630"/>
      <c r="G10" s="630"/>
      <c r="H10" s="630"/>
      <c r="I10" s="630"/>
      <c r="J10" s="630"/>
      <c r="K10" s="630"/>
      <c r="L10" s="631"/>
    </row>
    <row r="11" spans="1:25" x14ac:dyDescent="0.35">
      <c r="A11" s="131" t="s">
        <v>912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5"/>
    </row>
    <row r="12" spans="1:25" ht="25.5" customHeight="1" x14ac:dyDescent="0.35">
      <c r="A12" s="141" t="s">
        <v>469</v>
      </c>
      <c r="B12" s="642" t="s">
        <v>470</v>
      </c>
      <c r="C12" s="643"/>
      <c r="D12" s="643"/>
      <c r="E12" s="644"/>
      <c r="F12" s="142" t="s">
        <v>471</v>
      </c>
      <c r="G12" s="141" t="s">
        <v>472</v>
      </c>
      <c r="H12" s="141" t="s">
        <v>473</v>
      </c>
      <c r="I12" s="141" t="s">
        <v>474</v>
      </c>
      <c r="J12" s="141" t="s">
        <v>1113</v>
      </c>
      <c r="K12" s="141" t="s">
        <v>475</v>
      </c>
      <c r="L12" s="141" t="s">
        <v>476</v>
      </c>
    </row>
    <row r="13" spans="1:25" ht="13" customHeight="1" x14ac:dyDescent="0.35">
      <c r="A13" s="262"/>
      <c r="B13" s="217" t="s">
        <v>1052</v>
      </c>
      <c r="C13" s="263"/>
      <c r="D13" s="263"/>
      <c r="E13" s="264"/>
      <c r="F13" s="265"/>
      <c r="G13" s="266"/>
      <c r="H13" s="267"/>
      <c r="I13" s="266"/>
      <c r="J13" s="316"/>
      <c r="K13" s="267"/>
      <c r="L13" s="326"/>
      <c r="O13" s="129"/>
    </row>
    <row r="14" spans="1:25" ht="14.5" x14ac:dyDescent="0.35">
      <c r="A14" s="256">
        <f t="array" ref="A14:A39">INDEX(salesHistory[sku], SMALL(IF((salesHistory[qty]&lt;&gt;0)*(salesHistory[order_no]=9), ROW(salesHistory[qty])-MIN(ROW(salesHistory[qty]))+1), ROW(A1:A26)))</f>
        <v>0</v>
      </c>
      <c r="B14" s="469" t="e">
        <f>INDEX(bhpc_data[description],MATCH($A14,bhpc_data[sku],0))</f>
        <v>#N/A</v>
      </c>
      <c r="C14" s="258"/>
      <c r="D14" s="258"/>
      <c r="E14" s="259"/>
      <c r="F14" s="260" t="s">
        <v>924</v>
      </c>
      <c r="G14" s="260">
        <f t="array" ref="G14:G39">INDEX(salesHistory[qty], SMALL(IF((salesHistory[qty]&lt;&gt;0)*(salesHistory[order_no]=9), ROW(salesHistory[qty])-MIN(ROW(salesHistory[qty]))+1), ROW(A1:A26)))</f>
        <v>0</v>
      </c>
      <c r="H14" s="261">
        <f t="array" ref="H14:H39">INDEX(salesHistory[price], SMALL(IF((salesHistory[qty]&lt;&gt;0)*(salesHistory[order_no]=9), ROW(salesHistory[qty])-MIN(ROW(salesHistory[qty]))+1), ROW(A1:A26)))</f>
        <v>0</v>
      </c>
      <c r="I14" s="260">
        <f t="shared" ref="I14:I21" si="0">CEILING(G14/12,1)</f>
        <v>0</v>
      </c>
      <c r="J14" s="317" t="e">
        <f>INDEX(bhpc_data[ean],MATCH(A14,bhpc_data[sku],0))</f>
        <v>#N/A</v>
      </c>
      <c r="K14" s="261">
        <f t="shared" ref="K14:K39" si="1">G14*H14</f>
        <v>0</v>
      </c>
      <c r="L14" s="312" t="s">
        <v>267</v>
      </c>
      <c r="O14" s="126"/>
      <c r="T14" s="61"/>
      <c r="U14" s="61"/>
      <c r="V14" s="145"/>
      <c r="W14" s="61"/>
      <c r="X14" s="145"/>
      <c r="Y14" s="61"/>
    </row>
    <row r="15" spans="1:25" ht="14.5" x14ac:dyDescent="0.35">
      <c r="A15" s="256" t="e">
        <v>#NUM!</v>
      </c>
      <c r="B15" s="469" t="e">
        <f>INDEX(bhpc_data[description],MATCH($A15,bhpc_data[sku],0))</f>
        <v>#NUM!</v>
      </c>
      <c r="C15" s="258"/>
      <c r="D15" s="258"/>
      <c r="E15" s="259"/>
      <c r="F15" s="260" t="s">
        <v>924</v>
      </c>
      <c r="G15" s="260" t="e">
        <v>#NUM!</v>
      </c>
      <c r="H15" s="261" t="e">
        <v>#NUM!</v>
      </c>
      <c r="I15" s="260" t="e">
        <f t="shared" si="0"/>
        <v>#NUM!</v>
      </c>
      <c r="J15" s="317" t="e">
        <f>INDEX(bhpc_data[ean],MATCH(A15,bhpc_data[sku],0))</f>
        <v>#NUM!</v>
      </c>
      <c r="K15" s="261" t="e">
        <f t="shared" si="1"/>
        <v>#NUM!</v>
      </c>
      <c r="L15" s="312" t="s">
        <v>267</v>
      </c>
      <c r="O15" s="129"/>
    </row>
    <row r="16" spans="1:25" ht="14.5" x14ac:dyDescent="0.35">
      <c r="A16" s="256" t="e">
        <v>#NUM!</v>
      </c>
      <c r="B16" s="469" t="e">
        <f>INDEX(bhpc_data[description],MATCH($A16,bhpc_data[sku],0))</f>
        <v>#NUM!</v>
      </c>
      <c r="C16" s="258"/>
      <c r="D16" s="258"/>
      <c r="E16" s="259"/>
      <c r="F16" s="260" t="s">
        <v>924</v>
      </c>
      <c r="G16" s="260" t="e">
        <v>#NUM!</v>
      </c>
      <c r="H16" s="261" t="e">
        <v>#NUM!</v>
      </c>
      <c r="I16" s="260" t="e">
        <f t="shared" si="0"/>
        <v>#NUM!</v>
      </c>
      <c r="J16" s="317" t="e">
        <f>INDEX(bhpc_data[ean],MATCH(A16,bhpc_data[sku],0))</f>
        <v>#NUM!</v>
      </c>
      <c r="K16" s="261" t="e">
        <f t="shared" si="1"/>
        <v>#NUM!</v>
      </c>
      <c r="L16" s="312" t="s">
        <v>267</v>
      </c>
      <c r="O16" s="126"/>
      <c r="T16" s="61"/>
      <c r="U16" s="61"/>
      <c r="V16" s="145"/>
      <c r="W16" s="61"/>
      <c r="X16" s="145"/>
      <c r="Y16" s="61"/>
    </row>
    <row r="17" spans="1:25" ht="14.5" x14ac:dyDescent="0.35">
      <c r="A17" s="256" t="e">
        <v>#NUM!</v>
      </c>
      <c r="B17" s="469" t="e">
        <f>INDEX(bhpc_data[description],MATCH($A17,bhpc_data[sku],0))</f>
        <v>#NUM!</v>
      </c>
      <c r="C17" s="258"/>
      <c r="D17" s="258"/>
      <c r="E17" s="259"/>
      <c r="F17" s="260" t="s">
        <v>924</v>
      </c>
      <c r="G17" s="260" t="e">
        <v>#NUM!</v>
      </c>
      <c r="H17" s="261" t="e">
        <v>#NUM!</v>
      </c>
      <c r="I17" s="260" t="e">
        <f t="shared" si="0"/>
        <v>#NUM!</v>
      </c>
      <c r="J17" s="317" t="e">
        <f>INDEX(bhpc_data[ean],MATCH(A17,bhpc_data[sku],0))</f>
        <v>#NUM!</v>
      </c>
      <c r="K17" s="261" t="e">
        <f t="shared" si="1"/>
        <v>#NUM!</v>
      </c>
      <c r="L17" s="312" t="s">
        <v>267</v>
      </c>
      <c r="O17" s="129"/>
    </row>
    <row r="18" spans="1:25" ht="14.5" x14ac:dyDescent="0.35">
      <c r="A18" s="256" t="e">
        <v>#NUM!</v>
      </c>
      <c r="B18" s="469" t="e">
        <f>INDEX(bhpc_data[description],MATCH($A18,bhpc_data[sku],0))</f>
        <v>#NUM!</v>
      </c>
      <c r="C18" s="258"/>
      <c r="D18" s="258"/>
      <c r="E18" s="259"/>
      <c r="F18" s="260" t="s">
        <v>924</v>
      </c>
      <c r="G18" s="260" t="e">
        <v>#NUM!</v>
      </c>
      <c r="H18" s="261" t="e">
        <v>#NUM!</v>
      </c>
      <c r="I18" s="260" t="e">
        <f t="shared" si="0"/>
        <v>#NUM!</v>
      </c>
      <c r="J18" s="317" t="e">
        <f>INDEX(bhpc_data[ean],MATCH(A18,bhpc_data[sku],0))</f>
        <v>#NUM!</v>
      </c>
      <c r="K18" s="261" t="e">
        <f t="shared" si="1"/>
        <v>#NUM!</v>
      </c>
      <c r="L18" s="312" t="s">
        <v>267</v>
      </c>
      <c r="O18" s="126"/>
      <c r="T18" s="61"/>
      <c r="U18" s="61"/>
      <c r="V18" s="145"/>
      <c r="W18" s="61"/>
      <c r="X18" s="145"/>
      <c r="Y18" s="61"/>
    </row>
    <row r="19" spans="1:25" ht="14.5" x14ac:dyDescent="0.35">
      <c r="A19" s="256" t="e">
        <v>#NUM!</v>
      </c>
      <c r="B19" s="469" t="e">
        <f>INDEX(bhpc_data[description],MATCH($A19,bhpc_data[sku],0))</f>
        <v>#NUM!</v>
      </c>
      <c r="C19" s="258"/>
      <c r="D19" s="258"/>
      <c r="E19" s="259"/>
      <c r="F19" s="260" t="s">
        <v>924</v>
      </c>
      <c r="G19" s="260" t="e">
        <v>#NUM!</v>
      </c>
      <c r="H19" s="261" t="e">
        <v>#NUM!</v>
      </c>
      <c r="I19" s="260" t="e">
        <f t="shared" si="0"/>
        <v>#NUM!</v>
      </c>
      <c r="J19" s="317" t="e">
        <f>INDEX(bhpc_data[ean],MATCH(A19,bhpc_data[sku],0))</f>
        <v>#NUM!</v>
      </c>
      <c r="K19" s="261" t="e">
        <f t="shared" si="1"/>
        <v>#NUM!</v>
      </c>
      <c r="L19" s="312" t="s">
        <v>267</v>
      </c>
    </row>
    <row r="20" spans="1:25" ht="14.5" x14ac:dyDescent="0.35">
      <c r="A20" s="256" t="e">
        <v>#NUM!</v>
      </c>
      <c r="B20" s="469" t="e">
        <f>INDEX(bhpc_data[description],MATCH($A20,bhpc_data[sku],0))</f>
        <v>#NUM!</v>
      </c>
      <c r="C20" s="258"/>
      <c r="D20" s="258"/>
      <c r="E20" s="259"/>
      <c r="F20" s="260" t="s">
        <v>924</v>
      </c>
      <c r="G20" s="260" t="e">
        <v>#NUM!</v>
      </c>
      <c r="H20" s="261" t="e">
        <v>#NUM!</v>
      </c>
      <c r="I20" s="260" t="e">
        <f t="shared" si="0"/>
        <v>#NUM!</v>
      </c>
      <c r="J20" s="317" t="e">
        <f>INDEX(bhpc_data[ean],MATCH(A20,bhpc_data[sku],0))</f>
        <v>#NUM!</v>
      </c>
      <c r="K20" s="261" t="e">
        <f t="shared" si="1"/>
        <v>#NUM!</v>
      </c>
      <c r="L20" s="312" t="s">
        <v>267</v>
      </c>
    </row>
    <row r="21" spans="1:25" ht="14.5" x14ac:dyDescent="0.35">
      <c r="A21" s="256" t="e">
        <v>#NUM!</v>
      </c>
      <c r="B21" s="469" t="e">
        <f>INDEX(bhpc_data[description],MATCH($A21,bhpc_data[sku],0))</f>
        <v>#NUM!</v>
      </c>
      <c r="C21" s="258"/>
      <c r="D21" s="258"/>
      <c r="E21" s="259"/>
      <c r="F21" s="260" t="s">
        <v>924</v>
      </c>
      <c r="G21" s="260" t="e">
        <v>#NUM!</v>
      </c>
      <c r="H21" s="261" t="e">
        <v>#NUM!</v>
      </c>
      <c r="I21" s="260" t="e">
        <f t="shared" si="0"/>
        <v>#NUM!</v>
      </c>
      <c r="J21" s="317" t="e">
        <f>INDEX(bhpc_data[ean],MATCH(A21,bhpc_data[sku],0))</f>
        <v>#NUM!</v>
      </c>
      <c r="K21" s="261" t="e">
        <f t="shared" si="1"/>
        <v>#NUM!</v>
      </c>
      <c r="L21" s="312" t="s">
        <v>267</v>
      </c>
    </row>
    <row r="22" spans="1:25" ht="14.5" x14ac:dyDescent="0.35">
      <c r="A22" s="256" t="e">
        <v>#NUM!</v>
      </c>
      <c r="B22" s="469" t="e">
        <f>INDEX(bhpc_data[description],MATCH($A22,bhpc_data[sku],0))</f>
        <v>#NUM!</v>
      </c>
      <c r="C22" s="258"/>
      <c r="D22" s="258"/>
      <c r="E22" s="259"/>
      <c r="F22" s="260" t="s">
        <v>924</v>
      </c>
      <c r="G22" s="260" t="e">
        <v>#NUM!</v>
      </c>
      <c r="H22" s="261" t="e">
        <v>#NUM!</v>
      </c>
      <c r="I22" s="260" t="e">
        <f t="shared" ref="I22:I39" si="2">CEILING(G22/24,1)</f>
        <v>#NUM!</v>
      </c>
      <c r="J22" s="317" t="e">
        <f>INDEX(bhpc_data[ean],MATCH(A22,bhpc_data[sku],0))</f>
        <v>#NUM!</v>
      </c>
      <c r="K22" s="261" t="e">
        <f t="shared" si="1"/>
        <v>#NUM!</v>
      </c>
      <c r="L22" s="312" t="s">
        <v>267</v>
      </c>
    </row>
    <row r="23" spans="1:25" ht="14.5" x14ac:dyDescent="0.35">
      <c r="A23" s="256" t="e">
        <v>#NUM!</v>
      </c>
      <c r="B23" s="469" t="e">
        <f>INDEX(bhpc_data[description],MATCH($A23,bhpc_data[sku],0))</f>
        <v>#NUM!</v>
      </c>
      <c r="C23" s="258"/>
      <c r="D23" s="258"/>
      <c r="E23" s="259"/>
      <c r="F23" s="260" t="s">
        <v>924</v>
      </c>
      <c r="G23" s="260" t="e">
        <v>#NUM!</v>
      </c>
      <c r="H23" s="261" t="e">
        <v>#NUM!</v>
      </c>
      <c r="I23" s="260" t="e">
        <f t="shared" si="2"/>
        <v>#NUM!</v>
      </c>
      <c r="J23" s="317" t="e">
        <f>INDEX(bhpc_data[ean],MATCH(A23,bhpc_data[sku],0))</f>
        <v>#NUM!</v>
      </c>
      <c r="K23" s="261" t="e">
        <f t="shared" si="1"/>
        <v>#NUM!</v>
      </c>
      <c r="L23" s="312" t="s">
        <v>267</v>
      </c>
    </row>
    <row r="24" spans="1:25" ht="14.5" x14ac:dyDescent="0.35">
      <c r="A24" s="256" t="e">
        <v>#NUM!</v>
      </c>
      <c r="B24" s="469" t="e">
        <f>INDEX(bhpc_data[description],MATCH($A24,bhpc_data[sku],0))</f>
        <v>#NUM!</v>
      </c>
      <c r="C24" s="258"/>
      <c r="D24" s="258"/>
      <c r="E24" s="259"/>
      <c r="F24" s="260" t="s">
        <v>924</v>
      </c>
      <c r="G24" s="260" t="e">
        <v>#NUM!</v>
      </c>
      <c r="H24" s="261" t="e">
        <v>#NUM!</v>
      </c>
      <c r="I24" s="260" t="e">
        <f t="shared" si="2"/>
        <v>#NUM!</v>
      </c>
      <c r="J24" s="317" t="e">
        <f>INDEX(bhpc_data[ean],MATCH(A24,bhpc_data[sku],0))</f>
        <v>#NUM!</v>
      </c>
      <c r="K24" s="261" t="e">
        <f t="shared" si="1"/>
        <v>#NUM!</v>
      </c>
      <c r="L24" s="312" t="s">
        <v>267</v>
      </c>
    </row>
    <row r="25" spans="1:25" ht="14.5" x14ac:dyDescent="0.35">
      <c r="A25" s="256" t="e">
        <v>#NUM!</v>
      </c>
      <c r="B25" s="469" t="e">
        <f>INDEX(bhpc_data[description],MATCH($A25,bhpc_data[sku],0))</f>
        <v>#NUM!</v>
      </c>
      <c r="C25" s="258"/>
      <c r="D25" s="258"/>
      <c r="E25" s="259"/>
      <c r="F25" s="260" t="s">
        <v>924</v>
      </c>
      <c r="G25" s="260" t="e">
        <v>#NUM!</v>
      </c>
      <c r="H25" s="261" t="e">
        <v>#NUM!</v>
      </c>
      <c r="I25" s="260" t="e">
        <f t="shared" si="2"/>
        <v>#NUM!</v>
      </c>
      <c r="J25" s="317" t="e">
        <f>INDEX(bhpc_data[ean],MATCH(A25,bhpc_data[sku],0))</f>
        <v>#NUM!</v>
      </c>
      <c r="K25" s="261" t="e">
        <f t="shared" si="1"/>
        <v>#NUM!</v>
      </c>
      <c r="L25" s="312" t="s">
        <v>267</v>
      </c>
    </row>
    <row r="26" spans="1:25" ht="14.5" x14ac:dyDescent="0.35">
      <c r="A26" s="256" t="e">
        <v>#NUM!</v>
      </c>
      <c r="B26" s="469" t="e">
        <f>INDEX(bhpc_data[description],MATCH($A26,bhpc_data[sku],0))</f>
        <v>#NUM!</v>
      </c>
      <c r="C26" s="258"/>
      <c r="D26" s="258"/>
      <c r="E26" s="259"/>
      <c r="F26" s="260" t="s">
        <v>924</v>
      </c>
      <c r="G26" s="260" t="e">
        <v>#NUM!</v>
      </c>
      <c r="H26" s="261" t="e">
        <v>#NUM!</v>
      </c>
      <c r="I26" s="260" t="e">
        <f t="shared" si="2"/>
        <v>#NUM!</v>
      </c>
      <c r="J26" s="317" t="e">
        <f>INDEX(bhpc_data[ean],MATCH(A26,bhpc_data[sku],0))</f>
        <v>#NUM!</v>
      </c>
      <c r="K26" s="261" t="e">
        <f t="shared" si="1"/>
        <v>#NUM!</v>
      </c>
      <c r="L26" s="312" t="s">
        <v>267</v>
      </c>
    </row>
    <row r="27" spans="1:25" ht="14.5" x14ac:dyDescent="0.35">
      <c r="A27" s="256" t="e">
        <v>#NUM!</v>
      </c>
      <c r="B27" s="469" t="e">
        <f>INDEX(bhpc_data[description],MATCH($A27,bhpc_data[sku],0))</f>
        <v>#NUM!</v>
      </c>
      <c r="C27" s="258"/>
      <c r="D27" s="258"/>
      <c r="E27" s="259"/>
      <c r="F27" s="260" t="s">
        <v>924</v>
      </c>
      <c r="G27" s="260" t="e">
        <v>#NUM!</v>
      </c>
      <c r="H27" s="261" t="e">
        <v>#NUM!</v>
      </c>
      <c r="I27" s="260" t="e">
        <f t="shared" si="2"/>
        <v>#NUM!</v>
      </c>
      <c r="J27" s="317" t="e">
        <f>INDEX(bhpc_data[ean],MATCH(A27,bhpc_data[sku],0))</f>
        <v>#NUM!</v>
      </c>
      <c r="K27" s="261" t="e">
        <f t="shared" si="1"/>
        <v>#NUM!</v>
      </c>
      <c r="L27" s="312" t="s">
        <v>267</v>
      </c>
    </row>
    <row r="28" spans="1:25" ht="14.5" x14ac:dyDescent="0.35">
      <c r="A28" s="256" t="e">
        <v>#NUM!</v>
      </c>
      <c r="B28" s="469" t="e">
        <f>INDEX(bhpc_data[description],MATCH($A28,bhpc_data[sku],0))</f>
        <v>#NUM!</v>
      </c>
      <c r="C28" s="258"/>
      <c r="D28" s="258"/>
      <c r="E28" s="259"/>
      <c r="F28" s="260" t="s">
        <v>924</v>
      </c>
      <c r="G28" s="260" t="e">
        <v>#NUM!</v>
      </c>
      <c r="H28" s="261" t="e">
        <v>#NUM!</v>
      </c>
      <c r="I28" s="260" t="e">
        <f t="shared" si="2"/>
        <v>#NUM!</v>
      </c>
      <c r="J28" s="317" t="e">
        <f>INDEX(bhpc_data[ean],MATCH(A28,bhpc_data[sku],0))</f>
        <v>#NUM!</v>
      </c>
      <c r="K28" s="261" t="e">
        <f t="shared" si="1"/>
        <v>#NUM!</v>
      </c>
      <c r="L28" s="312" t="s">
        <v>267</v>
      </c>
    </row>
    <row r="29" spans="1:25" ht="14.5" x14ac:dyDescent="0.35">
      <c r="A29" s="256" t="e">
        <v>#NUM!</v>
      </c>
      <c r="B29" s="469" t="e">
        <f>INDEX(bhpc_data[description],MATCH($A29,bhpc_data[sku],0))</f>
        <v>#NUM!</v>
      </c>
      <c r="C29" s="258"/>
      <c r="D29" s="258"/>
      <c r="E29" s="259"/>
      <c r="F29" s="260" t="s">
        <v>924</v>
      </c>
      <c r="G29" s="260" t="e">
        <v>#NUM!</v>
      </c>
      <c r="H29" s="261" t="e">
        <v>#NUM!</v>
      </c>
      <c r="I29" s="260" t="e">
        <f t="shared" si="2"/>
        <v>#NUM!</v>
      </c>
      <c r="J29" s="317" t="e">
        <f>INDEX(bhpc_data[ean],MATCH(A29,bhpc_data[sku],0))</f>
        <v>#NUM!</v>
      </c>
      <c r="K29" s="261" t="e">
        <f t="shared" si="1"/>
        <v>#NUM!</v>
      </c>
      <c r="L29" s="312" t="s">
        <v>267</v>
      </c>
    </row>
    <row r="30" spans="1:25" ht="14.5" x14ac:dyDescent="0.35">
      <c r="A30" s="256" t="e">
        <v>#NUM!</v>
      </c>
      <c r="B30" s="469" t="e">
        <f>INDEX(bhpc_data[description],MATCH($A30,bhpc_data[sku],0))</f>
        <v>#NUM!</v>
      </c>
      <c r="C30" s="258"/>
      <c r="D30" s="258"/>
      <c r="E30" s="259"/>
      <c r="F30" s="260" t="s">
        <v>924</v>
      </c>
      <c r="G30" s="260" t="e">
        <v>#NUM!</v>
      </c>
      <c r="H30" s="261" t="e">
        <v>#NUM!</v>
      </c>
      <c r="I30" s="260" t="e">
        <f t="shared" si="2"/>
        <v>#NUM!</v>
      </c>
      <c r="J30" s="317" t="e">
        <f>INDEX(bhpc_data[ean],MATCH(A30,bhpc_data[sku],0))</f>
        <v>#NUM!</v>
      </c>
      <c r="K30" s="261" t="e">
        <f t="shared" si="1"/>
        <v>#NUM!</v>
      </c>
      <c r="L30" s="312" t="s">
        <v>267</v>
      </c>
    </row>
    <row r="31" spans="1:25" ht="14.5" x14ac:dyDescent="0.35">
      <c r="A31" s="256" t="e">
        <v>#NUM!</v>
      </c>
      <c r="B31" s="469" t="e">
        <f>INDEX(bhpc_data[description],MATCH($A31,bhpc_data[sku],0))</f>
        <v>#NUM!</v>
      </c>
      <c r="C31" s="258"/>
      <c r="D31" s="258"/>
      <c r="E31" s="259"/>
      <c r="F31" s="260" t="s">
        <v>924</v>
      </c>
      <c r="G31" s="260" t="e">
        <v>#NUM!</v>
      </c>
      <c r="H31" s="261" t="e">
        <v>#NUM!</v>
      </c>
      <c r="I31" s="260" t="e">
        <f t="shared" si="2"/>
        <v>#NUM!</v>
      </c>
      <c r="J31" s="317" t="e">
        <f>INDEX(bhpc_data[ean],MATCH(A31,bhpc_data[sku],0))</f>
        <v>#NUM!</v>
      </c>
      <c r="K31" s="261" t="e">
        <f t="shared" si="1"/>
        <v>#NUM!</v>
      </c>
      <c r="L31" s="312" t="s">
        <v>267</v>
      </c>
    </row>
    <row r="32" spans="1:25" ht="14.5" x14ac:dyDescent="0.35">
      <c r="A32" s="256" t="e">
        <v>#NUM!</v>
      </c>
      <c r="B32" s="469" t="e">
        <f>INDEX(bhpc_data[description],MATCH($A32,bhpc_data[sku],0))</f>
        <v>#NUM!</v>
      </c>
      <c r="C32" s="258"/>
      <c r="D32" s="258"/>
      <c r="E32" s="259"/>
      <c r="F32" s="260" t="s">
        <v>924</v>
      </c>
      <c r="G32" s="260" t="e">
        <v>#NUM!</v>
      </c>
      <c r="H32" s="261" t="e">
        <v>#NUM!</v>
      </c>
      <c r="I32" s="260" t="e">
        <f t="shared" si="2"/>
        <v>#NUM!</v>
      </c>
      <c r="J32" s="317" t="e">
        <f>INDEX(bhpc_data[ean],MATCH(A32,bhpc_data[sku],0))</f>
        <v>#NUM!</v>
      </c>
      <c r="K32" s="261" t="e">
        <f t="shared" si="1"/>
        <v>#NUM!</v>
      </c>
      <c r="L32" s="312" t="s">
        <v>267</v>
      </c>
    </row>
    <row r="33" spans="1:12" ht="14.5" x14ac:dyDescent="0.35">
      <c r="A33" s="256" t="e">
        <v>#NUM!</v>
      </c>
      <c r="B33" s="469" t="e">
        <f>INDEX(bhpc_data[description],MATCH($A33,bhpc_data[sku],0))</f>
        <v>#NUM!</v>
      </c>
      <c r="C33" s="258"/>
      <c r="D33" s="258"/>
      <c r="E33" s="259"/>
      <c r="F33" s="260" t="s">
        <v>924</v>
      </c>
      <c r="G33" s="260" t="e">
        <v>#NUM!</v>
      </c>
      <c r="H33" s="261" t="e">
        <v>#NUM!</v>
      </c>
      <c r="I33" s="260" t="e">
        <f t="shared" si="2"/>
        <v>#NUM!</v>
      </c>
      <c r="J33" s="317" t="e">
        <f>INDEX(bhpc_data[ean],MATCH(A33,bhpc_data[sku],0))</f>
        <v>#NUM!</v>
      </c>
      <c r="K33" s="261" t="e">
        <f t="shared" si="1"/>
        <v>#NUM!</v>
      </c>
      <c r="L33" s="312" t="s">
        <v>267</v>
      </c>
    </row>
    <row r="34" spans="1:12" ht="14.5" x14ac:dyDescent="0.35">
      <c r="A34" s="256" t="e">
        <v>#NUM!</v>
      </c>
      <c r="B34" s="469" t="e">
        <f>INDEX(bhpc_data[description],MATCH($A34,bhpc_data[sku],0))</f>
        <v>#NUM!</v>
      </c>
      <c r="C34" s="258"/>
      <c r="D34" s="258"/>
      <c r="E34" s="259"/>
      <c r="F34" s="260" t="s">
        <v>924</v>
      </c>
      <c r="G34" s="260" t="e">
        <v>#NUM!</v>
      </c>
      <c r="H34" s="261" t="e">
        <v>#NUM!</v>
      </c>
      <c r="I34" s="260" t="e">
        <f t="shared" si="2"/>
        <v>#NUM!</v>
      </c>
      <c r="J34" s="317" t="e">
        <f>INDEX(bhpc_data[ean],MATCH(A34,bhpc_data[sku],0))</f>
        <v>#NUM!</v>
      </c>
      <c r="K34" s="261" t="e">
        <f t="shared" si="1"/>
        <v>#NUM!</v>
      </c>
      <c r="L34" s="312" t="s">
        <v>267</v>
      </c>
    </row>
    <row r="35" spans="1:12" ht="14.5" x14ac:dyDescent="0.35">
      <c r="A35" s="256" t="e">
        <v>#NUM!</v>
      </c>
      <c r="B35" s="469" t="e">
        <f>INDEX(bhpc_data[description],MATCH($A35,bhpc_data[sku],0))</f>
        <v>#NUM!</v>
      </c>
      <c r="C35" s="258"/>
      <c r="D35" s="258"/>
      <c r="E35" s="259"/>
      <c r="F35" s="260" t="s">
        <v>924</v>
      </c>
      <c r="G35" s="260" t="e">
        <v>#NUM!</v>
      </c>
      <c r="H35" s="261" t="e">
        <v>#NUM!</v>
      </c>
      <c r="I35" s="260" t="e">
        <f t="shared" si="2"/>
        <v>#NUM!</v>
      </c>
      <c r="J35" s="317" t="e">
        <f>INDEX(bhpc_data[ean],MATCH(A35,bhpc_data[sku],0))</f>
        <v>#NUM!</v>
      </c>
      <c r="K35" s="261" t="e">
        <f t="shared" si="1"/>
        <v>#NUM!</v>
      </c>
      <c r="L35" s="312" t="s">
        <v>267</v>
      </c>
    </row>
    <row r="36" spans="1:12" ht="14.5" x14ac:dyDescent="0.35">
      <c r="A36" s="256" t="e">
        <v>#NUM!</v>
      </c>
      <c r="B36" s="469" t="e">
        <f>INDEX(bhpc_data[description],MATCH($A36,bhpc_data[sku],0))</f>
        <v>#NUM!</v>
      </c>
      <c r="C36" s="258"/>
      <c r="D36" s="258"/>
      <c r="E36" s="259"/>
      <c r="F36" s="260" t="s">
        <v>924</v>
      </c>
      <c r="G36" s="260" t="e">
        <v>#NUM!</v>
      </c>
      <c r="H36" s="261" t="e">
        <v>#NUM!</v>
      </c>
      <c r="I36" s="260" t="e">
        <f t="shared" si="2"/>
        <v>#NUM!</v>
      </c>
      <c r="J36" s="317" t="e">
        <f>INDEX(bhpc_data[ean],MATCH(A36,bhpc_data[sku],0))</f>
        <v>#NUM!</v>
      </c>
      <c r="K36" s="261" t="e">
        <f t="shared" si="1"/>
        <v>#NUM!</v>
      </c>
      <c r="L36" s="312" t="s">
        <v>267</v>
      </c>
    </row>
    <row r="37" spans="1:12" ht="14.5" x14ac:dyDescent="0.35">
      <c r="A37" s="256" t="e">
        <v>#NUM!</v>
      </c>
      <c r="B37" s="469" t="e">
        <f>INDEX(bhpc_data[description],MATCH($A37,bhpc_data[sku],0))</f>
        <v>#NUM!</v>
      </c>
      <c r="C37" s="258"/>
      <c r="D37" s="258"/>
      <c r="E37" s="259"/>
      <c r="F37" s="260" t="s">
        <v>924</v>
      </c>
      <c r="G37" s="260" t="e">
        <v>#NUM!</v>
      </c>
      <c r="H37" s="261" t="e">
        <v>#NUM!</v>
      </c>
      <c r="I37" s="260" t="e">
        <f t="shared" si="2"/>
        <v>#NUM!</v>
      </c>
      <c r="J37" s="317" t="e">
        <f>INDEX(bhpc_data[ean],MATCH(A37,bhpc_data[sku],0))</f>
        <v>#NUM!</v>
      </c>
      <c r="K37" s="261" t="e">
        <f t="shared" si="1"/>
        <v>#NUM!</v>
      </c>
      <c r="L37" s="312" t="s">
        <v>267</v>
      </c>
    </row>
    <row r="38" spans="1:12" ht="14.5" x14ac:dyDescent="0.35">
      <c r="A38" s="256" t="e">
        <v>#NUM!</v>
      </c>
      <c r="B38" s="469" t="e">
        <f>INDEX(bhpc_data[description],MATCH($A38,bhpc_data[sku],0))</f>
        <v>#NUM!</v>
      </c>
      <c r="C38" s="258"/>
      <c r="D38" s="258"/>
      <c r="E38" s="259"/>
      <c r="F38" s="260" t="s">
        <v>924</v>
      </c>
      <c r="G38" s="260" t="e">
        <v>#NUM!</v>
      </c>
      <c r="H38" s="261" t="e">
        <v>#NUM!</v>
      </c>
      <c r="I38" s="260" t="e">
        <f t="shared" si="2"/>
        <v>#NUM!</v>
      </c>
      <c r="J38" s="317" t="e">
        <f>INDEX(bhpc_data[ean],MATCH(A38,bhpc_data[sku],0))</f>
        <v>#NUM!</v>
      </c>
      <c r="K38" s="261" t="e">
        <f t="shared" si="1"/>
        <v>#NUM!</v>
      </c>
      <c r="L38" s="312" t="s">
        <v>267</v>
      </c>
    </row>
    <row r="39" spans="1:12" ht="14.5" x14ac:dyDescent="0.35">
      <c r="A39" s="256" t="e">
        <v>#NUM!</v>
      </c>
      <c r="B39" s="469" t="e">
        <f>INDEX(bhpc_data[description],MATCH($A39,bhpc_data[sku],0))</f>
        <v>#NUM!</v>
      </c>
      <c r="C39" s="258"/>
      <c r="D39" s="258"/>
      <c r="E39" s="259"/>
      <c r="F39" s="260" t="s">
        <v>924</v>
      </c>
      <c r="G39" s="260" t="e">
        <v>#NUM!</v>
      </c>
      <c r="H39" s="261" t="e">
        <v>#NUM!</v>
      </c>
      <c r="I39" s="260" t="e">
        <f t="shared" si="2"/>
        <v>#NUM!</v>
      </c>
      <c r="J39" s="317" t="e">
        <f>INDEX(bhpc_data[ean],MATCH(A39,bhpc_data[sku],0))</f>
        <v>#NUM!</v>
      </c>
      <c r="K39" s="261" t="e">
        <f t="shared" si="1"/>
        <v>#NUM!</v>
      </c>
      <c r="L39" s="312" t="s">
        <v>267</v>
      </c>
    </row>
    <row r="40" spans="1:12" ht="14.5" x14ac:dyDescent="0.35">
      <c r="A40" s="256"/>
      <c r="B40" s="469"/>
      <c r="C40" s="258"/>
      <c r="D40" s="258"/>
      <c r="E40" s="259"/>
      <c r="F40" s="260"/>
      <c r="G40" s="260"/>
      <c r="H40" s="261"/>
      <c r="I40" s="260"/>
      <c r="J40" s="317"/>
      <c r="K40" s="261"/>
      <c r="L40" s="312"/>
    </row>
    <row r="41" spans="1:12" ht="14.5" x14ac:dyDescent="0.35">
      <c r="A41" s="256"/>
      <c r="B41" s="469"/>
      <c r="C41" s="258"/>
      <c r="D41" s="258"/>
      <c r="E41" s="259"/>
      <c r="F41" s="260"/>
      <c r="G41" s="260"/>
      <c r="H41" s="261"/>
      <c r="I41" s="260"/>
      <c r="J41" s="317"/>
      <c r="K41" s="261"/>
      <c r="L41" s="312"/>
    </row>
    <row r="42" spans="1:12" ht="14.5" x14ac:dyDescent="0.35">
      <c r="A42" s="256"/>
      <c r="B42" s="469"/>
      <c r="C42" s="258"/>
      <c r="D42" s="258"/>
      <c r="E42" s="259"/>
      <c r="F42" s="260"/>
      <c r="G42" s="260"/>
      <c r="H42" s="261"/>
      <c r="I42" s="260"/>
      <c r="J42" s="317"/>
      <c r="K42" s="261"/>
      <c r="L42" s="312"/>
    </row>
    <row r="43" spans="1:12" ht="14.5" x14ac:dyDescent="0.35">
      <c r="A43" s="256"/>
      <c r="B43" s="469"/>
      <c r="C43" s="258"/>
      <c r="D43" s="258"/>
      <c r="E43" s="259"/>
      <c r="F43" s="260"/>
      <c r="G43" s="260"/>
      <c r="H43" s="261"/>
      <c r="I43" s="260"/>
      <c r="J43" s="317"/>
      <c r="K43" s="261"/>
      <c r="L43" s="312"/>
    </row>
    <row r="44" spans="1:12" ht="14.5" x14ac:dyDescent="0.35">
      <c r="A44" s="256"/>
      <c r="B44" s="469"/>
      <c r="C44" s="258"/>
      <c r="D44" s="258"/>
      <c r="E44" s="259"/>
      <c r="F44" s="260"/>
      <c r="G44" s="260"/>
      <c r="H44" s="261"/>
      <c r="I44" s="260"/>
      <c r="J44" s="317"/>
      <c r="K44" s="261"/>
      <c r="L44" s="312"/>
    </row>
    <row r="45" spans="1:12" ht="14.5" x14ac:dyDescent="0.35">
      <c r="A45" s="256"/>
      <c r="B45" s="469"/>
      <c r="C45" s="258"/>
      <c r="D45" s="258"/>
      <c r="E45" s="259"/>
      <c r="F45" s="260"/>
      <c r="G45" s="260"/>
      <c r="H45" s="261"/>
      <c r="I45" s="260"/>
      <c r="J45" s="317"/>
      <c r="K45" s="261"/>
      <c r="L45" s="312"/>
    </row>
    <row r="46" spans="1:12" ht="14.5" x14ac:dyDescent="0.35">
      <c r="A46" s="256"/>
      <c r="B46" s="469"/>
      <c r="C46" s="258"/>
      <c r="D46" s="258"/>
      <c r="E46" s="259"/>
      <c r="F46" s="260"/>
      <c r="G46" s="260"/>
      <c r="H46" s="261"/>
      <c r="I46" s="260"/>
      <c r="J46" s="317"/>
      <c r="K46" s="261"/>
      <c r="L46" s="312"/>
    </row>
    <row r="47" spans="1:12" ht="14.5" x14ac:dyDescent="0.35">
      <c r="A47" s="256"/>
      <c r="B47" s="469"/>
      <c r="C47" s="258"/>
      <c r="D47" s="258"/>
      <c r="E47" s="259"/>
      <c r="F47" s="260"/>
      <c r="G47" s="260"/>
      <c r="H47" s="261"/>
      <c r="I47" s="260"/>
      <c r="J47" s="317"/>
      <c r="K47" s="261"/>
      <c r="L47" s="312"/>
    </row>
    <row r="48" spans="1:12" ht="14.5" x14ac:dyDescent="0.35">
      <c r="A48" s="256"/>
      <c r="B48" s="469"/>
      <c r="C48" s="258"/>
      <c r="D48" s="258"/>
      <c r="E48" s="259"/>
      <c r="F48" s="260"/>
      <c r="G48" s="260"/>
      <c r="H48" s="261"/>
      <c r="I48" s="260"/>
      <c r="J48" s="317"/>
      <c r="K48" s="261"/>
      <c r="L48" s="312"/>
    </row>
    <row r="49" spans="1:12" ht="14.5" x14ac:dyDescent="0.35">
      <c r="A49" s="256"/>
      <c r="B49" s="469"/>
      <c r="C49" s="258"/>
      <c r="D49" s="258"/>
      <c r="E49" s="259"/>
      <c r="F49" s="260"/>
      <c r="G49" s="260"/>
      <c r="H49" s="261"/>
      <c r="I49" s="260"/>
      <c r="J49" s="317"/>
      <c r="K49" s="261"/>
      <c r="L49" s="312"/>
    </row>
    <row r="50" spans="1:12" ht="14.5" x14ac:dyDescent="0.35">
      <c r="A50" s="256"/>
      <c r="B50" s="469"/>
      <c r="C50" s="288"/>
      <c r="D50" s="258"/>
      <c r="E50" s="259"/>
      <c r="F50" s="260"/>
      <c r="G50" s="260"/>
      <c r="H50" s="261"/>
      <c r="I50" s="260"/>
      <c r="J50" s="317"/>
      <c r="K50" s="261"/>
      <c r="L50" s="312"/>
    </row>
    <row r="51" spans="1:12" ht="14.5" x14ac:dyDescent="0.35">
      <c r="A51" s="256"/>
      <c r="B51" s="469"/>
      <c r="C51" s="258"/>
      <c r="D51" s="258"/>
      <c r="E51" s="259"/>
      <c r="F51" s="260"/>
      <c r="G51" s="260"/>
      <c r="H51" s="261"/>
      <c r="I51" s="260"/>
      <c r="J51" s="317"/>
      <c r="K51" s="261"/>
      <c r="L51" s="312"/>
    </row>
    <row r="52" spans="1:12" ht="14.5" x14ac:dyDescent="0.35">
      <c r="A52" s="256"/>
      <c r="B52" s="469"/>
      <c r="C52" s="258"/>
      <c r="D52" s="258"/>
      <c r="E52" s="259"/>
      <c r="F52" s="260"/>
      <c r="G52" s="260"/>
      <c r="H52" s="261"/>
      <c r="I52" s="260"/>
      <c r="J52" s="317"/>
      <c r="K52" s="261"/>
      <c r="L52" s="312"/>
    </row>
    <row r="53" spans="1:12" ht="14.5" x14ac:dyDescent="0.35">
      <c r="A53" s="256"/>
      <c r="B53" s="469"/>
      <c r="C53" s="258"/>
      <c r="D53" s="258"/>
      <c r="E53" s="259"/>
      <c r="F53" s="260"/>
      <c r="G53" s="260"/>
      <c r="H53" s="261"/>
      <c r="I53" s="260"/>
      <c r="J53" s="317"/>
      <c r="K53" s="261"/>
      <c r="L53" s="312"/>
    </row>
    <row r="54" spans="1:12" ht="14.5" x14ac:dyDescent="0.35">
      <c r="A54" s="256"/>
      <c r="B54" s="469"/>
      <c r="C54" s="258"/>
      <c r="D54" s="258"/>
      <c r="E54" s="259"/>
      <c r="F54" s="260"/>
      <c r="G54" s="260"/>
      <c r="H54" s="261"/>
      <c r="I54" s="260"/>
      <c r="J54" s="317"/>
      <c r="K54" s="261"/>
      <c r="L54" s="312"/>
    </row>
    <row r="55" spans="1:12" ht="14.5" x14ac:dyDescent="0.35">
      <c r="A55" s="256"/>
      <c r="B55" s="469"/>
      <c r="C55" s="258"/>
      <c r="D55" s="258"/>
      <c r="E55" s="259"/>
      <c r="F55" s="260"/>
      <c r="G55" s="260"/>
      <c r="H55" s="261"/>
      <c r="I55" s="260"/>
      <c r="J55" s="317"/>
      <c r="K55" s="261"/>
      <c r="L55" s="312"/>
    </row>
    <row r="56" spans="1:12" ht="14.5" x14ac:dyDescent="0.35">
      <c r="A56" s="256"/>
      <c r="B56" s="469"/>
      <c r="C56" s="258"/>
      <c r="D56" s="258"/>
      <c r="E56" s="259"/>
      <c r="F56" s="260"/>
      <c r="G56" s="260"/>
      <c r="H56" s="261"/>
      <c r="I56" s="260"/>
      <c r="J56" s="317"/>
      <c r="K56" s="261"/>
      <c r="L56" s="312"/>
    </row>
    <row r="57" spans="1:12" ht="14.5" x14ac:dyDescent="0.35">
      <c r="A57" s="256"/>
      <c r="B57" s="469"/>
      <c r="C57" s="258"/>
      <c r="D57" s="258"/>
      <c r="E57" s="259"/>
      <c r="F57" s="260"/>
      <c r="G57" s="260"/>
      <c r="H57" s="261"/>
      <c r="I57" s="260"/>
      <c r="J57" s="317"/>
      <c r="K57" s="261"/>
      <c r="L57" s="312"/>
    </row>
    <row r="58" spans="1:12" ht="9.65" customHeight="1" x14ac:dyDescent="0.35">
      <c r="A58" s="635"/>
      <c r="B58" s="631"/>
      <c r="C58" s="661"/>
      <c r="D58" s="662"/>
      <c r="E58" s="635" t="s">
        <v>492</v>
      </c>
      <c r="F58" s="630"/>
      <c r="G58" s="631"/>
      <c r="H58" s="663" t="s">
        <v>477</v>
      </c>
      <c r="I58" s="630"/>
      <c r="J58" s="630"/>
      <c r="K58" s="664"/>
      <c r="L58" s="631"/>
    </row>
    <row r="59" spans="1:12" s="137" customFormat="1" ht="14.5" customHeight="1" x14ac:dyDescent="0.35">
      <c r="A59" s="640"/>
      <c r="B59" s="641"/>
      <c r="C59" s="665"/>
      <c r="D59" s="666"/>
      <c r="E59" s="667" t="e">
        <f>SUM($K$13:$K$57)</f>
        <v>#NUM!</v>
      </c>
      <c r="F59" s="668"/>
      <c r="G59" s="669"/>
      <c r="H59" s="682" t="e">
        <f>SUM(K14:K57)</f>
        <v>#NUM!</v>
      </c>
      <c r="I59" s="628"/>
      <c r="J59" s="628"/>
      <c r="K59" s="628"/>
      <c r="L59" s="629"/>
    </row>
    <row r="60" spans="1:12" ht="9.65" customHeight="1" x14ac:dyDescent="0.35">
      <c r="A60" s="635" t="s">
        <v>478</v>
      </c>
      <c r="B60" s="631"/>
      <c r="C60" s="138" t="s">
        <v>479</v>
      </c>
      <c r="D60" s="635" t="s">
        <v>480</v>
      </c>
      <c r="E60" s="639"/>
      <c r="F60" s="635" t="s">
        <v>481</v>
      </c>
      <c r="G60" s="631"/>
      <c r="H60" s="659" t="s">
        <v>482</v>
      </c>
      <c r="I60" s="624"/>
      <c r="J60" s="624"/>
      <c r="K60" s="660"/>
      <c r="L60" s="626"/>
    </row>
    <row r="61" spans="1:12" ht="14.5" customHeight="1" x14ac:dyDescent="0.35">
      <c r="A61" s="608" t="str">
        <f>A108</f>
        <v>NON IMPONIBILE ART.8</v>
      </c>
      <c r="B61" s="609"/>
      <c r="C61" s="612" t="str">
        <f>C108</f>
        <v>053</v>
      </c>
      <c r="D61" s="672" t="e">
        <f>H59</f>
        <v>#NUM!</v>
      </c>
      <c r="E61" s="673"/>
      <c r="F61" s="675">
        <f>IF(C61="022",22%,0)</f>
        <v>0</v>
      </c>
      <c r="G61" s="676"/>
      <c r="H61" s="682" t="e">
        <f>H59</f>
        <v>#NUM!</v>
      </c>
      <c r="I61" s="628"/>
      <c r="J61" s="628"/>
      <c r="K61" s="628"/>
      <c r="L61" s="629"/>
    </row>
    <row r="62" spans="1:12" x14ac:dyDescent="0.35">
      <c r="A62" s="608"/>
      <c r="B62" s="609"/>
      <c r="C62" s="670"/>
      <c r="D62" s="672"/>
      <c r="E62" s="673"/>
      <c r="F62" s="675"/>
      <c r="G62" s="676"/>
      <c r="H62" s="659" t="s">
        <v>483</v>
      </c>
      <c r="I62" s="624"/>
      <c r="J62" s="624"/>
      <c r="K62" s="660"/>
      <c r="L62" s="626"/>
    </row>
    <row r="63" spans="1:12" ht="14.5" customHeight="1" x14ac:dyDescent="0.35">
      <c r="A63" s="608"/>
      <c r="B63" s="609"/>
      <c r="C63" s="670"/>
      <c r="D63" s="672"/>
      <c r="E63" s="674"/>
      <c r="F63" s="675"/>
      <c r="G63" s="676"/>
      <c r="H63" s="682">
        <f>SEK61*F61</f>
        <v>0</v>
      </c>
      <c r="I63" s="628"/>
      <c r="J63" s="628"/>
      <c r="K63" s="628"/>
      <c r="L63" s="629"/>
    </row>
    <row r="64" spans="1:12" x14ac:dyDescent="0.35">
      <c r="A64" s="608"/>
      <c r="B64" s="609"/>
      <c r="C64" s="670"/>
      <c r="D64" s="672"/>
      <c r="E64" s="674"/>
      <c r="F64" s="675"/>
      <c r="G64" s="676"/>
      <c r="H64" s="659" t="s">
        <v>484</v>
      </c>
      <c r="I64" s="624"/>
      <c r="J64" s="624"/>
      <c r="K64" s="660"/>
      <c r="L64" s="626"/>
    </row>
    <row r="65" spans="1:12" ht="14.5" customHeight="1" x14ac:dyDescent="0.35">
      <c r="A65" s="610"/>
      <c r="B65" s="611"/>
      <c r="C65" s="671"/>
      <c r="D65" s="667"/>
      <c r="E65" s="669"/>
      <c r="F65" s="677"/>
      <c r="G65" s="678"/>
      <c r="H65" s="682" t="e">
        <f>H59+H63</f>
        <v>#NUM!</v>
      </c>
      <c r="I65" s="628"/>
      <c r="J65" s="628"/>
      <c r="K65" s="628"/>
      <c r="L65" s="629"/>
    </row>
    <row r="66" spans="1:12" ht="14.5" x14ac:dyDescent="0.35">
      <c r="A66" s="268"/>
      <c r="B66" s="218" t="s">
        <v>493</v>
      </c>
      <c r="C66" s="269"/>
      <c r="D66" s="269"/>
      <c r="E66" s="270"/>
      <c r="F66" s="186"/>
      <c r="G66" s="271"/>
      <c r="H66" s="272"/>
      <c r="I66" s="271"/>
      <c r="J66" s="318"/>
      <c r="K66" s="272"/>
      <c r="L66" s="327"/>
    </row>
    <row r="67" spans="1:12" ht="14.5" x14ac:dyDescent="0.35">
      <c r="A67" s="256">
        <f t="array" ref="A67:A80">INDEX(salesHistory[sku], SMALL(IF((salesHistory[foc_qty]&lt;&gt;0)*(salesHistory[order_no]=9), ROW(salesHistory[qty])-MIN(ROW(salesHistory[qty]))+1), ROW(A1:A14)))</f>
        <v>0</v>
      </c>
      <c r="B67" s="469" t="e">
        <f>INDEX(bhpc_data[description],MATCH($A67,bhpc_data[sku],0))</f>
        <v>#N/A</v>
      </c>
      <c r="C67" s="258"/>
      <c r="D67" s="258"/>
      <c r="E67" s="259"/>
      <c r="F67" s="260" t="s">
        <v>924</v>
      </c>
      <c r="G67" s="260">
        <f t="array" ref="G67:G80">INDEX(salesHistory[foc_qty], SMALL(IF((salesHistory[foc_qty]&lt;&gt;0)*(salesHistory[order_no]=9), ROW(salesHistory[qty])-MIN(ROW(salesHistory[qty]))+1), ROW(A1:A14)))</f>
        <v>0</v>
      </c>
      <c r="H67" s="261">
        <v>0</v>
      </c>
      <c r="I67" s="260">
        <f t="shared" ref="I67:I80" si="3">CEILING(G67/24,1)</f>
        <v>0</v>
      </c>
      <c r="J67" s="317" t="e">
        <f>INDEX(bhpc_data[ean],MATCH(A67,bhpc_data[sku],0))</f>
        <v>#N/A</v>
      </c>
      <c r="K67" s="261">
        <f t="shared" ref="K67:K80" si="4">G67*H67</f>
        <v>0</v>
      </c>
      <c r="L67" s="312" t="s">
        <v>267</v>
      </c>
    </row>
    <row r="68" spans="1:12" ht="14.5" x14ac:dyDescent="0.35">
      <c r="A68" s="256" t="e">
        <v>#NUM!</v>
      </c>
      <c r="B68" s="469" t="e">
        <f>INDEX(bhpc_data[description],MATCH($A68,bhpc_data[sku],0))</f>
        <v>#NUM!</v>
      </c>
      <c r="C68" s="258"/>
      <c r="D68" s="258"/>
      <c r="E68" s="259"/>
      <c r="F68" s="260" t="s">
        <v>924</v>
      </c>
      <c r="G68" s="260" t="e">
        <v>#NUM!</v>
      </c>
      <c r="H68" s="261">
        <v>0</v>
      </c>
      <c r="I68" s="260" t="e">
        <f t="shared" si="3"/>
        <v>#NUM!</v>
      </c>
      <c r="J68" s="317" t="e">
        <f>INDEX(bhpc_data[ean],MATCH(A68,bhpc_data[sku],0))</f>
        <v>#NUM!</v>
      </c>
      <c r="K68" s="261" t="e">
        <f t="shared" si="4"/>
        <v>#NUM!</v>
      </c>
      <c r="L68" s="312" t="s">
        <v>267</v>
      </c>
    </row>
    <row r="69" spans="1:12" ht="14.5" x14ac:dyDescent="0.35">
      <c r="A69" s="256" t="e">
        <v>#NUM!</v>
      </c>
      <c r="B69" s="469" t="e">
        <f>INDEX(bhpc_data[description],MATCH($A69,bhpc_data[sku],0))</f>
        <v>#NUM!</v>
      </c>
      <c r="C69" s="258"/>
      <c r="D69" s="258"/>
      <c r="E69" s="259"/>
      <c r="F69" s="260" t="s">
        <v>924</v>
      </c>
      <c r="G69" s="260" t="e">
        <v>#NUM!</v>
      </c>
      <c r="H69" s="261">
        <v>0</v>
      </c>
      <c r="I69" s="260" t="e">
        <f t="shared" si="3"/>
        <v>#NUM!</v>
      </c>
      <c r="J69" s="317" t="e">
        <f>INDEX(bhpc_data[ean],MATCH(A69,bhpc_data[sku],0))</f>
        <v>#NUM!</v>
      </c>
      <c r="K69" s="261" t="e">
        <f t="shared" si="4"/>
        <v>#NUM!</v>
      </c>
      <c r="L69" s="312" t="s">
        <v>267</v>
      </c>
    </row>
    <row r="70" spans="1:12" ht="14.5" x14ac:dyDescent="0.35">
      <c r="A70" s="256" t="e">
        <v>#NUM!</v>
      </c>
      <c r="B70" s="469" t="e">
        <f>INDEX(bhpc_data[description],MATCH($A70,bhpc_data[sku],0))</f>
        <v>#NUM!</v>
      </c>
      <c r="C70" s="258"/>
      <c r="D70" s="258"/>
      <c r="E70" s="259"/>
      <c r="F70" s="260" t="s">
        <v>924</v>
      </c>
      <c r="G70" s="260" t="e">
        <v>#NUM!</v>
      </c>
      <c r="H70" s="261">
        <v>0</v>
      </c>
      <c r="I70" s="260" t="e">
        <f t="shared" si="3"/>
        <v>#NUM!</v>
      </c>
      <c r="J70" s="317" t="e">
        <f>INDEX(bhpc_data[ean],MATCH(A70,bhpc_data[sku],0))</f>
        <v>#NUM!</v>
      </c>
      <c r="K70" s="261" t="e">
        <f t="shared" si="4"/>
        <v>#NUM!</v>
      </c>
      <c r="L70" s="312" t="s">
        <v>267</v>
      </c>
    </row>
    <row r="71" spans="1:12" ht="14.5" x14ac:dyDescent="0.35">
      <c r="A71" s="256" t="e">
        <v>#NUM!</v>
      </c>
      <c r="B71" s="469" t="e">
        <f>INDEX(bhpc_data[description],MATCH($A71,bhpc_data[sku],0))</f>
        <v>#NUM!</v>
      </c>
      <c r="C71" s="258"/>
      <c r="D71" s="258"/>
      <c r="E71" s="259"/>
      <c r="F71" s="260" t="s">
        <v>924</v>
      </c>
      <c r="G71" s="260" t="e">
        <v>#NUM!</v>
      </c>
      <c r="H71" s="261">
        <v>0</v>
      </c>
      <c r="I71" s="260" t="e">
        <f t="shared" si="3"/>
        <v>#NUM!</v>
      </c>
      <c r="J71" s="317" t="e">
        <f>INDEX(bhpc_data[ean],MATCH(A71,bhpc_data[sku],0))</f>
        <v>#NUM!</v>
      </c>
      <c r="K71" s="261" t="e">
        <f t="shared" si="4"/>
        <v>#NUM!</v>
      </c>
      <c r="L71" s="312" t="s">
        <v>267</v>
      </c>
    </row>
    <row r="72" spans="1:12" ht="14.5" x14ac:dyDescent="0.35">
      <c r="A72" s="256" t="e">
        <v>#NUM!</v>
      </c>
      <c r="B72" s="469" t="e">
        <f>INDEX(bhpc_data[description],MATCH($A72,bhpc_data[sku],0))</f>
        <v>#NUM!</v>
      </c>
      <c r="C72" s="288"/>
      <c r="D72" s="121"/>
      <c r="E72" s="259"/>
      <c r="F72" s="260" t="s">
        <v>924</v>
      </c>
      <c r="G72" s="260" t="e">
        <v>#NUM!</v>
      </c>
      <c r="H72" s="261">
        <v>0</v>
      </c>
      <c r="I72" s="260" t="e">
        <f t="shared" si="3"/>
        <v>#NUM!</v>
      </c>
      <c r="J72" s="317" t="e">
        <f>INDEX(bhpc_data[ean],MATCH(A72,bhpc_data[sku],0))</f>
        <v>#NUM!</v>
      </c>
      <c r="K72" s="261" t="e">
        <f t="shared" si="4"/>
        <v>#NUM!</v>
      </c>
      <c r="L72" s="312" t="s">
        <v>267</v>
      </c>
    </row>
    <row r="73" spans="1:12" ht="14.5" x14ac:dyDescent="0.35">
      <c r="A73" s="256" t="e">
        <v>#NUM!</v>
      </c>
      <c r="B73" s="469" t="e">
        <f>INDEX(bhpc_data[description],MATCH($A73,bhpc_data[sku],0))</f>
        <v>#NUM!</v>
      </c>
      <c r="C73" s="288"/>
      <c r="D73" s="121"/>
      <c r="E73" s="259"/>
      <c r="F73" s="260" t="s">
        <v>924</v>
      </c>
      <c r="G73" s="260" t="e">
        <v>#NUM!</v>
      </c>
      <c r="H73" s="261">
        <v>0</v>
      </c>
      <c r="I73" s="260" t="e">
        <f t="shared" si="3"/>
        <v>#NUM!</v>
      </c>
      <c r="J73" s="317" t="e">
        <f>INDEX(bhpc_data[ean],MATCH(A73,bhpc_data[sku],0))</f>
        <v>#NUM!</v>
      </c>
      <c r="K73" s="261" t="e">
        <f t="shared" si="4"/>
        <v>#NUM!</v>
      </c>
      <c r="L73" s="312" t="s">
        <v>267</v>
      </c>
    </row>
    <row r="74" spans="1:12" ht="14.5" x14ac:dyDescent="0.35">
      <c r="A74" s="256" t="e">
        <v>#NUM!</v>
      </c>
      <c r="B74" s="469" t="e">
        <f>INDEX(bhpc_data[description],MATCH($A74,bhpc_data[sku],0))</f>
        <v>#NUM!</v>
      </c>
      <c r="C74" s="288"/>
      <c r="D74" s="291"/>
      <c r="E74" s="259"/>
      <c r="F74" s="260" t="s">
        <v>924</v>
      </c>
      <c r="G74" s="260" t="e">
        <v>#NUM!</v>
      </c>
      <c r="H74" s="261">
        <v>0</v>
      </c>
      <c r="I74" s="260" t="e">
        <f t="shared" si="3"/>
        <v>#NUM!</v>
      </c>
      <c r="J74" s="317" t="e">
        <f>INDEX(bhpc_data[ean],MATCH(A74,bhpc_data[sku],0))</f>
        <v>#NUM!</v>
      </c>
      <c r="K74" s="261" t="e">
        <f t="shared" si="4"/>
        <v>#NUM!</v>
      </c>
      <c r="L74" s="312" t="s">
        <v>267</v>
      </c>
    </row>
    <row r="75" spans="1:12" ht="14.5" x14ac:dyDescent="0.35">
      <c r="A75" s="256" t="e">
        <v>#NUM!</v>
      </c>
      <c r="B75" s="469" t="e">
        <f>INDEX(bhpc_data[description],MATCH($A75,bhpc_data[sku],0))</f>
        <v>#NUM!</v>
      </c>
      <c r="C75" s="288"/>
      <c r="D75" s="121"/>
      <c r="E75" s="259"/>
      <c r="F75" s="260" t="s">
        <v>924</v>
      </c>
      <c r="G75" s="260" t="e">
        <v>#NUM!</v>
      </c>
      <c r="H75" s="261">
        <v>0</v>
      </c>
      <c r="I75" s="260" t="e">
        <f t="shared" si="3"/>
        <v>#NUM!</v>
      </c>
      <c r="J75" s="317" t="e">
        <f>INDEX(bhpc_data[ean],MATCH(A75,bhpc_data[sku],0))</f>
        <v>#NUM!</v>
      </c>
      <c r="K75" s="261" t="e">
        <f t="shared" si="4"/>
        <v>#NUM!</v>
      </c>
      <c r="L75" s="312" t="s">
        <v>267</v>
      </c>
    </row>
    <row r="76" spans="1:12" ht="14.5" x14ac:dyDescent="0.35">
      <c r="A76" s="256" t="e">
        <v>#NUM!</v>
      </c>
      <c r="B76" s="469" t="e">
        <f>INDEX(bhpc_data[description],MATCH($A76,bhpc_data[sku],0))</f>
        <v>#NUM!</v>
      </c>
      <c r="C76" s="288"/>
      <c r="D76" s="121"/>
      <c r="E76" s="259"/>
      <c r="F76" s="260" t="s">
        <v>924</v>
      </c>
      <c r="G76" s="260" t="e">
        <v>#NUM!</v>
      </c>
      <c r="H76" s="261">
        <v>0</v>
      </c>
      <c r="I76" s="260" t="e">
        <f t="shared" si="3"/>
        <v>#NUM!</v>
      </c>
      <c r="J76" s="317" t="e">
        <f>INDEX(bhpc_data[ean],MATCH(A76,bhpc_data[sku],0))</f>
        <v>#NUM!</v>
      </c>
      <c r="K76" s="261" t="e">
        <f t="shared" si="4"/>
        <v>#NUM!</v>
      </c>
      <c r="L76" s="312" t="s">
        <v>267</v>
      </c>
    </row>
    <row r="77" spans="1:12" ht="14.5" x14ac:dyDescent="0.35">
      <c r="A77" s="256" t="e">
        <v>#NUM!</v>
      </c>
      <c r="B77" s="469" t="e">
        <f>INDEX(bhpc_data[description],MATCH($A77,bhpc_data[sku],0))</f>
        <v>#NUM!</v>
      </c>
      <c r="C77" s="258"/>
      <c r="D77" s="258"/>
      <c r="E77" s="259"/>
      <c r="F77" s="260" t="s">
        <v>924</v>
      </c>
      <c r="G77" s="260" t="e">
        <v>#NUM!</v>
      </c>
      <c r="H77" s="261">
        <v>0</v>
      </c>
      <c r="I77" s="260" t="e">
        <f t="shared" si="3"/>
        <v>#NUM!</v>
      </c>
      <c r="J77" s="317" t="e">
        <f>INDEX(bhpc_data[ean],MATCH(A77,bhpc_data[sku],0))</f>
        <v>#NUM!</v>
      </c>
      <c r="K77" s="261" t="e">
        <f t="shared" si="4"/>
        <v>#NUM!</v>
      </c>
      <c r="L77" s="312" t="s">
        <v>267</v>
      </c>
    </row>
    <row r="78" spans="1:12" ht="14.5" x14ac:dyDescent="0.35">
      <c r="A78" s="256" t="e">
        <v>#NUM!</v>
      </c>
      <c r="B78" s="469" t="e">
        <f>INDEX(bhpc_data[description],MATCH($A78,bhpc_data[sku],0))</f>
        <v>#NUM!</v>
      </c>
      <c r="C78" s="258"/>
      <c r="D78" s="258"/>
      <c r="E78" s="259"/>
      <c r="F78" s="260" t="s">
        <v>924</v>
      </c>
      <c r="G78" s="260" t="e">
        <v>#NUM!</v>
      </c>
      <c r="H78" s="261">
        <v>0</v>
      </c>
      <c r="I78" s="260" t="e">
        <f t="shared" si="3"/>
        <v>#NUM!</v>
      </c>
      <c r="J78" s="317" t="e">
        <f>INDEX(bhpc_data[ean],MATCH(A78,bhpc_data[sku],0))</f>
        <v>#NUM!</v>
      </c>
      <c r="K78" s="261" t="e">
        <f t="shared" si="4"/>
        <v>#NUM!</v>
      </c>
      <c r="L78" s="312" t="s">
        <v>267</v>
      </c>
    </row>
    <row r="79" spans="1:12" ht="14.5" x14ac:dyDescent="0.35">
      <c r="A79" s="256" t="e">
        <v>#NUM!</v>
      </c>
      <c r="B79" s="469" t="e">
        <f>INDEX(bhpc_data[description],MATCH($A79,bhpc_data[sku],0))</f>
        <v>#NUM!</v>
      </c>
      <c r="C79" s="258"/>
      <c r="D79" s="258"/>
      <c r="E79" s="259"/>
      <c r="F79" s="260" t="s">
        <v>924</v>
      </c>
      <c r="G79" s="260" t="e">
        <v>#NUM!</v>
      </c>
      <c r="H79" s="261">
        <v>0</v>
      </c>
      <c r="I79" s="260" t="e">
        <f t="shared" si="3"/>
        <v>#NUM!</v>
      </c>
      <c r="J79" s="317" t="e">
        <f>INDEX(bhpc_data[ean],MATCH(A79,bhpc_data[sku],0))</f>
        <v>#NUM!</v>
      </c>
      <c r="K79" s="261" t="e">
        <f t="shared" si="4"/>
        <v>#NUM!</v>
      </c>
      <c r="L79" s="312" t="s">
        <v>267</v>
      </c>
    </row>
    <row r="80" spans="1:12" ht="14.5" x14ac:dyDescent="0.35">
      <c r="A80" s="256" t="e">
        <v>#NUM!</v>
      </c>
      <c r="B80" s="469" t="e">
        <f>INDEX(bhpc_data[description],MATCH($A80,bhpc_data[sku],0))</f>
        <v>#NUM!</v>
      </c>
      <c r="C80" s="288"/>
      <c r="D80" s="121"/>
      <c r="E80" s="259"/>
      <c r="F80" s="260" t="s">
        <v>924</v>
      </c>
      <c r="G80" s="260" t="e">
        <v>#NUM!</v>
      </c>
      <c r="H80" s="261">
        <v>0</v>
      </c>
      <c r="I80" s="260" t="e">
        <f t="shared" si="3"/>
        <v>#NUM!</v>
      </c>
      <c r="J80" s="317" t="e">
        <f>INDEX(bhpc_data[ean],MATCH(A80,bhpc_data[sku],0))</f>
        <v>#NUM!</v>
      </c>
      <c r="K80" s="261" t="e">
        <f t="shared" si="4"/>
        <v>#NUM!</v>
      </c>
      <c r="L80" s="312" t="s">
        <v>267</v>
      </c>
    </row>
    <row r="81" spans="1:12" ht="14.5" x14ac:dyDescent="0.35">
      <c r="A81" s="256"/>
      <c r="B81" s="469"/>
      <c r="C81" s="288"/>
      <c r="D81" s="121"/>
      <c r="E81" s="259"/>
      <c r="F81" s="260"/>
      <c r="G81" s="260"/>
      <c r="H81" s="261"/>
      <c r="I81" s="260"/>
      <c r="J81" s="317"/>
      <c r="K81" s="261"/>
      <c r="L81" s="312"/>
    </row>
    <row r="82" spans="1:12" ht="14.5" x14ac:dyDescent="0.35">
      <c r="A82" s="256"/>
      <c r="B82" s="469"/>
      <c r="C82" s="288"/>
      <c r="D82" s="291"/>
      <c r="E82" s="259"/>
      <c r="F82" s="260"/>
      <c r="G82" s="260"/>
      <c r="H82" s="261"/>
      <c r="I82" s="260"/>
      <c r="J82" s="317"/>
      <c r="K82" s="261"/>
      <c r="L82" s="312"/>
    </row>
    <row r="83" spans="1:12" ht="14.5" x14ac:dyDescent="0.35">
      <c r="A83" s="256"/>
      <c r="B83" s="469"/>
      <c r="C83" s="288" t="s">
        <v>1048</v>
      </c>
      <c r="D83" s="121" t="e">
        <f>CONCATENATE(plModel12!$A$114," Kg.")</f>
        <v>#NUM!</v>
      </c>
      <c r="E83" s="259"/>
      <c r="F83" s="260"/>
      <c r="G83" s="260"/>
      <c r="H83" s="261"/>
      <c r="I83" s="260"/>
      <c r="J83" s="317"/>
      <c r="K83" s="261"/>
      <c r="L83" s="312"/>
    </row>
    <row r="84" spans="1:12" ht="14.5" x14ac:dyDescent="0.35">
      <c r="A84" s="256"/>
      <c r="B84" s="469"/>
      <c r="C84" s="288" t="s">
        <v>1049</v>
      </c>
      <c r="D84" s="121" t="e">
        <f>CONCATENATE(plModel12!$C$114," Kg.")</f>
        <v>#NUM!</v>
      </c>
      <c r="E84" s="259"/>
      <c r="F84" s="260"/>
      <c r="G84" s="260"/>
      <c r="H84" s="261"/>
      <c r="I84" s="260"/>
      <c r="J84" s="317"/>
      <c r="K84" s="261"/>
      <c r="L84" s="312"/>
    </row>
    <row r="85" spans="1:12" ht="14.5" x14ac:dyDescent="0.35">
      <c r="A85" s="256"/>
      <c r="B85" s="469"/>
      <c r="C85" s="288" t="s">
        <v>1050</v>
      </c>
      <c r="D85" s="315" t="e">
        <f>plModel12!$C$112</f>
        <v>#NUM!</v>
      </c>
      <c r="E85" s="259"/>
      <c r="F85" s="260"/>
      <c r="G85" s="260"/>
      <c r="H85" s="261"/>
      <c r="I85" s="260"/>
      <c r="J85" s="317"/>
      <c r="K85" s="261"/>
      <c r="L85" s="312"/>
    </row>
    <row r="86" spans="1:12" ht="14.5" x14ac:dyDescent="0.35">
      <c r="A86" s="256"/>
      <c r="B86" s="469"/>
      <c r="C86" s="288" t="s">
        <v>1051</v>
      </c>
      <c r="D86" s="291">
        <f>plModel12!$E$112</f>
        <v>0</v>
      </c>
      <c r="E86" s="259"/>
      <c r="F86" s="260"/>
      <c r="G86" s="260"/>
      <c r="H86" s="261"/>
      <c r="I86" s="260"/>
      <c r="J86" s="317"/>
      <c r="K86" s="261"/>
      <c r="L86" s="312"/>
    </row>
    <row r="87" spans="1:12" ht="14.5" x14ac:dyDescent="0.35">
      <c r="A87" s="256"/>
      <c r="B87" s="469"/>
      <c r="C87" s="288" t="s">
        <v>1047</v>
      </c>
      <c r="D87" s="121" t="str">
        <f>plModel12!$G$112</f>
        <v>100x120x(h)</v>
      </c>
      <c r="E87" s="259"/>
      <c r="F87" s="260"/>
      <c r="G87" s="260"/>
      <c r="H87" s="261"/>
      <c r="I87" s="260"/>
      <c r="J87" s="317"/>
      <c r="K87" s="261"/>
      <c r="L87" s="312"/>
    </row>
    <row r="88" spans="1:12" ht="14.5" x14ac:dyDescent="0.35">
      <c r="A88" s="256"/>
      <c r="B88" s="469"/>
      <c r="C88" s="288"/>
      <c r="D88" s="291"/>
      <c r="E88" s="259"/>
      <c r="F88" s="260"/>
      <c r="G88" s="260"/>
      <c r="H88" s="261"/>
      <c r="I88" s="260"/>
      <c r="J88" s="317"/>
      <c r="K88" s="261"/>
      <c r="L88" s="312"/>
    </row>
    <row r="89" spans="1:12" ht="14.5" x14ac:dyDescent="0.35">
      <c r="A89" s="256"/>
      <c r="B89" s="469"/>
      <c r="C89" s="288"/>
      <c r="D89" s="121"/>
      <c r="E89" s="259"/>
      <c r="F89" s="260"/>
      <c r="G89" s="260"/>
      <c r="H89" s="261"/>
      <c r="I89" s="260"/>
      <c r="J89" s="317"/>
      <c r="K89" s="261"/>
      <c r="L89" s="312"/>
    </row>
    <row r="90" spans="1:12" ht="14.5" x14ac:dyDescent="0.35">
      <c r="A90" s="256"/>
      <c r="B90" s="469"/>
      <c r="C90" s="288"/>
      <c r="D90" s="121"/>
      <c r="E90" s="259"/>
      <c r="F90" s="260"/>
      <c r="G90" s="260"/>
      <c r="H90" s="261"/>
      <c r="I90" s="260"/>
      <c r="J90" s="317"/>
      <c r="K90" s="261"/>
      <c r="L90" s="312"/>
    </row>
    <row r="91" spans="1:12" ht="14.5" x14ac:dyDescent="0.35">
      <c r="A91" s="256"/>
      <c r="B91" s="469"/>
      <c r="C91" s="258"/>
      <c r="D91" s="258"/>
      <c r="E91" s="259"/>
      <c r="F91" s="260"/>
      <c r="G91" s="260"/>
      <c r="H91" s="261"/>
      <c r="I91" s="260"/>
      <c r="J91" s="317"/>
      <c r="K91" s="261"/>
      <c r="L91" s="312"/>
    </row>
    <row r="92" spans="1:12" ht="14.5" x14ac:dyDescent="0.35">
      <c r="A92" s="256"/>
      <c r="B92" s="469"/>
      <c r="C92" s="258"/>
      <c r="D92" s="258"/>
      <c r="E92" s="259"/>
      <c r="F92" s="260"/>
      <c r="G92" s="260"/>
      <c r="H92" s="261"/>
      <c r="I92" s="260"/>
      <c r="J92" s="317"/>
      <c r="K92" s="261"/>
      <c r="L92" s="312"/>
    </row>
    <row r="93" spans="1:12" ht="14.5" x14ac:dyDescent="0.35">
      <c r="A93" s="256"/>
      <c r="B93" s="469"/>
      <c r="C93" s="258"/>
      <c r="D93" s="258"/>
      <c r="E93" s="259"/>
      <c r="F93" s="260"/>
      <c r="G93" s="260"/>
      <c r="H93" s="261"/>
      <c r="I93" s="260"/>
      <c r="J93" s="317"/>
      <c r="K93" s="261"/>
      <c r="L93" s="312"/>
    </row>
    <row r="94" spans="1:12" ht="14.5" x14ac:dyDescent="0.35">
      <c r="A94" s="256"/>
      <c r="B94" s="469"/>
      <c r="C94" s="258"/>
      <c r="D94" s="258"/>
      <c r="E94" s="259"/>
      <c r="F94" s="260"/>
      <c r="G94" s="260"/>
      <c r="H94" s="261"/>
      <c r="I94" s="260"/>
      <c r="J94" s="317"/>
      <c r="K94" s="261"/>
      <c r="L94" s="312"/>
    </row>
    <row r="95" spans="1:12" ht="14.5" x14ac:dyDescent="0.35">
      <c r="A95" s="256"/>
      <c r="B95" s="469"/>
      <c r="C95" s="258"/>
      <c r="D95" s="258"/>
      <c r="E95" s="259"/>
      <c r="F95" s="260"/>
      <c r="G95" s="260"/>
      <c r="H95" s="261"/>
      <c r="I95" s="260"/>
      <c r="J95" s="317"/>
      <c r="K95" s="261"/>
      <c r="L95" s="312"/>
    </row>
    <row r="96" spans="1:12" ht="14.5" x14ac:dyDescent="0.35">
      <c r="A96" s="256"/>
      <c r="B96" s="469"/>
      <c r="C96" s="258"/>
      <c r="D96" s="258"/>
      <c r="E96" s="259"/>
      <c r="F96" s="260"/>
      <c r="G96" s="260"/>
      <c r="H96" s="261"/>
      <c r="I96" s="260"/>
      <c r="J96" s="317"/>
      <c r="K96" s="261"/>
      <c r="L96" s="312"/>
    </row>
    <row r="97" spans="1:12" ht="14.5" x14ac:dyDescent="0.35">
      <c r="A97" s="256"/>
      <c r="B97" s="469"/>
      <c r="C97" s="258"/>
      <c r="D97" s="258"/>
      <c r="E97" s="259"/>
      <c r="F97" s="260"/>
      <c r="G97" s="260"/>
      <c r="H97" s="261"/>
      <c r="I97" s="260"/>
      <c r="J97" s="317"/>
      <c r="K97" s="261"/>
      <c r="L97" s="312"/>
    </row>
    <row r="98" spans="1:12" ht="14.5" x14ac:dyDescent="0.35">
      <c r="A98" s="256"/>
      <c r="B98" s="469"/>
      <c r="C98" s="258"/>
      <c r="D98" s="258"/>
      <c r="E98" s="259"/>
      <c r="F98" s="260"/>
      <c r="G98" s="260"/>
      <c r="H98" s="261"/>
      <c r="I98" s="260"/>
      <c r="J98" s="317"/>
      <c r="K98" s="261"/>
      <c r="L98" s="312"/>
    </row>
    <row r="99" spans="1:12" ht="14.5" x14ac:dyDescent="0.35">
      <c r="A99" s="256"/>
      <c r="B99" s="469"/>
      <c r="C99" s="258"/>
      <c r="D99" s="258"/>
      <c r="E99" s="259"/>
      <c r="F99" s="260"/>
      <c r="G99" s="260"/>
      <c r="H99" s="261"/>
      <c r="I99" s="260"/>
      <c r="J99" s="317"/>
      <c r="K99" s="261"/>
      <c r="L99" s="312"/>
    </row>
    <row r="100" spans="1:12" ht="14.5" x14ac:dyDescent="0.35">
      <c r="A100" s="256"/>
      <c r="B100" s="469"/>
      <c r="C100" s="258"/>
      <c r="D100" s="258"/>
      <c r="E100" s="259"/>
      <c r="F100" s="260"/>
      <c r="G100" s="260"/>
      <c r="H100" s="261"/>
      <c r="I100" s="260"/>
      <c r="J100" s="317"/>
      <c r="K100" s="261"/>
      <c r="L100" s="312"/>
    </row>
    <row r="101" spans="1:12" ht="14.5" x14ac:dyDescent="0.35">
      <c r="A101" s="256"/>
      <c r="B101" s="469"/>
      <c r="C101" s="258"/>
      <c r="D101" s="258"/>
      <c r="E101" s="259"/>
      <c r="F101" s="260"/>
      <c r="G101" s="260"/>
      <c r="H101" s="261"/>
      <c r="I101" s="260"/>
      <c r="J101" s="317"/>
      <c r="K101" s="261"/>
      <c r="L101" s="312"/>
    </row>
    <row r="102" spans="1:12" ht="14.5" x14ac:dyDescent="0.35">
      <c r="A102" s="256"/>
      <c r="B102" s="469"/>
      <c r="C102" s="258"/>
      <c r="D102" s="258"/>
      <c r="E102" s="259"/>
      <c r="F102" s="260"/>
      <c r="G102" s="260"/>
      <c r="H102" s="261"/>
      <c r="I102" s="260"/>
      <c r="J102" s="317"/>
      <c r="K102" s="261"/>
      <c r="L102" s="312"/>
    </row>
    <row r="103" spans="1:12" ht="14.5" x14ac:dyDescent="0.35">
      <c r="A103" s="256"/>
      <c r="B103" s="469"/>
      <c r="C103" s="258"/>
      <c r="D103" s="258"/>
      <c r="E103" s="259"/>
      <c r="F103" s="260"/>
      <c r="G103" s="260"/>
      <c r="H103" s="261"/>
      <c r="I103" s="260"/>
      <c r="J103" s="317"/>
      <c r="K103" s="261"/>
      <c r="L103" s="312"/>
    </row>
    <row r="104" spans="1:12" ht="14.5" x14ac:dyDescent="0.35">
      <c r="A104" s="256"/>
      <c r="B104" s="469"/>
      <c r="C104" s="258"/>
      <c r="D104" s="258"/>
      <c r="E104" s="259"/>
      <c r="F104" s="260"/>
      <c r="G104" s="260"/>
      <c r="H104" s="261"/>
      <c r="I104" s="260"/>
      <c r="J104" s="317"/>
      <c r="K104" s="261"/>
      <c r="L104" s="312"/>
    </row>
    <row r="105" spans="1:12" ht="9" customHeight="1" x14ac:dyDescent="0.35">
      <c r="A105" s="635" t="s">
        <v>1046</v>
      </c>
      <c r="B105" s="630"/>
      <c r="C105" s="630"/>
      <c r="D105" s="630"/>
      <c r="E105" s="630"/>
      <c r="F105" s="630"/>
      <c r="G105" s="631"/>
      <c r="H105" s="663" t="s">
        <v>477</v>
      </c>
      <c r="I105" s="630"/>
      <c r="J105" s="630"/>
      <c r="K105" s="664"/>
      <c r="L105" s="631"/>
    </row>
    <row r="106" spans="1:12" ht="14.5" customHeight="1" x14ac:dyDescent="0.35">
      <c r="A106" s="284" t="s">
        <v>348</v>
      </c>
      <c r="B106" s="285"/>
      <c r="C106" s="285"/>
      <c r="D106" s="285"/>
      <c r="E106" s="286"/>
      <c r="F106" s="286"/>
      <c r="G106" s="287"/>
      <c r="H106" s="682" t="e">
        <f>$E$59+SUM(K66:K104)</f>
        <v>#NUM!</v>
      </c>
      <c r="I106" s="628"/>
      <c r="J106" s="628"/>
      <c r="K106" s="628"/>
      <c r="L106" s="629"/>
    </row>
    <row r="107" spans="1:12" ht="10" customHeight="1" x14ac:dyDescent="0.35">
      <c r="A107" s="635" t="s">
        <v>478</v>
      </c>
      <c r="B107" s="631"/>
      <c r="C107" s="138" t="s">
        <v>479</v>
      </c>
      <c r="D107" s="635" t="s">
        <v>480</v>
      </c>
      <c r="E107" s="631"/>
      <c r="F107" s="635" t="s">
        <v>481</v>
      </c>
      <c r="G107" s="631"/>
      <c r="H107" s="659" t="s">
        <v>482</v>
      </c>
      <c r="I107" s="624"/>
      <c r="J107" s="624"/>
      <c r="K107" s="660"/>
      <c r="L107" s="626"/>
    </row>
    <row r="108" spans="1:12" ht="14.5" customHeight="1" x14ac:dyDescent="0.35">
      <c r="A108" s="608" t="s">
        <v>268</v>
      </c>
      <c r="B108" s="609"/>
      <c r="C108" s="687" t="s">
        <v>267</v>
      </c>
      <c r="D108" s="672" t="e">
        <f>H106</f>
        <v>#NUM!</v>
      </c>
      <c r="E108" s="674"/>
      <c r="F108" s="675">
        <f>IF(C108="022",22%,0)</f>
        <v>0</v>
      </c>
      <c r="G108" s="676"/>
      <c r="H108" s="682" t="e">
        <f>H106</f>
        <v>#NUM!</v>
      </c>
      <c r="I108" s="628"/>
      <c r="J108" s="628"/>
      <c r="K108" s="628"/>
      <c r="L108" s="629"/>
    </row>
    <row r="109" spans="1:12" ht="14.5" customHeight="1" x14ac:dyDescent="0.35">
      <c r="A109" s="608"/>
      <c r="B109" s="609"/>
      <c r="C109" s="687"/>
      <c r="D109" s="672"/>
      <c r="E109" s="674"/>
      <c r="F109" s="675"/>
      <c r="G109" s="676"/>
      <c r="H109" s="659" t="s">
        <v>483</v>
      </c>
      <c r="I109" s="624"/>
      <c r="J109" s="624"/>
      <c r="K109" s="660"/>
      <c r="L109" s="626"/>
    </row>
    <row r="110" spans="1:12" ht="14.5" customHeight="1" x14ac:dyDescent="0.35">
      <c r="A110" s="608"/>
      <c r="B110" s="609"/>
      <c r="C110" s="687"/>
      <c r="D110" s="679"/>
      <c r="E110" s="674"/>
      <c r="F110" s="675"/>
      <c r="G110" s="676"/>
      <c r="H110" s="682">
        <f>SEK108*F108</f>
        <v>0</v>
      </c>
      <c r="I110" s="628"/>
      <c r="J110" s="628"/>
      <c r="K110" s="628"/>
      <c r="L110" s="629"/>
    </row>
    <row r="111" spans="1:12" ht="14.5" customHeight="1" x14ac:dyDescent="0.35">
      <c r="A111" s="608"/>
      <c r="B111" s="609"/>
      <c r="C111" s="687"/>
      <c r="D111" s="672"/>
      <c r="E111" s="674"/>
      <c r="F111" s="675"/>
      <c r="G111" s="676"/>
      <c r="H111" s="659" t="s">
        <v>484</v>
      </c>
      <c r="I111" s="624"/>
      <c r="J111" s="624"/>
      <c r="K111" s="660"/>
      <c r="L111" s="626"/>
    </row>
    <row r="112" spans="1:12" ht="14.5" customHeight="1" x14ac:dyDescent="0.35">
      <c r="A112" s="610"/>
      <c r="B112" s="611"/>
      <c r="C112" s="688"/>
      <c r="D112" s="667"/>
      <c r="E112" s="669"/>
      <c r="F112" s="677"/>
      <c r="G112" s="678"/>
      <c r="H112" s="682" t="e">
        <f>H106+H110</f>
        <v>#NUM!</v>
      </c>
      <c r="I112" s="628"/>
      <c r="J112" s="628"/>
      <c r="K112" s="628"/>
      <c r="L112" s="629"/>
    </row>
    <row r="113" spans="1:12" x14ac:dyDescent="0.35">
      <c r="A113" s="597" t="s">
        <v>485</v>
      </c>
      <c r="B113" s="598"/>
      <c r="C113" s="598"/>
      <c r="D113" s="683"/>
      <c r="E113" s="598"/>
      <c r="F113" s="598"/>
      <c r="G113" s="598"/>
      <c r="H113" s="684"/>
      <c r="I113" s="598"/>
      <c r="J113" s="598"/>
      <c r="K113" s="684"/>
      <c r="L113" s="600"/>
    </row>
    <row r="114" spans="1:12" x14ac:dyDescent="0.35">
      <c r="A114" s="601" t="s">
        <v>486</v>
      </c>
      <c r="B114" s="602"/>
      <c r="C114" s="602"/>
      <c r="D114" s="685"/>
      <c r="E114" s="602"/>
      <c r="F114" s="602"/>
      <c r="G114" s="602"/>
      <c r="H114" s="686"/>
      <c r="I114" s="602"/>
      <c r="J114" s="602"/>
      <c r="K114" s="686"/>
      <c r="L114" s="604"/>
    </row>
    <row r="115" spans="1:12" ht="11.15" customHeight="1" x14ac:dyDescent="0.35">
      <c r="A115" s="597" t="s">
        <v>487</v>
      </c>
      <c r="B115" s="606" t="s">
        <v>488</v>
      </c>
      <c r="C115" s="606"/>
      <c r="D115" s="606"/>
      <c r="E115" s="606"/>
      <c r="F115" s="598"/>
      <c r="G115" s="598"/>
      <c r="H115" s="598"/>
      <c r="I115" s="598"/>
      <c r="J115" s="598"/>
      <c r="K115" s="598"/>
      <c r="L115" s="600"/>
    </row>
    <row r="116" spans="1:12" ht="11.15" customHeight="1" x14ac:dyDescent="0.35">
      <c r="A116" s="601"/>
      <c r="B116" s="607"/>
      <c r="C116" s="607"/>
      <c r="D116" s="607"/>
      <c r="E116" s="607"/>
      <c r="F116" s="602"/>
      <c r="G116" s="602"/>
      <c r="H116" s="602"/>
      <c r="I116" s="602"/>
      <c r="J116" s="602"/>
      <c r="K116" s="602"/>
      <c r="L116" s="604"/>
    </row>
    <row r="117" spans="1:12" ht="12.65" customHeight="1" x14ac:dyDescent="0.35">
      <c r="A117" s="594" t="s">
        <v>489</v>
      </c>
      <c r="B117" s="594"/>
      <c r="C117" s="594"/>
      <c r="D117" s="594"/>
      <c r="E117" s="594"/>
      <c r="F117" s="594"/>
      <c r="G117" s="594"/>
      <c r="H117" s="680"/>
      <c r="I117" s="594"/>
      <c r="J117" s="594"/>
      <c r="K117" s="680"/>
      <c r="L117" s="594"/>
    </row>
    <row r="118" spans="1:12" x14ac:dyDescent="0.35">
      <c r="A118" s="594" t="s">
        <v>490</v>
      </c>
      <c r="B118" s="594"/>
      <c r="C118" s="594"/>
      <c r="D118" s="594"/>
      <c r="E118" s="594"/>
      <c r="F118" s="594"/>
      <c r="G118" s="594"/>
      <c r="H118" s="680"/>
      <c r="I118" s="594"/>
      <c r="J118" s="594"/>
      <c r="K118" s="680"/>
      <c r="L118" s="594"/>
    </row>
    <row r="119" spans="1:12" x14ac:dyDescent="0.35">
      <c r="A119" s="594" t="s">
        <v>491</v>
      </c>
      <c r="B119" s="595"/>
      <c r="C119" s="595"/>
      <c r="D119" s="595"/>
      <c r="E119" s="595"/>
      <c r="F119" s="595"/>
      <c r="G119" s="595"/>
      <c r="H119" s="681"/>
      <c r="I119" s="595"/>
      <c r="J119" s="595"/>
      <c r="K119" s="681"/>
      <c r="L119" s="595"/>
    </row>
    <row r="120" spans="1:12" x14ac:dyDescent="0.35">
      <c r="H120" s="146"/>
      <c r="K120" s="146"/>
    </row>
    <row r="121" spans="1:12" x14ac:dyDescent="0.35">
      <c r="H121" s="146"/>
      <c r="K121" s="146"/>
    </row>
    <row r="122" spans="1:12" x14ac:dyDescent="0.35">
      <c r="H122" s="146"/>
      <c r="K122" s="146"/>
    </row>
    <row r="123" spans="1:12" x14ac:dyDescent="0.35">
      <c r="H123" s="146"/>
      <c r="K123" s="146"/>
    </row>
    <row r="124" spans="1:12" x14ac:dyDescent="0.35">
      <c r="H124" s="146"/>
      <c r="K124" s="146"/>
    </row>
    <row r="125" spans="1:12" x14ac:dyDescent="0.35">
      <c r="H125" s="146"/>
      <c r="K125" s="146"/>
    </row>
    <row r="126" spans="1:12" x14ac:dyDescent="0.35">
      <c r="H126" s="146"/>
      <c r="K126" s="146"/>
    </row>
    <row r="127" spans="1:12" x14ac:dyDescent="0.35">
      <c r="H127" s="146"/>
      <c r="K127" s="146"/>
    </row>
    <row r="128" spans="1:12" x14ac:dyDescent="0.35">
      <c r="H128" s="146"/>
      <c r="K128" s="146"/>
    </row>
    <row r="129" spans="8:11" x14ac:dyDescent="0.35">
      <c r="H129" s="146"/>
      <c r="K129" s="146"/>
    </row>
    <row r="130" spans="8:11" x14ac:dyDescent="0.35">
      <c r="H130" s="146"/>
      <c r="K130" s="146"/>
    </row>
    <row r="131" spans="8:11" x14ac:dyDescent="0.35">
      <c r="H131" s="146"/>
      <c r="K131" s="146"/>
    </row>
    <row r="132" spans="8:11" x14ac:dyDescent="0.35">
      <c r="H132" s="146"/>
      <c r="K132" s="146"/>
    </row>
    <row r="133" spans="8:11" x14ac:dyDescent="0.35">
      <c r="H133" s="146"/>
      <c r="K133" s="146"/>
    </row>
    <row r="134" spans="8:11" x14ac:dyDescent="0.35">
      <c r="H134" s="146"/>
      <c r="K134" s="146"/>
    </row>
    <row r="135" spans="8:11" x14ac:dyDescent="0.35">
      <c r="H135" s="146"/>
      <c r="K135" s="146"/>
    </row>
    <row r="136" spans="8:11" x14ac:dyDescent="0.35">
      <c r="H136" s="146"/>
      <c r="K136" s="146"/>
    </row>
    <row r="137" spans="8:11" x14ac:dyDescent="0.35">
      <c r="H137" s="146"/>
      <c r="K137" s="146"/>
    </row>
    <row r="138" spans="8:11" x14ac:dyDescent="0.35">
      <c r="H138" s="146"/>
      <c r="K138" s="146"/>
    </row>
    <row r="139" spans="8:11" x14ac:dyDescent="0.35">
      <c r="H139" s="146"/>
      <c r="K139" s="146"/>
    </row>
    <row r="140" spans="8:11" x14ac:dyDescent="0.35">
      <c r="H140" s="146"/>
      <c r="K140" s="146"/>
    </row>
    <row r="141" spans="8:11" x14ac:dyDescent="0.35">
      <c r="H141" s="146"/>
      <c r="K141" s="146"/>
    </row>
    <row r="142" spans="8:11" x14ac:dyDescent="0.35">
      <c r="H142" s="146"/>
      <c r="K142" s="146"/>
    </row>
    <row r="143" spans="8:11" x14ac:dyDescent="0.35">
      <c r="H143" s="146"/>
      <c r="K143" s="146"/>
    </row>
    <row r="144" spans="8:11" x14ac:dyDescent="0.35">
      <c r="H144" s="146"/>
      <c r="K144" s="146"/>
    </row>
    <row r="145" spans="8:11" x14ac:dyDescent="0.35">
      <c r="H145" s="146"/>
      <c r="K145" s="146"/>
    </row>
    <row r="146" spans="8:11" x14ac:dyDescent="0.35">
      <c r="H146" s="146"/>
      <c r="K146" s="146"/>
    </row>
    <row r="147" spans="8:11" x14ac:dyDescent="0.35">
      <c r="H147" s="146"/>
      <c r="K147" s="146"/>
    </row>
    <row r="148" spans="8:11" x14ac:dyDescent="0.35">
      <c r="H148" s="146"/>
      <c r="K148" s="146"/>
    </row>
    <row r="149" spans="8:11" x14ac:dyDescent="0.35">
      <c r="H149" s="146"/>
      <c r="K149" s="146"/>
    </row>
    <row r="150" spans="8:11" x14ac:dyDescent="0.35">
      <c r="H150" s="146"/>
      <c r="K150" s="146"/>
    </row>
    <row r="151" spans="8:11" x14ac:dyDescent="0.35">
      <c r="H151" s="146"/>
      <c r="K151" s="146"/>
    </row>
    <row r="152" spans="8:11" x14ac:dyDescent="0.35">
      <c r="H152" s="146"/>
      <c r="K152" s="146"/>
    </row>
    <row r="153" spans="8:11" x14ac:dyDescent="0.35">
      <c r="H153" s="146"/>
      <c r="K153" s="146"/>
    </row>
    <row r="154" spans="8:11" x14ac:dyDescent="0.35">
      <c r="H154" s="146"/>
      <c r="K154" s="146"/>
    </row>
    <row r="155" spans="8:11" x14ac:dyDescent="0.35">
      <c r="H155" s="146"/>
      <c r="K155" s="146"/>
    </row>
    <row r="156" spans="8:11" x14ac:dyDescent="0.35">
      <c r="H156" s="146"/>
      <c r="K156" s="146"/>
    </row>
    <row r="157" spans="8:11" x14ac:dyDescent="0.35">
      <c r="H157" s="146"/>
      <c r="K157" s="146"/>
    </row>
    <row r="158" spans="8:11" x14ac:dyDescent="0.35">
      <c r="H158" s="146"/>
      <c r="K158" s="146"/>
    </row>
    <row r="159" spans="8:11" x14ac:dyDescent="0.35">
      <c r="H159" s="146"/>
      <c r="K159" s="146"/>
    </row>
    <row r="160" spans="8:11" x14ac:dyDescent="0.35">
      <c r="H160" s="146"/>
      <c r="K160" s="146"/>
    </row>
    <row r="161" spans="8:11" x14ac:dyDescent="0.35">
      <c r="H161" s="146"/>
      <c r="K161" s="146"/>
    </row>
    <row r="162" spans="8:11" x14ac:dyDescent="0.35">
      <c r="H162" s="146"/>
      <c r="K162" s="146"/>
    </row>
    <row r="163" spans="8:11" x14ac:dyDescent="0.35">
      <c r="H163" s="146"/>
      <c r="K163" s="146"/>
    </row>
    <row r="164" spans="8:11" x14ac:dyDescent="0.35">
      <c r="H164" s="146"/>
      <c r="K164" s="146"/>
    </row>
    <row r="165" spans="8:11" x14ac:dyDescent="0.35">
      <c r="H165" s="146"/>
      <c r="K165" s="146"/>
    </row>
    <row r="166" spans="8:11" x14ac:dyDescent="0.35">
      <c r="H166" s="146"/>
      <c r="K166" s="146"/>
    </row>
    <row r="167" spans="8:11" x14ac:dyDescent="0.35">
      <c r="H167" s="146"/>
      <c r="K167" s="146"/>
    </row>
    <row r="168" spans="8:11" x14ac:dyDescent="0.35">
      <c r="H168" s="146"/>
      <c r="K168" s="146"/>
    </row>
    <row r="169" spans="8:11" x14ac:dyDescent="0.35">
      <c r="H169" s="146"/>
      <c r="K169" s="146"/>
    </row>
    <row r="170" spans="8:11" x14ac:dyDescent="0.35">
      <c r="H170" s="146"/>
      <c r="K170" s="146"/>
    </row>
    <row r="171" spans="8:11" x14ac:dyDescent="0.35">
      <c r="H171" s="146"/>
      <c r="K171" s="146"/>
    </row>
    <row r="172" spans="8:11" x14ac:dyDescent="0.35">
      <c r="H172" s="146"/>
      <c r="K172" s="146"/>
    </row>
    <row r="173" spans="8:11" x14ac:dyDescent="0.35">
      <c r="H173" s="146"/>
      <c r="K173" s="146"/>
    </row>
    <row r="174" spans="8:11" x14ac:dyDescent="0.35">
      <c r="H174" s="146"/>
      <c r="K174" s="146"/>
    </row>
    <row r="175" spans="8:11" x14ac:dyDescent="0.35">
      <c r="H175" s="146"/>
      <c r="K175" s="146"/>
    </row>
    <row r="176" spans="8:11" x14ac:dyDescent="0.35">
      <c r="H176" s="146"/>
      <c r="K176" s="146"/>
    </row>
    <row r="177" spans="8:11" x14ac:dyDescent="0.35">
      <c r="H177" s="146"/>
      <c r="K177" s="146"/>
    </row>
    <row r="178" spans="8:11" x14ac:dyDescent="0.35">
      <c r="H178" s="146"/>
      <c r="K178" s="146"/>
    </row>
    <row r="179" spans="8:11" x14ac:dyDescent="0.35">
      <c r="H179" s="146"/>
      <c r="K179" s="146"/>
    </row>
    <row r="180" spans="8:11" x14ac:dyDescent="0.35">
      <c r="H180" s="146"/>
      <c r="K180" s="146"/>
    </row>
    <row r="181" spans="8:11" x14ac:dyDescent="0.35">
      <c r="H181" s="146"/>
      <c r="K181" s="146"/>
    </row>
    <row r="182" spans="8:11" x14ac:dyDescent="0.35">
      <c r="H182" s="146"/>
      <c r="K182" s="146"/>
    </row>
    <row r="183" spans="8:11" x14ac:dyDescent="0.35">
      <c r="H183" s="146"/>
      <c r="K183" s="146"/>
    </row>
    <row r="184" spans="8:11" x14ac:dyDescent="0.35">
      <c r="H184" s="146"/>
      <c r="K184" s="146"/>
    </row>
    <row r="185" spans="8:11" x14ac:dyDescent="0.35">
      <c r="H185" s="146"/>
      <c r="K185" s="146"/>
    </row>
    <row r="186" spans="8:11" x14ac:dyDescent="0.35">
      <c r="H186" s="146"/>
      <c r="K186" s="146"/>
    </row>
    <row r="187" spans="8:11" x14ac:dyDescent="0.35">
      <c r="H187" s="146"/>
      <c r="K187" s="146"/>
    </row>
    <row r="188" spans="8:11" x14ac:dyDescent="0.35">
      <c r="H188" s="146"/>
      <c r="K188" s="146"/>
    </row>
    <row r="189" spans="8:11" x14ac:dyDescent="0.35">
      <c r="H189" s="146"/>
      <c r="K189" s="146"/>
    </row>
    <row r="190" spans="8:11" x14ac:dyDescent="0.35">
      <c r="H190" s="146"/>
      <c r="K190" s="146"/>
    </row>
    <row r="191" spans="8:11" x14ac:dyDescent="0.35">
      <c r="H191" s="146"/>
      <c r="K191" s="146"/>
    </row>
    <row r="192" spans="8:11" x14ac:dyDescent="0.35">
      <c r="H192" s="146"/>
      <c r="K192" s="146"/>
    </row>
    <row r="193" spans="4:11" x14ac:dyDescent="0.35">
      <c r="H193" s="146"/>
      <c r="K193" s="146"/>
    </row>
    <row r="194" spans="4:11" x14ac:dyDescent="0.35">
      <c r="H194" s="146"/>
      <c r="K194" s="146"/>
    </row>
    <row r="195" spans="4:11" x14ac:dyDescent="0.35">
      <c r="H195" s="146"/>
      <c r="K195" s="146"/>
    </row>
    <row r="196" spans="4:11" x14ac:dyDescent="0.35">
      <c r="H196" s="146"/>
      <c r="K196" s="146"/>
    </row>
    <row r="197" spans="4:11" x14ac:dyDescent="0.35">
      <c r="H197" s="146"/>
      <c r="K197" s="146"/>
    </row>
    <row r="198" spans="4:11" x14ac:dyDescent="0.35">
      <c r="H198" s="146"/>
      <c r="K198" s="146"/>
    </row>
    <row r="199" spans="4:11" x14ac:dyDescent="0.35">
      <c r="H199" s="146"/>
      <c r="K199" s="146"/>
    </row>
    <row r="200" spans="4:11" x14ac:dyDescent="0.35">
      <c r="H200" s="146"/>
      <c r="K200" s="146"/>
    </row>
    <row r="201" spans="4:11" x14ac:dyDescent="0.35">
      <c r="H201" s="146"/>
      <c r="K201" s="146"/>
    </row>
    <row r="202" spans="4:11" x14ac:dyDescent="0.35">
      <c r="H202" s="146"/>
      <c r="K202" s="146"/>
    </row>
    <row r="203" spans="4:11" x14ac:dyDescent="0.35">
      <c r="H203" s="146"/>
      <c r="K203" s="146"/>
    </row>
    <row r="204" spans="4:11" x14ac:dyDescent="0.35">
      <c r="K204" s="143"/>
    </row>
    <row r="205" spans="4:11" x14ac:dyDescent="0.35">
      <c r="D205" s="144"/>
      <c r="E205" s="143"/>
      <c r="K205" s="146"/>
    </row>
    <row r="206" spans="4:11" x14ac:dyDescent="0.35">
      <c r="D206" s="144"/>
      <c r="E206" s="143"/>
      <c r="K206" s="143"/>
    </row>
    <row r="207" spans="4:11" x14ac:dyDescent="0.35">
      <c r="D207" s="147"/>
      <c r="E207" s="146"/>
      <c r="K207" s="146"/>
    </row>
    <row r="208" spans="4:11" x14ac:dyDescent="0.35">
      <c r="D208" s="147"/>
      <c r="E208" s="146"/>
      <c r="K208" s="143"/>
    </row>
    <row r="209" spans="4:11" x14ac:dyDescent="0.35">
      <c r="D209" s="147"/>
      <c r="E209" s="146"/>
      <c r="K209" s="146"/>
    </row>
    <row r="210" spans="4:11" x14ac:dyDescent="0.35">
      <c r="D210" s="147"/>
      <c r="E210" s="146"/>
      <c r="K210" s="143"/>
    </row>
    <row r="211" spans="4:11" x14ac:dyDescent="0.35">
      <c r="D211" s="147"/>
      <c r="E211" s="146"/>
      <c r="K211" s="146"/>
    </row>
  </sheetData>
  <mergeCells count="59">
    <mergeCell ref="A117:L117"/>
    <mergeCell ref="A118:L118"/>
    <mergeCell ref="A119:L119"/>
    <mergeCell ref="H59:L59"/>
    <mergeCell ref="H61:L61"/>
    <mergeCell ref="H63:L63"/>
    <mergeCell ref="H65:L65"/>
    <mergeCell ref="H106:L106"/>
    <mergeCell ref="H108:L108"/>
    <mergeCell ref="H110:L110"/>
    <mergeCell ref="A113:L113"/>
    <mergeCell ref="A114:L114"/>
    <mergeCell ref="A115:A116"/>
    <mergeCell ref="H112:L112"/>
    <mergeCell ref="A108:B112"/>
    <mergeCell ref="C108:C112"/>
    <mergeCell ref="D108:E112"/>
    <mergeCell ref="F108:G112"/>
    <mergeCell ref="H109:L109"/>
    <mergeCell ref="H111:L111"/>
    <mergeCell ref="H62:L62"/>
    <mergeCell ref="H64:L64"/>
    <mergeCell ref="H107:L107"/>
    <mergeCell ref="A105:B105"/>
    <mergeCell ref="C105:D105"/>
    <mergeCell ref="E105:G105"/>
    <mergeCell ref="H105:L105"/>
    <mergeCell ref="A107:B107"/>
    <mergeCell ref="D107:E107"/>
    <mergeCell ref="F107:G107"/>
    <mergeCell ref="E59:G59"/>
    <mergeCell ref="A60:B60"/>
    <mergeCell ref="D60:E60"/>
    <mergeCell ref="F60:G60"/>
    <mergeCell ref="A61:B65"/>
    <mergeCell ref="C61:C65"/>
    <mergeCell ref="D61:E65"/>
    <mergeCell ref="F61:G65"/>
    <mergeCell ref="A8:B8"/>
    <mergeCell ref="C8:D8"/>
    <mergeCell ref="E8:F8"/>
    <mergeCell ref="G8:I8"/>
    <mergeCell ref="K8:L8"/>
    <mergeCell ref="G9:J9"/>
    <mergeCell ref="B115:E116"/>
    <mergeCell ref="F115:L116"/>
    <mergeCell ref="A9:B9"/>
    <mergeCell ref="C9:D9"/>
    <mergeCell ref="E9:F9"/>
    <mergeCell ref="K9:L9"/>
    <mergeCell ref="H60:L60"/>
    <mergeCell ref="A10:L10"/>
    <mergeCell ref="B12:E12"/>
    <mergeCell ref="A58:B58"/>
    <mergeCell ref="C58:D58"/>
    <mergeCell ref="E58:G58"/>
    <mergeCell ref="H58:L58"/>
    <mergeCell ref="A59:B59"/>
    <mergeCell ref="C59:D59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9"/>
  <dimension ref="A1:Y219"/>
  <sheetViews>
    <sheetView showGridLines="0" zoomScaleSheetLayoutView="100" workbookViewId="0">
      <pane ySplit="12" topLeftCell="A13" activePane="bottomLeft" state="frozen"/>
      <selection activeCell="I74" sqref="I74"/>
      <selection pane="bottomLeft" activeCell="E39" sqref="E39"/>
    </sheetView>
  </sheetViews>
  <sheetFormatPr defaultColWidth="10.7265625" defaultRowHeight="12.5" x14ac:dyDescent="0.35"/>
  <cols>
    <col min="1" max="1" width="10.54296875" style="124" customWidth="1"/>
    <col min="2" max="2" width="20.1796875" style="124" customWidth="1"/>
    <col min="3" max="3" width="12.7265625" style="124" customWidth="1"/>
    <col min="4" max="4" width="9.81640625" style="125" customWidth="1"/>
    <col min="5" max="5" width="18.7265625" style="124" customWidth="1"/>
    <col min="6" max="6" width="4.1796875" style="126" customWidth="1"/>
    <col min="7" max="8" width="11.453125" style="124" customWidth="1"/>
    <col min="9" max="9" width="11.453125" style="126" customWidth="1"/>
    <col min="10" max="10" width="14.1796875" style="126" bestFit="1" customWidth="1"/>
    <col min="11" max="11" width="11.453125" style="124" customWidth="1"/>
    <col min="12" max="12" width="5.54296875" style="124" customWidth="1"/>
    <col min="13" max="16384" width="10.7265625" style="124"/>
  </cols>
  <sheetData>
    <row r="1" spans="1:25" ht="13" x14ac:dyDescent="0.35">
      <c r="A1" s="240"/>
      <c r="B1" s="240"/>
      <c r="F1" s="241"/>
      <c r="G1" s="295"/>
      <c r="H1" s="292"/>
      <c r="I1" s="292"/>
      <c r="J1" s="292"/>
      <c r="K1" s="292"/>
      <c r="L1" s="293"/>
    </row>
    <row r="2" spans="1:25" ht="13" x14ac:dyDescent="0.35">
      <c r="F2" s="241"/>
      <c r="G2" s="296" t="s">
        <v>658</v>
      </c>
      <c r="H2" s="237"/>
      <c r="I2" s="129"/>
      <c r="J2" s="129"/>
      <c r="K2" s="129"/>
      <c r="L2" s="294"/>
      <c r="Q2" s="129"/>
    </row>
    <row r="3" spans="1:25" ht="13" x14ac:dyDescent="0.35">
      <c r="F3" s="241"/>
      <c r="G3" s="296"/>
      <c r="H3" s="237"/>
      <c r="I3" s="129"/>
      <c r="J3" s="129"/>
      <c r="K3" s="129"/>
      <c r="L3" s="294"/>
      <c r="Q3" s="129"/>
    </row>
    <row r="4" spans="1:25" ht="13" x14ac:dyDescent="0.35">
      <c r="F4" s="241"/>
      <c r="G4" s="297" t="s">
        <v>659</v>
      </c>
      <c r="H4" s="238"/>
      <c r="I4" s="124"/>
      <c r="J4" s="124"/>
      <c r="K4" s="129"/>
      <c r="L4" s="127"/>
      <c r="Q4" s="129"/>
    </row>
    <row r="5" spans="1:25" ht="13" x14ac:dyDescent="0.35">
      <c r="F5" s="241"/>
      <c r="G5" s="297" t="s">
        <v>930</v>
      </c>
      <c r="H5" s="238"/>
      <c r="I5" s="124"/>
      <c r="J5" s="124"/>
      <c r="K5" s="129"/>
      <c r="L5" s="127"/>
      <c r="O5" s="129"/>
    </row>
    <row r="6" spans="1:25" ht="13" x14ac:dyDescent="0.35">
      <c r="F6" s="241"/>
      <c r="G6" s="297"/>
      <c r="H6" s="238"/>
      <c r="K6" s="129"/>
      <c r="L6" s="127"/>
    </row>
    <row r="7" spans="1:25" x14ac:dyDescent="0.35">
      <c r="A7" s="132"/>
      <c r="B7" s="132"/>
      <c r="C7" s="132"/>
      <c r="D7" s="133"/>
      <c r="E7" s="132"/>
      <c r="F7" s="242"/>
      <c r="G7" s="298" t="s">
        <v>1127</v>
      </c>
      <c r="H7" s="239"/>
      <c r="I7" s="134"/>
      <c r="J7" s="134"/>
      <c r="K7" s="132"/>
      <c r="L7" s="135"/>
    </row>
    <row r="8" spans="1:25" x14ac:dyDescent="0.35">
      <c r="A8" s="638" t="s">
        <v>462</v>
      </c>
      <c r="B8" s="626"/>
      <c r="C8" s="638" t="s">
        <v>463</v>
      </c>
      <c r="D8" s="626"/>
      <c r="E8" s="638" t="s">
        <v>464</v>
      </c>
      <c r="F8" s="626"/>
      <c r="G8" s="638" t="s">
        <v>465</v>
      </c>
      <c r="H8" s="624"/>
      <c r="I8" s="624"/>
      <c r="J8" s="149"/>
      <c r="K8" s="635" t="s">
        <v>466</v>
      </c>
      <c r="L8" s="631"/>
    </row>
    <row r="9" spans="1:25" ht="14.5" customHeight="1" x14ac:dyDescent="0.35">
      <c r="A9" s="654" t="s">
        <v>467</v>
      </c>
      <c r="B9" s="655"/>
      <c r="C9" s="656">
        <v>45481</v>
      </c>
      <c r="D9" s="657"/>
      <c r="E9" s="658"/>
      <c r="F9" s="658"/>
      <c r="G9" s="651" t="s">
        <v>919</v>
      </c>
      <c r="H9" s="652"/>
      <c r="I9" s="652"/>
      <c r="J9" s="653"/>
      <c r="K9" s="654" t="s">
        <v>245</v>
      </c>
      <c r="L9" s="655"/>
    </row>
    <row r="10" spans="1:25" x14ac:dyDescent="0.35">
      <c r="A10" s="635" t="s">
        <v>468</v>
      </c>
      <c r="B10" s="630"/>
      <c r="C10" s="630"/>
      <c r="D10" s="630"/>
      <c r="E10" s="630"/>
      <c r="F10" s="630"/>
      <c r="G10" s="630"/>
      <c r="H10" s="630"/>
      <c r="I10" s="630"/>
      <c r="J10" s="630"/>
      <c r="K10" s="630"/>
      <c r="L10" s="631"/>
    </row>
    <row r="11" spans="1:25" x14ac:dyDescent="0.35">
      <c r="A11" s="131" t="s">
        <v>271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5"/>
    </row>
    <row r="12" spans="1:25" ht="31.5" customHeight="1" x14ac:dyDescent="0.35">
      <c r="A12" s="141" t="s">
        <v>469</v>
      </c>
      <c r="B12" s="642" t="s">
        <v>470</v>
      </c>
      <c r="C12" s="643"/>
      <c r="D12" s="643"/>
      <c r="E12" s="644"/>
      <c r="F12" s="142" t="s">
        <v>471</v>
      </c>
      <c r="G12" s="141" t="s">
        <v>472</v>
      </c>
      <c r="H12" s="141" t="s">
        <v>473</v>
      </c>
      <c r="I12" s="141" t="s">
        <v>474</v>
      </c>
      <c r="J12" s="141" t="s">
        <v>1113</v>
      </c>
      <c r="K12" s="141" t="s">
        <v>475</v>
      </c>
      <c r="L12" s="141" t="s">
        <v>476</v>
      </c>
    </row>
    <row r="13" spans="1:25" ht="13" customHeight="1" x14ac:dyDescent="0.35">
      <c r="A13" s="262"/>
      <c r="B13" s="217" t="s">
        <v>1052</v>
      </c>
      <c r="C13" s="263"/>
      <c r="D13" s="263"/>
      <c r="E13" s="264"/>
      <c r="F13" s="265"/>
      <c r="G13" s="266"/>
      <c r="H13" s="267"/>
      <c r="I13" s="266"/>
      <c r="J13" s="316"/>
      <c r="K13" s="267"/>
      <c r="L13" s="326"/>
      <c r="O13" s="129"/>
    </row>
    <row r="14" spans="1:25" ht="14.5" x14ac:dyDescent="0.35">
      <c r="A14" s="256">
        <f t="array" ref="A14:A28">INDEX(salesHistory[sku], SMALL(IF((salesHistory[qty]&lt;&gt;0)*(salesHistory[order_no]=62), ROW(salesHistory[qty])-MIN(ROW(salesHistory[qty]))+1), ROW(A1:A15)))</f>
        <v>0</v>
      </c>
      <c r="B14" s="469" t="e">
        <f>INDEX(bhpc_data[description],MATCH($A14,bhpc_data[sku],0))</f>
        <v>#N/A</v>
      </c>
      <c r="C14" s="258"/>
      <c r="D14" s="258"/>
      <c r="E14" s="259"/>
      <c r="F14" s="260" t="s">
        <v>924</v>
      </c>
      <c r="G14" s="260">
        <f t="array" ref="G14:G28">INDEX(salesHistory[qty], SMALL(IF((salesHistory[qty]&lt;&gt;0)*(salesHistory[order_no]=62), ROW(salesHistory[qty])-MIN(ROW(salesHistory[qty]))+1), ROW(A1:A15)))</f>
        <v>0</v>
      </c>
      <c r="H14" s="261">
        <f t="array" ref="H14:H28">INDEX(salesHistory[price], SMALL(IF((salesHistory[qty]&lt;&gt;0)*(salesHistory[order_no]=62), ROW(salesHistory[qty])-MIN(ROW(salesHistory[qty]))+1), ROW(A1:A15)))</f>
        <v>0</v>
      </c>
      <c r="I14" s="260">
        <f t="shared" ref="I14:I20" si="0">CEILING(G14/24,1)</f>
        <v>0</v>
      </c>
      <c r="J14" s="317" t="e">
        <f>INDEX(bhpc_data[ean],MATCH(A14,bhpc_data[sku],0))</f>
        <v>#N/A</v>
      </c>
      <c r="K14" s="261">
        <f t="shared" ref="K14:K28" si="1">G14*H14</f>
        <v>0</v>
      </c>
      <c r="L14" s="312" t="s">
        <v>267</v>
      </c>
      <c r="O14" s="126"/>
      <c r="T14" s="61"/>
      <c r="U14" s="61"/>
      <c r="V14" s="145"/>
      <c r="W14" s="61"/>
      <c r="X14" s="145"/>
      <c r="Y14" s="61"/>
    </row>
    <row r="15" spans="1:25" ht="14.5" x14ac:dyDescent="0.35">
      <c r="A15" s="256" t="e">
        <v>#NUM!</v>
      </c>
      <c r="B15" s="469" t="e">
        <f>INDEX(bhpc_data[description],MATCH($A15,bhpc_data[sku],0))</f>
        <v>#NUM!</v>
      </c>
      <c r="C15" s="258"/>
      <c r="D15" s="258"/>
      <c r="E15" s="259"/>
      <c r="F15" s="260" t="s">
        <v>924</v>
      </c>
      <c r="G15" s="260" t="e">
        <v>#NUM!</v>
      </c>
      <c r="H15" s="261" t="e">
        <v>#NUM!</v>
      </c>
      <c r="I15" s="260" t="e">
        <f t="shared" si="0"/>
        <v>#NUM!</v>
      </c>
      <c r="J15" s="317" t="e">
        <f>INDEX(bhpc_data[ean],MATCH(A15,bhpc_data[sku],0))</f>
        <v>#NUM!</v>
      </c>
      <c r="K15" s="261" t="e">
        <f t="shared" si="1"/>
        <v>#NUM!</v>
      </c>
      <c r="L15" s="312" t="s">
        <v>267</v>
      </c>
      <c r="O15" s="129"/>
    </row>
    <row r="16" spans="1:25" ht="14.5" x14ac:dyDescent="0.35">
      <c r="A16" s="256" t="e">
        <v>#NUM!</v>
      </c>
      <c r="B16" s="469" t="e">
        <f>INDEX(bhpc_data[description],MATCH($A16,bhpc_data[sku],0))</f>
        <v>#NUM!</v>
      </c>
      <c r="C16" s="258"/>
      <c r="D16" s="258"/>
      <c r="E16" s="259"/>
      <c r="F16" s="260" t="s">
        <v>924</v>
      </c>
      <c r="G16" s="260" t="e">
        <v>#NUM!</v>
      </c>
      <c r="H16" s="261" t="e">
        <v>#NUM!</v>
      </c>
      <c r="I16" s="260" t="e">
        <f t="shared" si="0"/>
        <v>#NUM!</v>
      </c>
      <c r="J16" s="317" t="e">
        <f>INDEX(bhpc_data[ean],MATCH(A16,bhpc_data[sku],0))</f>
        <v>#NUM!</v>
      </c>
      <c r="K16" s="261" t="e">
        <f t="shared" si="1"/>
        <v>#NUM!</v>
      </c>
      <c r="L16" s="312" t="s">
        <v>267</v>
      </c>
      <c r="O16" s="126"/>
      <c r="T16" s="61"/>
      <c r="U16" s="61"/>
      <c r="V16" s="145"/>
      <c r="W16" s="61"/>
      <c r="X16" s="145"/>
      <c r="Y16" s="61"/>
    </row>
    <row r="17" spans="1:25" ht="14.5" x14ac:dyDescent="0.35">
      <c r="A17" s="256" t="e">
        <v>#NUM!</v>
      </c>
      <c r="B17" s="469" t="e">
        <f>INDEX(bhpc_data[description],MATCH($A17,bhpc_data[sku],0))</f>
        <v>#NUM!</v>
      </c>
      <c r="C17" s="258"/>
      <c r="D17" s="258"/>
      <c r="E17" s="259"/>
      <c r="F17" s="260" t="s">
        <v>924</v>
      </c>
      <c r="G17" s="260" t="e">
        <v>#NUM!</v>
      </c>
      <c r="H17" s="261" t="e">
        <v>#NUM!</v>
      </c>
      <c r="I17" s="260" t="e">
        <f t="shared" si="0"/>
        <v>#NUM!</v>
      </c>
      <c r="J17" s="317" t="e">
        <f>INDEX(bhpc_data[ean],MATCH(A17,bhpc_data[sku],0))</f>
        <v>#NUM!</v>
      </c>
      <c r="K17" s="261" t="e">
        <f t="shared" si="1"/>
        <v>#NUM!</v>
      </c>
      <c r="L17" s="312" t="s">
        <v>267</v>
      </c>
      <c r="O17" s="129"/>
    </row>
    <row r="18" spans="1:25" ht="14.5" x14ac:dyDescent="0.35">
      <c r="A18" s="256" t="e">
        <v>#NUM!</v>
      </c>
      <c r="B18" s="469" t="e">
        <f>INDEX(bhpc_data[description],MATCH($A18,bhpc_data[sku],0))</f>
        <v>#NUM!</v>
      </c>
      <c r="C18" s="258"/>
      <c r="D18" s="258"/>
      <c r="E18" s="259"/>
      <c r="F18" s="260" t="s">
        <v>924</v>
      </c>
      <c r="G18" s="260" t="e">
        <v>#NUM!</v>
      </c>
      <c r="H18" s="261" t="e">
        <v>#NUM!</v>
      </c>
      <c r="I18" s="260" t="e">
        <f t="shared" si="0"/>
        <v>#NUM!</v>
      </c>
      <c r="J18" s="317" t="e">
        <f>INDEX(bhpc_data[ean],MATCH(A18,bhpc_data[sku],0))</f>
        <v>#NUM!</v>
      </c>
      <c r="K18" s="261" t="e">
        <f t="shared" si="1"/>
        <v>#NUM!</v>
      </c>
      <c r="L18" s="312" t="s">
        <v>267</v>
      </c>
      <c r="O18" s="126"/>
      <c r="T18" s="61"/>
      <c r="U18" s="61"/>
      <c r="V18" s="145"/>
      <c r="W18" s="61"/>
      <c r="X18" s="145"/>
      <c r="Y18" s="61"/>
    </row>
    <row r="19" spans="1:25" ht="14.5" x14ac:dyDescent="0.35">
      <c r="A19" s="256" t="e">
        <v>#NUM!</v>
      </c>
      <c r="B19" s="469" t="e">
        <f>INDEX(bhpc_data[description],MATCH($A19,bhpc_data[sku],0))</f>
        <v>#NUM!</v>
      </c>
      <c r="C19" s="258"/>
      <c r="D19" s="258"/>
      <c r="E19" s="259"/>
      <c r="F19" s="260" t="s">
        <v>924</v>
      </c>
      <c r="G19" s="260" t="e">
        <v>#NUM!</v>
      </c>
      <c r="H19" s="261" t="e">
        <v>#NUM!</v>
      </c>
      <c r="I19" s="260" t="e">
        <f t="shared" si="0"/>
        <v>#NUM!</v>
      </c>
      <c r="J19" s="317" t="e">
        <f>INDEX(bhpc_data[ean],MATCH(A19,bhpc_data[sku],0))</f>
        <v>#NUM!</v>
      </c>
      <c r="K19" s="261" t="e">
        <f t="shared" si="1"/>
        <v>#NUM!</v>
      </c>
      <c r="L19" s="312" t="s">
        <v>267</v>
      </c>
    </row>
    <row r="20" spans="1:25" ht="14.5" x14ac:dyDescent="0.35">
      <c r="A20" s="256" t="e">
        <v>#NUM!</v>
      </c>
      <c r="B20" s="469" t="e">
        <f>INDEX(bhpc_data[description],MATCH($A20,bhpc_data[sku],0))</f>
        <v>#NUM!</v>
      </c>
      <c r="C20" s="258"/>
      <c r="D20" s="258"/>
      <c r="E20" s="259"/>
      <c r="F20" s="260" t="s">
        <v>924</v>
      </c>
      <c r="G20" s="260" t="e">
        <v>#NUM!</v>
      </c>
      <c r="H20" s="261" t="e">
        <v>#NUM!</v>
      </c>
      <c r="I20" s="260" t="e">
        <f t="shared" si="0"/>
        <v>#NUM!</v>
      </c>
      <c r="J20" s="317" t="e">
        <f>INDEX(bhpc_data[ean],MATCH(A20,bhpc_data[sku],0))</f>
        <v>#NUM!</v>
      </c>
      <c r="K20" s="261" t="e">
        <f t="shared" si="1"/>
        <v>#NUM!</v>
      </c>
      <c r="L20" s="312" t="s">
        <v>267</v>
      </c>
    </row>
    <row r="21" spans="1:25" ht="14.5" x14ac:dyDescent="0.35">
      <c r="A21" s="256" t="e">
        <v>#NUM!</v>
      </c>
      <c r="B21" s="469" t="e">
        <f>INDEX(bhpc_data[description],MATCH($A21,bhpc_data[sku],0))</f>
        <v>#NUM!</v>
      </c>
      <c r="C21" s="258"/>
      <c r="D21" s="258"/>
      <c r="E21" s="259"/>
      <c r="F21" s="260" t="s">
        <v>924</v>
      </c>
      <c r="G21" s="260" t="e">
        <v>#NUM!</v>
      </c>
      <c r="H21" s="261" t="e">
        <v>#NUM!</v>
      </c>
      <c r="I21" s="260" t="e">
        <f t="shared" ref="I21:I28" si="2">CEILING(G21/12,1)</f>
        <v>#NUM!</v>
      </c>
      <c r="J21" s="317" t="e">
        <f>INDEX(bhpc_data[ean],MATCH(A21,bhpc_data[sku],0))</f>
        <v>#NUM!</v>
      </c>
      <c r="K21" s="261" t="e">
        <f t="shared" si="1"/>
        <v>#NUM!</v>
      </c>
      <c r="L21" s="312" t="s">
        <v>267</v>
      </c>
    </row>
    <row r="22" spans="1:25" ht="14.5" x14ac:dyDescent="0.35">
      <c r="A22" s="256" t="e">
        <v>#NUM!</v>
      </c>
      <c r="B22" s="469" t="e">
        <f>INDEX(bhpc_data[description],MATCH($A22,bhpc_data[sku],0))</f>
        <v>#NUM!</v>
      </c>
      <c r="C22" s="258"/>
      <c r="D22" s="258"/>
      <c r="E22" s="259"/>
      <c r="F22" s="260" t="s">
        <v>924</v>
      </c>
      <c r="G22" s="260" t="e">
        <v>#NUM!</v>
      </c>
      <c r="H22" s="261" t="e">
        <v>#NUM!</v>
      </c>
      <c r="I22" s="260" t="e">
        <f t="shared" si="2"/>
        <v>#NUM!</v>
      </c>
      <c r="J22" s="317" t="e">
        <f>INDEX(bhpc_data[ean],MATCH(A22,bhpc_data[sku],0))</f>
        <v>#NUM!</v>
      </c>
      <c r="K22" s="261" t="e">
        <f t="shared" si="1"/>
        <v>#NUM!</v>
      </c>
      <c r="L22" s="312" t="s">
        <v>267</v>
      </c>
    </row>
    <row r="23" spans="1:25" ht="14.5" x14ac:dyDescent="0.35">
      <c r="A23" s="256" t="e">
        <v>#NUM!</v>
      </c>
      <c r="B23" s="469" t="e">
        <f>INDEX(bhpc_data[description],MATCH($A23,bhpc_data[sku],0))</f>
        <v>#NUM!</v>
      </c>
      <c r="C23" s="258"/>
      <c r="D23" s="258"/>
      <c r="E23" s="259"/>
      <c r="F23" s="260" t="s">
        <v>924</v>
      </c>
      <c r="G23" s="260" t="e">
        <v>#NUM!</v>
      </c>
      <c r="H23" s="261" t="e">
        <v>#NUM!</v>
      </c>
      <c r="I23" s="260" t="e">
        <f t="shared" si="2"/>
        <v>#NUM!</v>
      </c>
      <c r="J23" s="317" t="e">
        <f>INDEX(bhpc_data[ean],MATCH(A23,bhpc_data[sku],0))</f>
        <v>#NUM!</v>
      </c>
      <c r="K23" s="261" t="e">
        <f t="shared" si="1"/>
        <v>#NUM!</v>
      </c>
      <c r="L23" s="312" t="s">
        <v>267</v>
      </c>
    </row>
    <row r="24" spans="1:25" ht="14.5" x14ac:dyDescent="0.35">
      <c r="A24" s="256" t="e">
        <v>#NUM!</v>
      </c>
      <c r="B24" s="469" t="e">
        <f>INDEX(bhpc_data[description],MATCH($A24,bhpc_data[sku],0))</f>
        <v>#NUM!</v>
      </c>
      <c r="C24" s="258"/>
      <c r="D24" s="258"/>
      <c r="E24" s="259"/>
      <c r="F24" s="260" t="s">
        <v>924</v>
      </c>
      <c r="G24" s="260" t="e">
        <v>#NUM!</v>
      </c>
      <c r="H24" s="261" t="e">
        <v>#NUM!</v>
      </c>
      <c r="I24" s="260" t="e">
        <f t="shared" si="2"/>
        <v>#NUM!</v>
      </c>
      <c r="J24" s="317" t="e">
        <f>INDEX(bhpc_data[ean],MATCH(A24,bhpc_data[sku],0))</f>
        <v>#NUM!</v>
      </c>
      <c r="K24" s="261" t="e">
        <f t="shared" si="1"/>
        <v>#NUM!</v>
      </c>
      <c r="L24" s="312" t="s">
        <v>267</v>
      </c>
    </row>
    <row r="25" spans="1:25" ht="14.5" x14ac:dyDescent="0.35">
      <c r="A25" s="256" t="e">
        <v>#NUM!</v>
      </c>
      <c r="B25" s="469" t="e">
        <f>INDEX(bhpc_data[description],MATCH($A25,bhpc_data[sku],0))</f>
        <v>#NUM!</v>
      </c>
      <c r="C25" s="258"/>
      <c r="D25" s="258"/>
      <c r="E25" s="259"/>
      <c r="F25" s="260" t="s">
        <v>924</v>
      </c>
      <c r="G25" s="260" t="e">
        <v>#NUM!</v>
      </c>
      <c r="H25" s="261" t="e">
        <v>#NUM!</v>
      </c>
      <c r="I25" s="260" t="e">
        <f t="shared" si="2"/>
        <v>#NUM!</v>
      </c>
      <c r="J25" s="317" t="e">
        <f>INDEX(bhpc_data[ean],MATCH(A25,bhpc_data[sku],0))</f>
        <v>#NUM!</v>
      </c>
      <c r="K25" s="261" t="e">
        <f t="shared" si="1"/>
        <v>#NUM!</v>
      </c>
      <c r="L25" s="312" t="s">
        <v>267</v>
      </c>
    </row>
    <row r="26" spans="1:25" ht="14.5" x14ac:dyDescent="0.35">
      <c r="A26" s="256" t="e">
        <v>#NUM!</v>
      </c>
      <c r="B26" s="469" t="e">
        <f>INDEX(bhpc_data[description],MATCH($A26,bhpc_data[sku],0))</f>
        <v>#NUM!</v>
      </c>
      <c r="C26" s="258"/>
      <c r="D26" s="258"/>
      <c r="E26" s="259"/>
      <c r="F26" s="260" t="s">
        <v>924</v>
      </c>
      <c r="G26" s="260" t="e">
        <v>#NUM!</v>
      </c>
      <c r="H26" s="261" t="e">
        <v>#NUM!</v>
      </c>
      <c r="I26" s="260" t="e">
        <f t="shared" si="2"/>
        <v>#NUM!</v>
      </c>
      <c r="J26" s="317" t="e">
        <f>INDEX(bhpc_data[ean],MATCH(A26,bhpc_data[sku],0))</f>
        <v>#NUM!</v>
      </c>
      <c r="K26" s="261" t="e">
        <f t="shared" si="1"/>
        <v>#NUM!</v>
      </c>
      <c r="L26" s="312" t="s">
        <v>267</v>
      </c>
    </row>
    <row r="27" spans="1:25" ht="14.5" x14ac:dyDescent="0.35">
      <c r="A27" s="256" t="e">
        <v>#NUM!</v>
      </c>
      <c r="B27" s="469" t="e">
        <f>INDEX(bhpc_data[description],MATCH($A27,bhpc_data[sku],0))</f>
        <v>#NUM!</v>
      </c>
      <c r="C27" s="258"/>
      <c r="D27" s="258"/>
      <c r="E27" s="259"/>
      <c r="F27" s="260" t="s">
        <v>924</v>
      </c>
      <c r="G27" s="260" t="e">
        <v>#NUM!</v>
      </c>
      <c r="H27" s="261" t="e">
        <v>#NUM!</v>
      </c>
      <c r="I27" s="260" t="e">
        <f t="shared" si="2"/>
        <v>#NUM!</v>
      </c>
      <c r="J27" s="317" t="e">
        <f>INDEX(bhpc_data[ean],MATCH(A27,bhpc_data[sku],0))</f>
        <v>#NUM!</v>
      </c>
      <c r="K27" s="261" t="e">
        <f t="shared" si="1"/>
        <v>#NUM!</v>
      </c>
      <c r="L27" s="312" t="s">
        <v>267</v>
      </c>
    </row>
    <row r="28" spans="1:25" ht="14.5" x14ac:dyDescent="0.35">
      <c r="A28" s="256" t="e">
        <v>#NUM!</v>
      </c>
      <c r="B28" s="469" t="e">
        <f>INDEX(bhpc_data[description],MATCH($A28,bhpc_data[sku],0))</f>
        <v>#NUM!</v>
      </c>
      <c r="C28" s="258"/>
      <c r="D28" s="258"/>
      <c r="E28" s="259"/>
      <c r="F28" s="260" t="s">
        <v>924</v>
      </c>
      <c r="G28" s="260" t="e">
        <v>#NUM!</v>
      </c>
      <c r="H28" s="261" t="e">
        <v>#NUM!</v>
      </c>
      <c r="I28" s="260" t="e">
        <f t="shared" si="2"/>
        <v>#NUM!</v>
      </c>
      <c r="J28" s="317" t="e">
        <f>INDEX(bhpc_data[ean],MATCH(A28,bhpc_data[sku],0))</f>
        <v>#NUM!</v>
      </c>
      <c r="K28" s="261" t="e">
        <f t="shared" si="1"/>
        <v>#NUM!</v>
      </c>
      <c r="L28" s="312" t="s">
        <v>267</v>
      </c>
    </row>
    <row r="29" spans="1:25" ht="14.5" x14ac:dyDescent="0.35">
      <c r="A29" s="256"/>
      <c r="B29" s="469"/>
      <c r="C29" s="258"/>
      <c r="D29" s="258"/>
      <c r="E29" s="259"/>
      <c r="F29" s="260"/>
      <c r="G29" s="260"/>
      <c r="H29" s="261"/>
      <c r="I29" s="260"/>
      <c r="J29" s="317"/>
      <c r="K29" s="261"/>
      <c r="L29" s="312"/>
    </row>
    <row r="30" spans="1:25" ht="14.5" x14ac:dyDescent="0.35">
      <c r="A30" s="256"/>
      <c r="B30" s="278" t="s">
        <v>1117</v>
      </c>
      <c r="C30" s="258"/>
      <c r="D30" s="258"/>
      <c r="E30" s="259"/>
      <c r="F30" s="260"/>
      <c r="G30" s="260"/>
      <c r="H30" s="261"/>
      <c r="I30" s="260"/>
      <c r="J30" s="317"/>
      <c r="K30" s="261"/>
      <c r="L30" s="312"/>
    </row>
    <row r="31" spans="1:25" ht="14.5" x14ac:dyDescent="0.35">
      <c r="A31" s="256">
        <f t="array" ref="A31:A46">INDEX(salesHistory[sku], SMALL(IF((salesHistory[disc_qty]&lt;&gt;0)*(salesHistory[order_no]=62), ROW(salesHistory[qty])-MIN(ROW(salesHistory[qty]))+1), ROW(A1:A16)))</f>
        <v>0</v>
      </c>
      <c r="B31" s="469" t="e">
        <f>INDEX(bhpc_data[description],MATCH($A31,bhpc_data[sku],0))</f>
        <v>#N/A</v>
      </c>
      <c r="C31" s="258"/>
      <c r="D31" s="258"/>
      <c r="E31" s="259"/>
      <c r="F31" s="260" t="s">
        <v>924</v>
      </c>
      <c r="G31" s="260">
        <f t="array" ref="G31:G46">INDEX(salesHistory[disc_qty], SMALL(IF((salesHistory[disc_qty]&lt;&gt;0)*(salesHistory[order_no]=62), ROW(salesHistory[qty])-MIN(ROW(salesHistory[qty]))+1), ROW(A1:A16)))</f>
        <v>0</v>
      </c>
      <c r="H31" s="261">
        <f t="array" ref="H31:H46">INDEX(salesHistory[disc_price], SMALL(IF((salesHistory[disc_qty]&lt;&gt;0)*(salesHistory[order_no]=62), ROW(salesHistory[qty])-MIN(ROW(salesHistory[qty]))+1), ROW(A1:A16)))</f>
        <v>0</v>
      </c>
      <c r="I31" s="260">
        <f t="shared" ref="I31:I45" si="3">CEILING(G31/24,1)</f>
        <v>0</v>
      </c>
      <c r="J31" s="317" t="e">
        <f>INDEX(bhpc_data[ean],MATCH(A31,bhpc_data[sku],0))</f>
        <v>#N/A</v>
      </c>
      <c r="K31" s="261">
        <f t="shared" ref="K31:K46" si="4">G31*H31</f>
        <v>0</v>
      </c>
      <c r="L31" s="312" t="s">
        <v>267</v>
      </c>
    </row>
    <row r="32" spans="1:25" ht="14.5" x14ac:dyDescent="0.35">
      <c r="A32" s="256" t="e">
        <v>#NUM!</v>
      </c>
      <c r="B32" s="469" t="e">
        <f>INDEX(bhpc_data[description],MATCH($A32,bhpc_data[sku],0))</f>
        <v>#NUM!</v>
      </c>
      <c r="C32" s="258"/>
      <c r="D32" s="258"/>
      <c r="E32" s="259"/>
      <c r="F32" s="260" t="s">
        <v>924</v>
      </c>
      <c r="G32" s="260" t="e">
        <v>#NUM!</v>
      </c>
      <c r="H32" s="261" t="e">
        <v>#NUM!</v>
      </c>
      <c r="I32" s="260" t="e">
        <f t="shared" si="3"/>
        <v>#NUM!</v>
      </c>
      <c r="J32" s="317" t="e">
        <f>INDEX(bhpc_data[ean],MATCH(A32,bhpc_data[sku],0))</f>
        <v>#NUM!</v>
      </c>
      <c r="K32" s="261" t="e">
        <f t="shared" si="4"/>
        <v>#NUM!</v>
      </c>
      <c r="L32" s="312" t="s">
        <v>267</v>
      </c>
    </row>
    <row r="33" spans="1:12" ht="14.5" x14ac:dyDescent="0.35">
      <c r="A33" s="256" t="e">
        <v>#NUM!</v>
      </c>
      <c r="B33" s="469" t="e">
        <f>INDEX(bhpc_data[description],MATCH($A33,bhpc_data[sku],0))</f>
        <v>#NUM!</v>
      </c>
      <c r="C33" s="258"/>
      <c r="D33" s="258"/>
      <c r="E33" s="259"/>
      <c r="F33" s="260" t="s">
        <v>924</v>
      </c>
      <c r="G33" s="260" t="e">
        <v>#NUM!</v>
      </c>
      <c r="H33" s="261" t="e">
        <v>#NUM!</v>
      </c>
      <c r="I33" s="260" t="e">
        <f t="shared" si="3"/>
        <v>#NUM!</v>
      </c>
      <c r="J33" s="317" t="e">
        <f>INDEX(bhpc_data[ean],MATCH(A33,bhpc_data[sku],0))</f>
        <v>#NUM!</v>
      </c>
      <c r="K33" s="261" t="e">
        <f t="shared" si="4"/>
        <v>#NUM!</v>
      </c>
      <c r="L33" s="312" t="s">
        <v>267</v>
      </c>
    </row>
    <row r="34" spans="1:12" ht="14.5" x14ac:dyDescent="0.35">
      <c r="A34" s="256" t="e">
        <v>#NUM!</v>
      </c>
      <c r="B34" s="469" t="e">
        <f>INDEX(bhpc_data[description],MATCH($A34,bhpc_data[sku],0))</f>
        <v>#NUM!</v>
      </c>
      <c r="C34" s="258"/>
      <c r="D34" s="258"/>
      <c r="E34" s="259"/>
      <c r="F34" s="260" t="s">
        <v>924</v>
      </c>
      <c r="G34" s="260" t="e">
        <v>#NUM!</v>
      </c>
      <c r="H34" s="261" t="e">
        <v>#NUM!</v>
      </c>
      <c r="I34" s="260" t="e">
        <f t="shared" si="3"/>
        <v>#NUM!</v>
      </c>
      <c r="J34" s="317" t="e">
        <f>INDEX(bhpc_data[ean],MATCH(A34,bhpc_data[sku],0))</f>
        <v>#NUM!</v>
      </c>
      <c r="K34" s="261" t="e">
        <f t="shared" si="4"/>
        <v>#NUM!</v>
      </c>
      <c r="L34" s="312" t="s">
        <v>267</v>
      </c>
    </row>
    <row r="35" spans="1:12" ht="14.5" x14ac:dyDescent="0.35">
      <c r="A35" s="256" t="e">
        <v>#NUM!</v>
      </c>
      <c r="B35" s="469" t="e">
        <f>INDEX(bhpc_data[description],MATCH($A35,bhpc_data[sku],0))</f>
        <v>#NUM!</v>
      </c>
      <c r="C35" s="258"/>
      <c r="D35" s="258"/>
      <c r="E35" s="259"/>
      <c r="F35" s="260" t="s">
        <v>924</v>
      </c>
      <c r="G35" s="260" t="e">
        <v>#NUM!</v>
      </c>
      <c r="H35" s="261" t="e">
        <v>#NUM!</v>
      </c>
      <c r="I35" s="260" t="e">
        <f t="shared" si="3"/>
        <v>#NUM!</v>
      </c>
      <c r="J35" s="317" t="e">
        <f>INDEX(bhpc_data[ean],MATCH(A35,bhpc_data[sku],0))</f>
        <v>#NUM!</v>
      </c>
      <c r="K35" s="261" t="e">
        <f t="shared" si="4"/>
        <v>#NUM!</v>
      </c>
      <c r="L35" s="312" t="s">
        <v>267</v>
      </c>
    </row>
    <row r="36" spans="1:12" ht="14.5" x14ac:dyDescent="0.35">
      <c r="A36" s="256" t="e">
        <v>#NUM!</v>
      </c>
      <c r="B36" s="469" t="e">
        <f>INDEX(bhpc_data[description],MATCH($A36,bhpc_data[sku],0))</f>
        <v>#NUM!</v>
      </c>
      <c r="C36" s="258"/>
      <c r="D36" s="258"/>
      <c r="E36" s="259"/>
      <c r="F36" s="260" t="s">
        <v>924</v>
      </c>
      <c r="G36" s="260" t="e">
        <v>#NUM!</v>
      </c>
      <c r="H36" s="261" t="e">
        <v>#NUM!</v>
      </c>
      <c r="I36" s="260" t="e">
        <f t="shared" si="3"/>
        <v>#NUM!</v>
      </c>
      <c r="J36" s="317" t="e">
        <f>INDEX(bhpc_data[ean],MATCH(A36,bhpc_data[sku],0))</f>
        <v>#NUM!</v>
      </c>
      <c r="K36" s="261" t="e">
        <f t="shared" si="4"/>
        <v>#NUM!</v>
      </c>
      <c r="L36" s="312" t="s">
        <v>267</v>
      </c>
    </row>
    <row r="37" spans="1:12" ht="14.5" x14ac:dyDescent="0.35">
      <c r="A37" s="256" t="e">
        <v>#NUM!</v>
      </c>
      <c r="B37" s="469" t="e">
        <f>INDEX(bhpc_data[description],MATCH($A37,bhpc_data[sku],0))</f>
        <v>#NUM!</v>
      </c>
      <c r="C37" s="258"/>
      <c r="D37" s="258"/>
      <c r="E37" s="259"/>
      <c r="F37" s="260" t="s">
        <v>924</v>
      </c>
      <c r="G37" s="260" t="e">
        <v>#NUM!</v>
      </c>
      <c r="H37" s="261" t="e">
        <v>#NUM!</v>
      </c>
      <c r="I37" s="260" t="e">
        <f t="shared" si="3"/>
        <v>#NUM!</v>
      </c>
      <c r="J37" s="317" t="e">
        <f>INDEX(bhpc_data[ean],MATCH(A37,bhpc_data[sku],0))</f>
        <v>#NUM!</v>
      </c>
      <c r="K37" s="261" t="e">
        <f t="shared" si="4"/>
        <v>#NUM!</v>
      </c>
      <c r="L37" s="312" t="s">
        <v>267</v>
      </c>
    </row>
    <row r="38" spans="1:12" ht="14.5" x14ac:dyDescent="0.35">
      <c r="A38" s="256" t="e">
        <v>#NUM!</v>
      </c>
      <c r="B38" s="469" t="e">
        <f>INDEX(bhpc_data[description],MATCH($A38,bhpc_data[sku],0))</f>
        <v>#NUM!</v>
      </c>
      <c r="C38" s="258"/>
      <c r="D38" s="258"/>
      <c r="E38" s="259"/>
      <c r="F38" s="260" t="s">
        <v>924</v>
      </c>
      <c r="G38" s="260" t="e">
        <v>#NUM!</v>
      </c>
      <c r="H38" s="261" t="e">
        <v>#NUM!</v>
      </c>
      <c r="I38" s="260" t="e">
        <f t="shared" si="3"/>
        <v>#NUM!</v>
      </c>
      <c r="J38" s="317" t="e">
        <f>INDEX(bhpc_data[ean],MATCH(A38,bhpc_data[sku],0))</f>
        <v>#NUM!</v>
      </c>
      <c r="K38" s="261" t="e">
        <f t="shared" si="4"/>
        <v>#NUM!</v>
      </c>
      <c r="L38" s="312" t="s">
        <v>267</v>
      </c>
    </row>
    <row r="39" spans="1:12" ht="14.5" x14ac:dyDescent="0.35">
      <c r="A39" s="256" t="e">
        <v>#NUM!</v>
      </c>
      <c r="B39" s="469" t="e">
        <f>INDEX(bhpc_data[description],MATCH($A39,bhpc_data[sku],0))</f>
        <v>#NUM!</v>
      </c>
      <c r="C39" s="258"/>
      <c r="D39" s="258"/>
      <c r="E39" s="259"/>
      <c r="F39" s="260" t="s">
        <v>924</v>
      </c>
      <c r="G39" s="260" t="e">
        <v>#NUM!</v>
      </c>
      <c r="H39" s="261" t="e">
        <v>#NUM!</v>
      </c>
      <c r="I39" s="260" t="e">
        <f t="shared" si="3"/>
        <v>#NUM!</v>
      </c>
      <c r="J39" s="317" t="e">
        <f>INDEX(bhpc_data[ean],MATCH(A39,bhpc_data[sku],0))</f>
        <v>#NUM!</v>
      </c>
      <c r="K39" s="261" t="e">
        <f t="shared" si="4"/>
        <v>#NUM!</v>
      </c>
      <c r="L39" s="312" t="s">
        <v>267</v>
      </c>
    </row>
    <row r="40" spans="1:12" ht="14.5" x14ac:dyDescent="0.35">
      <c r="A40" s="256" t="e">
        <v>#NUM!</v>
      </c>
      <c r="B40" s="469" t="e">
        <f>INDEX(bhpc_data[description],MATCH($A40,bhpc_data[sku],0))</f>
        <v>#NUM!</v>
      </c>
      <c r="C40" s="258"/>
      <c r="D40" s="258"/>
      <c r="E40" s="259"/>
      <c r="F40" s="260" t="s">
        <v>924</v>
      </c>
      <c r="G40" s="260" t="e">
        <v>#NUM!</v>
      </c>
      <c r="H40" s="261" t="e">
        <v>#NUM!</v>
      </c>
      <c r="I40" s="260" t="e">
        <f t="shared" si="3"/>
        <v>#NUM!</v>
      </c>
      <c r="J40" s="317" t="e">
        <f>INDEX(bhpc_data[ean],MATCH(A40,bhpc_data[sku],0))</f>
        <v>#NUM!</v>
      </c>
      <c r="K40" s="261" t="e">
        <f t="shared" si="4"/>
        <v>#NUM!</v>
      </c>
      <c r="L40" s="312" t="s">
        <v>267</v>
      </c>
    </row>
    <row r="41" spans="1:12" ht="14.5" x14ac:dyDescent="0.35">
      <c r="A41" s="256" t="e">
        <v>#NUM!</v>
      </c>
      <c r="B41" s="469" t="e">
        <f>INDEX(bhpc_data[description],MATCH($A41,bhpc_data[sku],0))</f>
        <v>#NUM!</v>
      </c>
      <c r="C41" s="288"/>
      <c r="D41" s="121"/>
      <c r="E41" s="259"/>
      <c r="F41" s="260" t="s">
        <v>924</v>
      </c>
      <c r="G41" s="260" t="e">
        <v>#NUM!</v>
      </c>
      <c r="H41" s="261" t="e">
        <v>#NUM!</v>
      </c>
      <c r="I41" s="260" t="e">
        <f t="shared" si="3"/>
        <v>#NUM!</v>
      </c>
      <c r="J41" s="317" t="e">
        <f>INDEX(bhpc_data[ean],MATCH(A41,bhpc_data[sku],0))</f>
        <v>#NUM!</v>
      </c>
      <c r="K41" s="261" t="e">
        <f t="shared" si="4"/>
        <v>#NUM!</v>
      </c>
      <c r="L41" s="312" t="s">
        <v>267</v>
      </c>
    </row>
    <row r="42" spans="1:12" ht="14.5" x14ac:dyDescent="0.35">
      <c r="A42" s="256" t="e">
        <v>#NUM!</v>
      </c>
      <c r="B42" s="469" t="e">
        <f>INDEX(bhpc_data[description],MATCH($A42,bhpc_data[sku],0))</f>
        <v>#NUM!</v>
      </c>
      <c r="C42" s="288"/>
      <c r="D42" s="121"/>
      <c r="E42" s="259"/>
      <c r="F42" s="260" t="s">
        <v>924</v>
      </c>
      <c r="G42" s="260" t="e">
        <v>#NUM!</v>
      </c>
      <c r="H42" s="261" t="e">
        <v>#NUM!</v>
      </c>
      <c r="I42" s="260" t="e">
        <f t="shared" si="3"/>
        <v>#NUM!</v>
      </c>
      <c r="J42" s="317" t="e">
        <f>INDEX(bhpc_data[ean],MATCH(A42,bhpc_data[sku],0))</f>
        <v>#NUM!</v>
      </c>
      <c r="K42" s="261" t="e">
        <f t="shared" si="4"/>
        <v>#NUM!</v>
      </c>
      <c r="L42" s="312" t="s">
        <v>267</v>
      </c>
    </row>
    <row r="43" spans="1:12" ht="14.5" x14ac:dyDescent="0.35">
      <c r="A43" s="256" t="e">
        <v>#NUM!</v>
      </c>
      <c r="B43" s="469" t="e">
        <f>INDEX(bhpc_data[description],MATCH($A43,bhpc_data[sku],0))</f>
        <v>#NUM!</v>
      </c>
      <c r="C43" s="288"/>
      <c r="D43" s="315"/>
      <c r="E43" s="259"/>
      <c r="F43" s="260" t="s">
        <v>924</v>
      </c>
      <c r="G43" s="260" t="e">
        <v>#NUM!</v>
      </c>
      <c r="H43" s="261" t="e">
        <v>#NUM!</v>
      </c>
      <c r="I43" s="260" t="e">
        <f t="shared" si="3"/>
        <v>#NUM!</v>
      </c>
      <c r="J43" s="317" t="e">
        <f>INDEX(bhpc_data[ean],MATCH(A43,bhpc_data[sku],0))</f>
        <v>#NUM!</v>
      </c>
      <c r="K43" s="261" t="e">
        <f t="shared" si="4"/>
        <v>#NUM!</v>
      </c>
      <c r="L43" s="312" t="s">
        <v>267</v>
      </c>
    </row>
    <row r="44" spans="1:12" ht="14.5" x14ac:dyDescent="0.35">
      <c r="A44" s="256" t="e">
        <v>#NUM!</v>
      </c>
      <c r="B44" s="469" t="e">
        <f>INDEX(bhpc_data[description],MATCH($A44,bhpc_data[sku],0))</f>
        <v>#NUM!</v>
      </c>
      <c r="C44" s="288"/>
      <c r="D44" s="291"/>
      <c r="E44" s="259"/>
      <c r="F44" s="260" t="s">
        <v>924</v>
      </c>
      <c r="G44" s="260" t="e">
        <v>#NUM!</v>
      </c>
      <c r="H44" s="261" t="e">
        <v>#NUM!</v>
      </c>
      <c r="I44" s="260" t="e">
        <f t="shared" si="3"/>
        <v>#NUM!</v>
      </c>
      <c r="J44" s="317" t="e">
        <f>INDEX(bhpc_data[ean],MATCH(A44,bhpc_data[sku],0))</f>
        <v>#NUM!</v>
      </c>
      <c r="K44" s="261" t="e">
        <f t="shared" si="4"/>
        <v>#NUM!</v>
      </c>
      <c r="L44" s="312" t="s">
        <v>267</v>
      </c>
    </row>
    <row r="45" spans="1:12" ht="14.5" x14ac:dyDescent="0.35">
      <c r="A45" s="256" t="e">
        <v>#NUM!</v>
      </c>
      <c r="B45" s="469" t="e">
        <f>INDEX(bhpc_data[description],MATCH($A45,bhpc_data[sku],0))</f>
        <v>#NUM!</v>
      </c>
      <c r="C45" s="288"/>
      <c r="D45" s="291"/>
      <c r="E45" s="259"/>
      <c r="F45" s="260" t="s">
        <v>924</v>
      </c>
      <c r="G45" s="260" t="e">
        <v>#NUM!</v>
      </c>
      <c r="H45" s="261" t="e">
        <v>#NUM!</v>
      </c>
      <c r="I45" s="260" t="e">
        <f t="shared" si="3"/>
        <v>#NUM!</v>
      </c>
      <c r="J45" s="317" t="e">
        <f>INDEX(bhpc_data[ean],MATCH(A45,bhpc_data[sku],0))</f>
        <v>#NUM!</v>
      </c>
      <c r="K45" s="261" t="e">
        <f t="shared" si="4"/>
        <v>#NUM!</v>
      </c>
      <c r="L45" s="312" t="s">
        <v>267</v>
      </c>
    </row>
    <row r="46" spans="1:12" ht="14.5" x14ac:dyDescent="0.35">
      <c r="A46" s="256" t="e">
        <v>#NUM!</v>
      </c>
      <c r="B46" s="469" t="e">
        <f>INDEX(bhpc_data[description],MATCH($A46,bhpc_data[sku],0))</f>
        <v>#NUM!</v>
      </c>
      <c r="C46" s="288"/>
      <c r="D46" s="121"/>
      <c r="E46" s="259"/>
      <c r="F46" s="260" t="s">
        <v>924</v>
      </c>
      <c r="G46" s="260" t="e">
        <v>#NUM!</v>
      </c>
      <c r="H46" s="261" t="e">
        <v>#NUM!</v>
      </c>
      <c r="I46" s="260" t="e">
        <f>CEILING(G46/12,1)</f>
        <v>#NUM!</v>
      </c>
      <c r="J46" s="317" t="e">
        <f>INDEX(bhpc_data[ean],MATCH(A46,bhpc_data[sku],0))</f>
        <v>#NUM!</v>
      </c>
      <c r="K46" s="261" t="e">
        <f t="shared" si="4"/>
        <v>#NUM!</v>
      </c>
      <c r="L46" s="312" t="s">
        <v>267</v>
      </c>
    </row>
    <row r="47" spans="1:12" ht="14.5" x14ac:dyDescent="0.35">
      <c r="A47" s="256"/>
      <c r="B47" s="469"/>
      <c r="C47" s="288"/>
      <c r="D47" s="121"/>
      <c r="E47" s="259"/>
      <c r="F47" s="260"/>
      <c r="G47" s="260"/>
      <c r="H47" s="261"/>
      <c r="I47" s="260"/>
      <c r="J47" s="317"/>
      <c r="K47" s="261"/>
      <c r="L47" s="312"/>
    </row>
    <row r="48" spans="1:12" ht="14.5" x14ac:dyDescent="0.35">
      <c r="A48" s="256"/>
      <c r="B48" s="469"/>
      <c r="C48" s="288" t="s">
        <v>1048</v>
      </c>
      <c r="D48" s="121" t="e">
        <f>CONCATENATE(plModel1!$A$60," Kg.")</f>
        <v>#NUM!</v>
      </c>
      <c r="E48" s="259"/>
      <c r="F48" s="260"/>
      <c r="G48" s="260"/>
      <c r="H48" s="261"/>
      <c r="I48" s="260"/>
      <c r="J48" s="317"/>
      <c r="K48" s="261"/>
      <c r="L48" s="312"/>
    </row>
    <row r="49" spans="1:12" ht="14.5" x14ac:dyDescent="0.35">
      <c r="A49" s="256"/>
      <c r="B49" s="469"/>
      <c r="C49" s="288" t="s">
        <v>1049</v>
      </c>
      <c r="D49" s="121" t="e">
        <f>CONCATENATE(plModel1!$C$60," Kg.")</f>
        <v>#NUM!</v>
      </c>
      <c r="E49" s="259"/>
      <c r="F49" s="260"/>
      <c r="G49" s="260"/>
      <c r="H49" s="261"/>
      <c r="I49" s="260"/>
      <c r="J49" s="317"/>
      <c r="K49" s="261"/>
      <c r="L49" s="312"/>
    </row>
    <row r="50" spans="1:12" ht="14.5" x14ac:dyDescent="0.35">
      <c r="A50" s="256"/>
      <c r="B50" s="469"/>
      <c r="C50" s="288" t="s">
        <v>1050</v>
      </c>
      <c r="D50" s="315" t="e">
        <f>plModel1!$C$58</f>
        <v>#NUM!</v>
      </c>
      <c r="E50" s="259"/>
      <c r="F50" s="260"/>
      <c r="G50" s="260"/>
      <c r="H50" s="261"/>
      <c r="I50" s="260"/>
      <c r="J50" s="317"/>
      <c r="K50" s="261"/>
      <c r="L50" s="312"/>
    </row>
    <row r="51" spans="1:12" ht="14.5" x14ac:dyDescent="0.35">
      <c r="A51" s="256"/>
      <c r="B51" s="469"/>
      <c r="C51" s="288" t="s">
        <v>1051</v>
      </c>
      <c r="D51" s="121">
        <f>plModel1!$E$58</f>
        <v>0</v>
      </c>
      <c r="E51" s="259"/>
      <c r="F51" s="260"/>
      <c r="G51" s="260"/>
      <c r="H51" s="261"/>
      <c r="I51" s="260"/>
      <c r="J51" s="317"/>
      <c r="K51" s="261"/>
      <c r="L51" s="312"/>
    </row>
    <row r="52" spans="1:12" ht="14.5" x14ac:dyDescent="0.35">
      <c r="A52" s="256"/>
      <c r="B52" s="469"/>
      <c r="C52" s="288" t="s">
        <v>1047</v>
      </c>
      <c r="D52" s="121" t="str">
        <f>plModel1!$G$58</f>
        <v>100x120x(h)</v>
      </c>
      <c r="E52" s="259"/>
      <c r="F52" s="260"/>
      <c r="G52" s="260"/>
      <c r="H52" s="261"/>
      <c r="I52" s="260"/>
      <c r="J52" s="317"/>
      <c r="K52" s="261"/>
      <c r="L52" s="312"/>
    </row>
    <row r="53" spans="1:12" ht="14.5" x14ac:dyDescent="0.35">
      <c r="A53" s="256"/>
      <c r="B53" s="469"/>
      <c r="C53" s="258"/>
      <c r="D53" s="258"/>
      <c r="E53" s="259"/>
      <c r="F53" s="260"/>
      <c r="G53" s="260"/>
      <c r="H53" s="261"/>
      <c r="I53" s="260"/>
      <c r="J53" s="317"/>
      <c r="K53" s="261"/>
      <c r="L53" s="312"/>
    </row>
    <row r="54" spans="1:12" ht="14.5" x14ac:dyDescent="0.35">
      <c r="A54" s="256"/>
      <c r="B54" s="469"/>
      <c r="C54" s="258"/>
      <c r="D54" s="258"/>
      <c r="E54" s="259"/>
      <c r="F54" s="260"/>
      <c r="G54" s="260"/>
      <c r="H54" s="261"/>
      <c r="I54" s="260"/>
      <c r="J54" s="317"/>
      <c r="K54" s="261"/>
      <c r="L54" s="312"/>
    </row>
    <row r="55" spans="1:12" ht="14.5" x14ac:dyDescent="0.35">
      <c r="A55" s="256"/>
      <c r="B55" s="469"/>
      <c r="C55" s="258"/>
      <c r="D55" s="258"/>
      <c r="E55" s="259"/>
      <c r="F55" s="260"/>
      <c r="G55" s="260"/>
      <c r="H55" s="261"/>
      <c r="I55" s="260"/>
      <c r="J55" s="317"/>
      <c r="K55" s="261"/>
      <c r="L55" s="312"/>
    </row>
    <row r="56" spans="1:12" ht="14.5" x14ac:dyDescent="0.35">
      <c r="A56" s="256"/>
      <c r="B56" s="469"/>
      <c r="C56" s="258"/>
      <c r="D56" s="258"/>
      <c r="E56" s="259"/>
      <c r="F56" s="260"/>
      <c r="G56" s="260"/>
      <c r="H56" s="261"/>
      <c r="I56" s="260"/>
      <c r="J56" s="317"/>
      <c r="K56" s="261"/>
      <c r="L56" s="312"/>
    </row>
    <row r="57" spans="1:12" ht="14.5" x14ac:dyDescent="0.35">
      <c r="A57" s="256"/>
      <c r="B57" s="469"/>
      <c r="C57" s="258"/>
      <c r="D57" s="258"/>
      <c r="E57" s="259"/>
      <c r="F57" s="260"/>
      <c r="G57" s="260"/>
      <c r="H57" s="261"/>
      <c r="I57" s="260"/>
      <c r="J57" s="317"/>
      <c r="K57" s="261"/>
      <c r="L57" s="312"/>
    </row>
    <row r="58" spans="1:12" ht="14.5" x14ac:dyDescent="0.35">
      <c r="A58" s="256"/>
      <c r="B58" s="469"/>
      <c r="C58" s="258"/>
      <c r="D58" s="258"/>
      <c r="E58" s="259"/>
      <c r="F58" s="260"/>
      <c r="G58" s="260"/>
      <c r="H58" s="261"/>
      <c r="I58" s="260"/>
      <c r="J58" s="317"/>
      <c r="K58" s="261"/>
      <c r="L58" s="312"/>
    </row>
    <row r="59" spans="1:12" ht="14.5" x14ac:dyDescent="0.35">
      <c r="A59" s="256"/>
      <c r="B59" s="469"/>
      <c r="C59" s="258"/>
      <c r="D59" s="258"/>
      <c r="E59" s="259"/>
      <c r="F59" s="260"/>
      <c r="G59" s="260"/>
      <c r="H59" s="261"/>
      <c r="I59" s="260"/>
      <c r="J59" s="317"/>
      <c r="K59" s="261"/>
      <c r="L59" s="312"/>
    </row>
    <row r="60" spans="1:12" x14ac:dyDescent="0.35">
      <c r="A60" s="635" t="s">
        <v>1046</v>
      </c>
      <c r="B60" s="630"/>
      <c r="C60" s="630"/>
      <c r="D60" s="630"/>
      <c r="E60" s="630"/>
      <c r="F60" s="630"/>
      <c r="G60" s="631"/>
      <c r="H60" s="663" t="s">
        <v>477</v>
      </c>
      <c r="I60" s="630"/>
      <c r="J60" s="630"/>
      <c r="K60" s="664"/>
      <c r="L60" s="631"/>
    </row>
    <row r="61" spans="1:12" s="137" customFormat="1" ht="14.5" customHeight="1" x14ac:dyDescent="0.35">
      <c r="A61" s="167" t="s">
        <v>348</v>
      </c>
      <c r="B61" s="281"/>
      <c r="C61" s="281"/>
      <c r="D61" s="281"/>
      <c r="E61" s="289"/>
      <c r="F61" s="289"/>
      <c r="G61" s="290"/>
      <c r="H61" s="682" t="e">
        <f>SUM(K14:K59)</f>
        <v>#NUM!</v>
      </c>
      <c r="I61" s="628"/>
      <c r="J61" s="628"/>
      <c r="K61" s="628"/>
      <c r="L61" s="629"/>
    </row>
    <row r="62" spans="1:12" x14ac:dyDescent="0.35">
      <c r="A62" s="635" t="s">
        <v>478</v>
      </c>
      <c r="B62" s="631"/>
      <c r="C62" s="138" t="s">
        <v>479</v>
      </c>
      <c r="D62" s="635" t="s">
        <v>480</v>
      </c>
      <c r="E62" s="631"/>
      <c r="F62" s="635" t="s">
        <v>481</v>
      </c>
      <c r="G62" s="631"/>
      <c r="H62" s="659" t="s">
        <v>482</v>
      </c>
      <c r="I62" s="624"/>
      <c r="J62" s="624"/>
      <c r="K62" s="660"/>
      <c r="L62" s="626"/>
    </row>
    <row r="63" spans="1:12" ht="14.5" customHeight="1" x14ac:dyDescent="0.35">
      <c r="A63" s="608" t="s">
        <v>268</v>
      </c>
      <c r="B63" s="609"/>
      <c r="C63" s="612" t="s">
        <v>267</v>
      </c>
      <c r="D63" s="616" t="e">
        <f>H61</f>
        <v>#NUM!</v>
      </c>
      <c r="E63" s="615"/>
      <c r="F63" s="675">
        <f>IF(C63="022",22%,0)</f>
        <v>0</v>
      </c>
      <c r="G63" s="676"/>
      <c r="H63" s="682" t="e">
        <f>H61</f>
        <v>#NUM!</v>
      </c>
      <c r="I63" s="628"/>
      <c r="J63" s="628"/>
      <c r="K63" s="628"/>
      <c r="L63" s="629"/>
    </row>
    <row r="64" spans="1:12" x14ac:dyDescent="0.35">
      <c r="A64" s="608"/>
      <c r="B64" s="609"/>
      <c r="C64" s="612"/>
      <c r="D64" s="616"/>
      <c r="E64" s="615"/>
      <c r="F64" s="675"/>
      <c r="G64" s="676"/>
      <c r="H64" s="659" t="s">
        <v>483</v>
      </c>
      <c r="I64" s="624"/>
      <c r="J64" s="624"/>
      <c r="K64" s="660"/>
      <c r="L64" s="626"/>
    </row>
    <row r="65" spans="1:15" ht="14.5" customHeight="1" x14ac:dyDescent="0.35">
      <c r="A65" s="608"/>
      <c r="B65" s="609"/>
      <c r="C65" s="612"/>
      <c r="D65" s="616"/>
      <c r="E65" s="615"/>
      <c r="F65" s="675"/>
      <c r="G65" s="676"/>
      <c r="H65" s="682">
        <f>SEK63*F63</f>
        <v>0</v>
      </c>
      <c r="I65" s="628"/>
      <c r="J65" s="628"/>
      <c r="K65" s="628"/>
      <c r="L65" s="629"/>
    </row>
    <row r="66" spans="1:15" x14ac:dyDescent="0.35">
      <c r="A66" s="608"/>
      <c r="B66" s="609"/>
      <c r="C66" s="612"/>
      <c r="D66" s="616"/>
      <c r="E66" s="615"/>
      <c r="F66" s="675"/>
      <c r="G66" s="676"/>
      <c r="H66" s="659" t="s">
        <v>484</v>
      </c>
      <c r="I66" s="624"/>
      <c r="J66" s="624"/>
      <c r="K66" s="660"/>
      <c r="L66" s="626"/>
    </row>
    <row r="67" spans="1:15" ht="14.5" customHeight="1" x14ac:dyDescent="0.35">
      <c r="A67" s="610"/>
      <c r="B67" s="611"/>
      <c r="C67" s="613"/>
      <c r="D67" s="617"/>
      <c r="E67" s="618"/>
      <c r="F67" s="677"/>
      <c r="G67" s="678"/>
      <c r="H67" s="682" t="e">
        <f>H61+H65</f>
        <v>#NUM!</v>
      </c>
      <c r="I67" s="628"/>
      <c r="J67" s="628"/>
      <c r="K67" s="628"/>
      <c r="L67" s="629"/>
    </row>
    <row r="68" spans="1:15" x14ac:dyDescent="0.35">
      <c r="A68" s="597" t="s">
        <v>485</v>
      </c>
      <c r="B68" s="598"/>
      <c r="C68" s="598"/>
      <c r="D68" s="598"/>
      <c r="E68" s="598"/>
      <c r="F68" s="598"/>
      <c r="G68" s="598"/>
      <c r="H68" s="684"/>
      <c r="I68" s="598"/>
      <c r="J68" s="598"/>
      <c r="K68" s="684"/>
      <c r="L68" s="600"/>
    </row>
    <row r="69" spans="1:15" s="139" customFormat="1" ht="10.5" customHeight="1" x14ac:dyDescent="0.35">
      <c r="A69" s="601" t="s">
        <v>486</v>
      </c>
      <c r="B69" s="602"/>
      <c r="C69" s="602"/>
      <c r="D69" s="602"/>
      <c r="E69" s="602"/>
      <c r="F69" s="602"/>
      <c r="G69" s="602"/>
      <c r="H69" s="686"/>
      <c r="I69" s="602"/>
      <c r="J69" s="602"/>
      <c r="K69" s="686"/>
      <c r="L69" s="604"/>
      <c r="N69" s="124"/>
      <c r="O69" s="124"/>
    </row>
    <row r="70" spans="1:15" s="140" customFormat="1" ht="7.5" customHeight="1" x14ac:dyDescent="0.35">
      <c r="A70" s="597" t="s">
        <v>487</v>
      </c>
      <c r="B70" s="606" t="s">
        <v>488</v>
      </c>
      <c r="C70" s="606"/>
      <c r="D70" s="606"/>
      <c r="E70" s="606"/>
      <c r="F70" s="598"/>
      <c r="G70" s="598"/>
      <c r="H70" s="598"/>
      <c r="I70" s="598"/>
      <c r="J70" s="598"/>
      <c r="K70" s="598"/>
      <c r="L70" s="600"/>
      <c r="N70" s="124"/>
      <c r="O70" s="124"/>
    </row>
    <row r="71" spans="1:15" ht="14.5" customHeight="1" x14ac:dyDescent="0.35">
      <c r="A71" s="601"/>
      <c r="B71" s="607"/>
      <c r="C71" s="607"/>
      <c r="D71" s="607"/>
      <c r="E71" s="607"/>
      <c r="F71" s="602"/>
      <c r="G71" s="602"/>
      <c r="H71" s="602"/>
      <c r="I71" s="602"/>
      <c r="J71" s="602"/>
      <c r="K71" s="602"/>
      <c r="L71" s="604"/>
    </row>
    <row r="72" spans="1:15" s="140" customFormat="1" ht="10" x14ac:dyDescent="0.35">
      <c r="A72" s="594" t="s">
        <v>489</v>
      </c>
      <c r="B72" s="594"/>
      <c r="C72" s="594"/>
      <c r="D72" s="594"/>
      <c r="E72" s="594"/>
      <c r="F72" s="594"/>
      <c r="G72" s="594"/>
      <c r="H72" s="680"/>
      <c r="I72" s="594"/>
      <c r="J72" s="594"/>
      <c r="K72" s="680"/>
      <c r="L72" s="594"/>
    </row>
    <row r="73" spans="1:15" x14ac:dyDescent="0.35">
      <c r="A73" s="594" t="s">
        <v>490</v>
      </c>
      <c r="B73" s="594"/>
      <c r="C73" s="594"/>
      <c r="D73" s="594"/>
      <c r="E73" s="594"/>
      <c r="F73" s="594"/>
      <c r="G73" s="594"/>
      <c r="H73" s="680"/>
      <c r="I73" s="594"/>
      <c r="J73" s="594"/>
      <c r="K73" s="680"/>
      <c r="L73" s="594"/>
    </row>
    <row r="74" spans="1:15" x14ac:dyDescent="0.35">
      <c r="A74" s="594" t="s">
        <v>491</v>
      </c>
      <c r="B74" s="595"/>
      <c r="C74" s="595"/>
      <c r="D74" s="595"/>
      <c r="E74" s="595"/>
      <c r="F74" s="595"/>
      <c r="G74" s="595"/>
      <c r="H74" s="681"/>
      <c r="I74" s="595"/>
      <c r="J74" s="595"/>
      <c r="K74" s="681"/>
      <c r="L74" s="595"/>
    </row>
    <row r="75" spans="1:15" x14ac:dyDescent="0.35">
      <c r="H75" s="146"/>
      <c r="K75" s="146"/>
    </row>
    <row r="76" spans="1:15" x14ac:dyDescent="0.35">
      <c r="H76" s="146"/>
      <c r="K76" s="146"/>
    </row>
    <row r="77" spans="1:15" x14ac:dyDescent="0.35">
      <c r="H77" s="146"/>
      <c r="K77" s="146"/>
    </row>
    <row r="78" spans="1:15" x14ac:dyDescent="0.35">
      <c r="H78" s="146"/>
      <c r="K78" s="146"/>
    </row>
    <row r="79" spans="1:15" x14ac:dyDescent="0.35">
      <c r="H79" s="146"/>
      <c r="K79" s="146"/>
    </row>
    <row r="80" spans="1:15" x14ac:dyDescent="0.35">
      <c r="H80" s="146"/>
      <c r="K80" s="146"/>
    </row>
    <row r="81" spans="8:11" x14ac:dyDescent="0.35">
      <c r="H81" s="146"/>
      <c r="K81" s="146"/>
    </row>
    <row r="82" spans="8:11" x14ac:dyDescent="0.35">
      <c r="H82" s="146"/>
      <c r="K82" s="146"/>
    </row>
    <row r="83" spans="8:11" x14ac:dyDescent="0.35">
      <c r="H83" s="146"/>
      <c r="K83" s="146"/>
    </row>
    <row r="84" spans="8:11" x14ac:dyDescent="0.35">
      <c r="H84" s="146"/>
      <c r="K84" s="146"/>
    </row>
    <row r="85" spans="8:11" x14ac:dyDescent="0.35">
      <c r="H85" s="146"/>
      <c r="K85" s="146"/>
    </row>
    <row r="86" spans="8:11" x14ac:dyDescent="0.35">
      <c r="H86" s="146"/>
      <c r="K86" s="146"/>
    </row>
    <row r="87" spans="8:11" x14ac:dyDescent="0.35">
      <c r="H87" s="146"/>
      <c r="K87" s="146"/>
    </row>
    <row r="88" spans="8:11" x14ac:dyDescent="0.35">
      <c r="H88" s="146"/>
      <c r="K88" s="146"/>
    </row>
    <row r="89" spans="8:11" x14ac:dyDescent="0.35">
      <c r="H89" s="146"/>
      <c r="K89" s="146"/>
    </row>
    <row r="90" spans="8:11" x14ac:dyDescent="0.35">
      <c r="H90" s="146"/>
      <c r="K90" s="146"/>
    </row>
    <row r="91" spans="8:11" x14ac:dyDescent="0.35">
      <c r="H91" s="146"/>
      <c r="K91" s="146"/>
    </row>
    <row r="92" spans="8:11" x14ac:dyDescent="0.35">
      <c r="H92" s="146"/>
      <c r="K92" s="146"/>
    </row>
    <row r="93" spans="8:11" x14ac:dyDescent="0.35">
      <c r="H93" s="146"/>
      <c r="K93" s="146"/>
    </row>
    <row r="94" spans="8:11" x14ac:dyDescent="0.35">
      <c r="H94" s="146"/>
      <c r="K94" s="146"/>
    </row>
    <row r="95" spans="8:11" x14ac:dyDescent="0.35">
      <c r="H95" s="146"/>
      <c r="K95" s="146"/>
    </row>
    <row r="96" spans="8:11" x14ac:dyDescent="0.35">
      <c r="H96" s="146"/>
      <c r="K96" s="146"/>
    </row>
    <row r="97" spans="8:11" x14ac:dyDescent="0.35">
      <c r="H97" s="146"/>
      <c r="K97" s="146"/>
    </row>
    <row r="98" spans="8:11" x14ac:dyDescent="0.35">
      <c r="H98" s="146"/>
      <c r="K98" s="146"/>
    </row>
    <row r="99" spans="8:11" x14ac:dyDescent="0.35">
      <c r="H99" s="146"/>
      <c r="K99" s="146"/>
    </row>
    <row r="100" spans="8:11" x14ac:dyDescent="0.35">
      <c r="H100" s="146"/>
      <c r="K100" s="146"/>
    </row>
    <row r="101" spans="8:11" x14ac:dyDescent="0.35">
      <c r="H101" s="146"/>
      <c r="K101" s="146"/>
    </row>
    <row r="102" spans="8:11" x14ac:dyDescent="0.35">
      <c r="H102" s="146"/>
      <c r="K102" s="146"/>
    </row>
    <row r="103" spans="8:11" x14ac:dyDescent="0.35">
      <c r="H103" s="146"/>
      <c r="K103" s="146"/>
    </row>
    <row r="104" spans="8:11" x14ac:dyDescent="0.35">
      <c r="H104" s="146"/>
      <c r="K104" s="146"/>
    </row>
    <row r="105" spans="8:11" x14ac:dyDescent="0.35">
      <c r="H105" s="146"/>
      <c r="K105" s="146"/>
    </row>
    <row r="106" spans="8:11" x14ac:dyDescent="0.35">
      <c r="H106" s="146"/>
      <c r="K106" s="146"/>
    </row>
    <row r="107" spans="8:11" x14ac:dyDescent="0.35">
      <c r="H107" s="146"/>
      <c r="K107" s="146"/>
    </row>
    <row r="108" spans="8:11" x14ac:dyDescent="0.35">
      <c r="H108" s="146"/>
      <c r="K108" s="146"/>
    </row>
    <row r="109" spans="8:11" x14ac:dyDescent="0.35">
      <c r="H109" s="146"/>
      <c r="K109" s="146"/>
    </row>
    <row r="110" spans="8:11" x14ac:dyDescent="0.35">
      <c r="H110" s="146"/>
      <c r="K110" s="146"/>
    </row>
    <row r="111" spans="8:11" x14ac:dyDescent="0.35">
      <c r="H111" s="146"/>
      <c r="K111" s="146"/>
    </row>
    <row r="112" spans="8:11" x14ac:dyDescent="0.35">
      <c r="H112" s="146"/>
      <c r="K112" s="146"/>
    </row>
    <row r="113" spans="8:11" x14ac:dyDescent="0.35">
      <c r="H113" s="146"/>
      <c r="K113" s="146"/>
    </row>
    <row r="114" spans="8:11" x14ac:dyDescent="0.35">
      <c r="H114" s="146"/>
      <c r="K114" s="146"/>
    </row>
    <row r="115" spans="8:11" x14ac:dyDescent="0.35">
      <c r="H115" s="146"/>
      <c r="K115" s="146"/>
    </row>
    <row r="116" spans="8:11" x14ac:dyDescent="0.35">
      <c r="H116" s="146"/>
      <c r="K116" s="146"/>
    </row>
    <row r="117" spans="8:11" x14ac:dyDescent="0.35">
      <c r="H117" s="146"/>
      <c r="K117" s="146"/>
    </row>
    <row r="118" spans="8:11" x14ac:dyDescent="0.35">
      <c r="H118" s="146"/>
      <c r="K118" s="146"/>
    </row>
    <row r="119" spans="8:11" x14ac:dyDescent="0.35">
      <c r="H119" s="146"/>
      <c r="K119" s="146"/>
    </row>
    <row r="120" spans="8:11" x14ac:dyDescent="0.35">
      <c r="H120" s="146"/>
      <c r="K120" s="146"/>
    </row>
    <row r="121" spans="8:11" x14ac:dyDescent="0.35">
      <c r="H121" s="146"/>
      <c r="K121" s="146"/>
    </row>
    <row r="122" spans="8:11" x14ac:dyDescent="0.35">
      <c r="H122" s="146"/>
      <c r="K122" s="146"/>
    </row>
    <row r="123" spans="8:11" x14ac:dyDescent="0.35">
      <c r="H123" s="146"/>
      <c r="K123" s="146"/>
    </row>
    <row r="124" spans="8:11" x14ac:dyDescent="0.35">
      <c r="H124" s="146"/>
      <c r="K124" s="146"/>
    </row>
    <row r="125" spans="8:11" x14ac:dyDescent="0.35">
      <c r="H125" s="146"/>
      <c r="K125" s="146"/>
    </row>
    <row r="126" spans="8:11" x14ac:dyDescent="0.35">
      <c r="H126" s="146"/>
      <c r="K126" s="146"/>
    </row>
    <row r="127" spans="8:11" x14ac:dyDescent="0.35">
      <c r="H127" s="146"/>
      <c r="K127" s="146"/>
    </row>
    <row r="128" spans="8:11" x14ac:dyDescent="0.35">
      <c r="H128" s="146"/>
      <c r="K128" s="146"/>
    </row>
    <row r="129" spans="8:11" x14ac:dyDescent="0.35">
      <c r="H129" s="146"/>
      <c r="K129" s="146"/>
    </row>
    <row r="130" spans="8:11" x14ac:dyDescent="0.35">
      <c r="H130" s="146"/>
      <c r="K130" s="146"/>
    </row>
    <row r="131" spans="8:11" x14ac:dyDescent="0.35">
      <c r="H131" s="146"/>
      <c r="K131" s="146"/>
    </row>
    <row r="132" spans="8:11" x14ac:dyDescent="0.35">
      <c r="H132" s="146"/>
      <c r="K132" s="146"/>
    </row>
    <row r="133" spans="8:11" x14ac:dyDescent="0.35">
      <c r="H133" s="146"/>
      <c r="K133" s="146"/>
    </row>
    <row r="134" spans="8:11" x14ac:dyDescent="0.35">
      <c r="H134" s="146"/>
      <c r="K134" s="146"/>
    </row>
    <row r="135" spans="8:11" x14ac:dyDescent="0.35">
      <c r="H135" s="146"/>
      <c r="K135" s="146"/>
    </row>
    <row r="136" spans="8:11" x14ac:dyDescent="0.35">
      <c r="H136" s="146"/>
      <c r="K136" s="146"/>
    </row>
    <row r="137" spans="8:11" x14ac:dyDescent="0.35">
      <c r="H137" s="146"/>
      <c r="K137" s="146"/>
    </row>
    <row r="138" spans="8:11" x14ac:dyDescent="0.35">
      <c r="H138" s="146"/>
      <c r="K138" s="146"/>
    </row>
    <row r="139" spans="8:11" x14ac:dyDescent="0.35">
      <c r="H139" s="146"/>
      <c r="K139" s="146"/>
    </row>
    <row r="140" spans="8:11" x14ac:dyDescent="0.35">
      <c r="H140" s="146"/>
      <c r="K140" s="146"/>
    </row>
    <row r="141" spans="8:11" x14ac:dyDescent="0.35">
      <c r="H141" s="146"/>
      <c r="K141" s="146"/>
    </row>
    <row r="142" spans="8:11" x14ac:dyDescent="0.35">
      <c r="H142" s="146"/>
      <c r="K142" s="146"/>
    </row>
    <row r="143" spans="8:11" x14ac:dyDescent="0.35">
      <c r="H143" s="146"/>
      <c r="K143" s="146"/>
    </row>
    <row r="144" spans="8:11" x14ac:dyDescent="0.35">
      <c r="H144" s="146"/>
      <c r="K144" s="146"/>
    </row>
    <row r="145" spans="8:11" x14ac:dyDescent="0.35">
      <c r="H145" s="146"/>
      <c r="K145" s="146"/>
    </row>
    <row r="146" spans="8:11" x14ac:dyDescent="0.35">
      <c r="H146" s="146"/>
      <c r="K146" s="146"/>
    </row>
    <row r="147" spans="8:11" x14ac:dyDescent="0.35">
      <c r="H147" s="146"/>
      <c r="K147" s="146"/>
    </row>
    <row r="148" spans="8:11" x14ac:dyDescent="0.35">
      <c r="H148" s="146"/>
      <c r="K148" s="146"/>
    </row>
    <row r="149" spans="8:11" x14ac:dyDescent="0.35">
      <c r="H149" s="146"/>
      <c r="K149" s="146"/>
    </row>
    <row r="150" spans="8:11" x14ac:dyDescent="0.35">
      <c r="H150" s="146"/>
      <c r="K150" s="146"/>
    </row>
    <row r="151" spans="8:11" x14ac:dyDescent="0.35">
      <c r="H151" s="146"/>
      <c r="K151" s="146"/>
    </row>
    <row r="152" spans="8:11" x14ac:dyDescent="0.35">
      <c r="H152" s="146"/>
      <c r="K152" s="146"/>
    </row>
    <row r="153" spans="8:11" x14ac:dyDescent="0.35">
      <c r="H153" s="146"/>
      <c r="K153" s="146"/>
    </row>
    <row r="154" spans="8:11" x14ac:dyDescent="0.35">
      <c r="H154" s="146"/>
      <c r="K154" s="146"/>
    </row>
    <row r="155" spans="8:11" x14ac:dyDescent="0.35">
      <c r="H155" s="146"/>
      <c r="K155" s="146"/>
    </row>
    <row r="156" spans="8:11" x14ac:dyDescent="0.35">
      <c r="H156" s="146"/>
      <c r="K156" s="146"/>
    </row>
    <row r="157" spans="8:11" x14ac:dyDescent="0.35">
      <c r="H157" s="146"/>
      <c r="K157" s="146"/>
    </row>
    <row r="158" spans="8:11" x14ac:dyDescent="0.35">
      <c r="H158" s="146"/>
      <c r="K158" s="146"/>
    </row>
    <row r="159" spans="8:11" x14ac:dyDescent="0.35">
      <c r="H159" s="146"/>
      <c r="K159" s="146"/>
    </row>
    <row r="160" spans="8:11" x14ac:dyDescent="0.35">
      <c r="H160" s="146"/>
      <c r="K160" s="146"/>
    </row>
    <row r="161" spans="8:11" x14ac:dyDescent="0.35">
      <c r="H161" s="146"/>
      <c r="K161" s="146"/>
    </row>
    <row r="162" spans="8:11" x14ac:dyDescent="0.35">
      <c r="H162" s="146"/>
      <c r="K162" s="146"/>
    </row>
    <row r="163" spans="8:11" x14ac:dyDescent="0.35">
      <c r="H163" s="146"/>
      <c r="K163" s="146"/>
    </row>
    <row r="164" spans="8:11" x14ac:dyDescent="0.35">
      <c r="H164" s="146"/>
      <c r="K164" s="146"/>
    </row>
    <row r="165" spans="8:11" x14ac:dyDescent="0.35">
      <c r="H165" s="146"/>
      <c r="K165" s="146"/>
    </row>
    <row r="166" spans="8:11" x14ac:dyDescent="0.35">
      <c r="H166" s="146"/>
      <c r="K166" s="146"/>
    </row>
    <row r="167" spans="8:11" x14ac:dyDescent="0.35">
      <c r="H167" s="146"/>
      <c r="K167" s="146"/>
    </row>
    <row r="168" spans="8:11" x14ac:dyDescent="0.35">
      <c r="H168" s="146"/>
      <c r="K168" s="146"/>
    </row>
    <row r="169" spans="8:11" x14ac:dyDescent="0.35">
      <c r="H169" s="146"/>
      <c r="K169" s="146"/>
    </row>
    <row r="170" spans="8:11" x14ac:dyDescent="0.35">
      <c r="H170" s="146"/>
      <c r="K170" s="146"/>
    </row>
    <row r="171" spans="8:11" x14ac:dyDescent="0.35">
      <c r="H171" s="146"/>
      <c r="K171" s="146"/>
    </row>
    <row r="172" spans="8:11" x14ac:dyDescent="0.35">
      <c r="H172" s="146"/>
      <c r="K172" s="146"/>
    </row>
    <row r="173" spans="8:11" x14ac:dyDescent="0.35">
      <c r="H173" s="146"/>
      <c r="K173" s="146"/>
    </row>
    <row r="174" spans="8:11" x14ac:dyDescent="0.35">
      <c r="H174" s="146"/>
      <c r="K174" s="146"/>
    </row>
    <row r="175" spans="8:11" x14ac:dyDescent="0.35">
      <c r="H175" s="146"/>
      <c r="K175" s="146"/>
    </row>
    <row r="176" spans="8:11" x14ac:dyDescent="0.35">
      <c r="H176" s="146"/>
      <c r="K176" s="146"/>
    </row>
    <row r="177" spans="8:11" x14ac:dyDescent="0.35">
      <c r="H177" s="146"/>
      <c r="K177" s="146"/>
    </row>
    <row r="178" spans="8:11" x14ac:dyDescent="0.35">
      <c r="H178" s="146"/>
      <c r="K178" s="146"/>
    </row>
    <row r="179" spans="8:11" x14ac:dyDescent="0.35">
      <c r="H179" s="146"/>
      <c r="K179" s="146"/>
    </row>
    <row r="180" spans="8:11" x14ac:dyDescent="0.35">
      <c r="H180" s="146"/>
      <c r="K180" s="146"/>
    </row>
    <row r="181" spans="8:11" x14ac:dyDescent="0.35">
      <c r="H181" s="146"/>
      <c r="K181" s="146"/>
    </row>
    <row r="182" spans="8:11" x14ac:dyDescent="0.35">
      <c r="H182" s="146"/>
      <c r="K182" s="146"/>
    </row>
    <row r="183" spans="8:11" x14ac:dyDescent="0.35">
      <c r="H183" s="146"/>
      <c r="K183" s="146"/>
    </row>
    <row r="184" spans="8:11" x14ac:dyDescent="0.35">
      <c r="H184" s="146"/>
      <c r="K184" s="146"/>
    </row>
    <row r="185" spans="8:11" x14ac:dyDescent="0.35">
      <c r="H185" s="146"/>
      <c r="K185" s="146"/>
    </row>
    <row r="186" spans="8:11" x14ac:dyDescent="0.35">
      <c r="H186" s="146"/>
      <c r="K186" s="146"/>
    </row>
    <row r="187" spans="8:11" x14ac:dyDescent="0.35">
      <c r="H187" s="146"/>
      <c r="K187" s="146"/>
    </row>
    <row r="188" spans="8:11" x14ac:dyDescent="0.35">
      <c r="H188" s="146"/>
      <c r="K188" s="146"/>
    </row>
    <row r="189" spans="8:11" x14ac:dyDescent="0.35">
      <c r="H189" s="146"/>
      <c r="K189" s="146"/>
    </row>
    <row r="190" spans="8:11" x14ac:dyDescent="0.35">
      <c r="H190" s="146"/>
      <c r="K190" s="146"/>
    </row>
    <row r="191" spans="8:11" x14ac:dyDescent="0.35">
      <c r="H191" s="146"/>
      <c r="K191" s="146"/>
    </row>
    <row r="192" spans="8:11" x14ac:dyDescent="0.35">
      <c r="H192" s="146"/>
      <c r="K192" s="146"/>
    </row>
    <row r="193" spans="4:11" x14ac:dyDescent="0.35">
      <c r="H193" s="146"/>
      <c r="K193" s="146"/>
    </row>
    <row r="194" spans="4:11" x14ac:dyDescent="0.35">
      <c r="H194" s="146"/>
      <c r="K194" s="146"/>
    </row>
    <row r="195" spans="4:11" x14ac:dyDescent="0.35">
      <c r="H195" s="146"/>
      <c r="K195" s="146"/>
    </row>
    <row r="196" spans="4:11" x14ac:dyDescent="0.35">
      <c r="H196" s="146"/>
      <c r="K196" s="146"/>
    </row>
    <row r="197" spans="4:11" x14ac:dyDescent="0.35">
      <c r="H197" s="146"/>
      <c r="K197" s="146"/>
    </row>
    <row r="198" spans="4:11" x14ac:dyDescent="0.35">
      <c r="H198" s="146"/>
      <c r="K198" s="146"/>
    </row>
    <row r="199" spans="4:11" x14ac:dyDescent="0.35">
      <c r="H199" s="146"/>
      <c r="K199" s="146"/>
    </row>
    <row r="200" spans="4:11" x14ac:dyDescent="0.35">
      <c r="H200" s="146"/>
      <c r="K200" s="146"/>
    </row>
    <row r="201" spans="4:11" x14ac:dyDescent="0.35">
      <c r="H201" s="146"/>
      <c r="K201" s="146"/>
    </row>
    <row r="202" spans="4:11" x14ac:dyDescent="0.35">
      <c r="H202" s="146"/>
      <c r="K202" s="146"/>
    </row>
    <row r="203" spans="4:11" x14ac:dyDescent="0.35">
      <c r="H203" s="146"/>
      <c r="K203" s="146"/>
    </row>
    <row r="204" spans="4:11" x14ac:dyDescent="0.35">
      <c r="H204" s="143"/>
      <c r="K204" s="143"/>
    </row>
    <row r="205" spans="4:11" x14ac:dyDescent="0.35">
      <c r="H205" s="143"/>
      <c r="K205" s="146"/>
    </row>
    <row r="206" spans="4:11" x14ac:dyDescent="0.35">
      <c r="H206" s="143"/>
      <c r="K206" s="143"/>
    </row>
    <row r="207" spans="4:11" x14ac:dyDescent="0.35">
      <c r="D207" s="147"/>
      <c r="E207" s="146"/>
      <c r="H207" s="143"/>
      <c r="K207" s="146"/>
    </row>
    <row r="208" spans="4:11" x14ac:dyDescent="0.35">
      <c r="D208" s="147"/>
      <c r="E208" s="146"/>
      <c r="H208" s="143"/>
      <c r="K208" s="143"/>
    </row>
    <row r="209" spans="4:11" x14ac:dyDescent="0.35">
      <c r="D209" s="147"/>
      <c r="E209" s="146"/>
      <c r="H209" s="143"/>
      <c r="K209" s="146"/>
    </row>
    <row r="210" spans="4:11" x14ac:dyDescent="0.35">
      <c r="D210" s="147"/>
      <c r="E210" s="146"/>
      <c r="H210" s="143"/>
      <c r="K210" s="143"/>
    </row>
    <row r="211" spans="4:11" x14ac:dyDescent="0.35">
      <c r="D211" s="147"/>
      <c r="E211" s="146"/>
      <c r="H211" s="143"/>
      <c r="K211" s="146"/>
    </row>
    <row r="212" spans="4:11" x14ac:dyDescent="0.35">
      <c r="K212" s="143"/>
    </row>
    <row r="213" spans="4:11" x14ac:dyDescent="0.35">
      <c r="K213" s="143"/>
    </row>
    <row r="214" spans="4:11" x14ac:dyDescent="0.35">
      <c r="D214" s="144"/>
      <c r="E214" s="143"/>
      <c r="K214" s="143"/>
    </row>
    <row r="215" spans="4:11" x14ac:dyDescent="0.35">
      <c r="D215" s="144"/>
      <c r="E215" s="143"/>
      <c r="K215" s="143"/>
    </row>
    <row r="216" spans="4:11" x14ac:dyDescent="0.35">
      <c r="D216" s="144"/>
      <c r="E216" s="143"/>
      <c r="K216" s="143"/>
    </row>
    <row r="217" spans="4:11" x14ac:dyDescent="0.35">
      <c r="D217" s="144"/>
      <c r="E217" s="143"/>
      <c r="K217" s="143"/>
    </row>
    <row r="218" spans="4:11" x14ac:dyDescent="0.35">
      <c r="D218" s="144"/>
      <c r="E218" s="143"/>
      <c r="K218" s="143"/>
    </row>
    <row r="219" spans="4:11" x14ac:dyDescent="0.35">
      <c r="D219" s="144"/>
      <c r="E219" s="143"/>
      <c r="K219" s="143"/>
    </row>
  </sheetData>
  <mergeCells count="38">
    <mergeCell ref="H61:L61"/>
    <mergeCell ref="H63:L63"/>
    <mergeCell ref="H65:L65"/>
    <mergeCell ref="H67:L67"/>
    <mergeCell ref="A10:L10"/>
    <mergeCell ref="B12:E12"/>
    <mergeCell ref="A60:B60"/>
    <mergeCell ref="C60:D60"/>
    <mergeCell ref="E60:G60"/>
    <mergeCell ref="H60:L60"/>
    <mergeCell ref="A62:B62"/>
    <mergeCell ref="D62:E62"/>
    <mergeCell ref="F62:G62"/>
    <mergeCell ref="H62:L62"/>
    <mergeCell ref="A63:B67"/>
    <mergeCell ref="C63:C67"/>
    <mergeCell ref="A8:B8"/>
    <mergeCell ref="C8:D8"/>
    <mergeCell ref="E8:F8"/>
    <mergeCell ref="G8:I8"/>
    <mergeCell ref="K8:L8"/>
    <mergeCell ref="A9:B9"/>
    <mergeCell ref="C9:D9"/>
    <mergeCell ref="E9:F9"/>
    <mergeCell ref="K9:L9"/>
    <mergeCell ref="G9:J9"/>
    <mergeCell ref="D63:E67"/>
    <mergeCell ref="F63:G67"/>
    <mergeCell ref="H64:L64"/>
    <mergeCell ref="H66:L66"/>
    <mergeCell ref="A74:L74"/>
    <mergeCell ref="A68:L68"/>
    <mergeCell ref="A69:L69"/>
    <mergeCell ref="A70:A71"/>
    <mergeCell ref="A72:L72"/>
    <mergeCell ref="A73:L73"/>
    <mergeCell ref="B70:E71"/>
    <mergeCell ref="F70:L71"/>
  </mergeCells>
  <dataValidations count="1">
    <dataValidation type="list" allowBlank="1" showInputMessage="1" showErrorMessage="1" sqref="K9:L9" xr:uid="{00000000-0002-0000-09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/>
  <dimension ref="A1:Y218"/>
  <sheetViews>
    <sheetView showGridLines="0" zoomScaleSheetLayoutView="100" workbookViewId="0">
      <pane ySplit="12" topLeftCell="A64" activePane="bottomLeft" state="frozen"/>
      <selection activeCell="A11" sqref="A11:K58"/>
      <selection pane="bottomLeft" activeCell="L74" sqref="L74:L120"/>
    </sheetView>
  </sheetViews>
  <sheetFormatPr defaultColWidth="10.7265625" defaultRowHeight="12.5" x14ac:dyDescent="0.35"/>
  <cols>
    <col min="1" max="1" width="10.54296875" style="124" customWidth="1"/>
    <col min="2" max="2" width="20.1796875" style="124" customWidth="1"/>
    <col min="3" max="3" width="12.7265625" style="124" customWidth="1"/>
    <col min="4" max="4" width="9.81640625" style="125" customWidth="1"/>
    <col min="5" max="5" width="18.7265625" style="124" customWidth="1"/>
    <col min="6" max="6" width="4.1796875" style="126" customWidth="1"/>
    <col min="7" max="8" width="11.453125" style="124" customWidth="1"/>
    <col min="9" max="10" width="11.453125" style="126" customWidth="1"/>
    <col min="11" max="11" width="11.453125" style="124" customWidth="1"/>
    <col min="12" max="12" width="5.54296875" style="124" customWidth="1"/>
    <col min="13" max="16384" width="10.7265625" style="124"/>
  </cols>
  <sheetData>
    <row r="1" spans="1:25" x14ac:dyDescent="0.35">
      <c r="A1" s="240"/>
      <c r="B1" s="240"/>
      <c r="F1" s="241"/>
      <c r="G1" s="299"/>
      <c r="H1" s="149"/>
      <c r="I1" s="149"/>
      <c r="J1" s="149"/>
      <c r="K1" s="149"/>
      <c r="L1" s="123"/>
    </row>
    <row r="2" spans="1:25" ht="13" x14ac:dyDescent="0.35">
      <c r="F2" s="241"/>
      <c r="G2" s="297"/>
      <c r="H2" s="237"/>
      <c r="I2" s="129"/>
      <c r="J2" s="129"/>
      <c r="K2" s="129"/>
      <c r="L2" s="127"/>
      <c r="Q2" s="129"/>
    </row>
    <row r="3" spans="1:25" ht="13" x14ac:dyDescent="0.35">
      <c r="F3" s="241"/>
      <c r="G3" s="297"/>
      <c r="H3" s="238"/>
      <c r="I3" s="124"/>
      <c r="J3" s="124"/>
      <c r="K3" s="129"/>
      <c r="L3" s="127"/>
      <c r="Q3" s="129"/>
    </row>
    <row r="4" spans="1:25" ht="13" x14ac:dyDescent="0.35">
      <c r="F4" s="241"/>
      <c r="G4" s="297"/>
      <c r="H4" s="238"/>
      <c r="I4" s="124"/>
      <c r="J4" s="124"/>
      <c r="K4" s="129"/>
      <c r="L4" s="127"/>
      <c r="Q4" s="129"/>
    </row>
    <row r="5" spans="1:25" ht="13" x14ac:dyDescent="0.35">
      <c r="F5" s="241"/>
      <c r="G5" s="297"/>
      <c r="H5" s="238"/>
      <c r="I5" s="124"/>
      <c r="J5" s="124"/>
      <c r="K5" s="129"/>
      <c r="L5" s="127"/>
      <c r="O5" s="129"/>
    </row>
    <row r="6" spans="1:25" ht="13" x14ac:dyDescent="0.35">
      <c r="F6" s="241"/>
      <c r="G6" s="297"/>
      <c r="H6" s="238"/>
      <c r="K6" s="129"/>
      <c r="L6" s="127"/>
    </row>
    <row r="7" spans="1:25" x14ac:dyDescent="0.35">
      <c r="A7" s="132"/>
      <c r="B7" s="132"/>
      <c r="C7" s="132"/>
      <c r="D7" s="133"/>
      <c r="E7" s="132"/>
      <c r="F7" s="242"/>
      <c r="G7" s="298"/>
      <c r="H7" s="239"/>
      <c r="I7" s="134"/>
      <c r="J7" s="134"/>
      <c r="K7" s="132"/>
      <c r="L7" s="135"/>
    </row>
    <row r="8" spans="1:25" x14ac:dyDescent="0.35">
      <c r="A8" s="638" t="s">
        <v>462</v>
      </c>
      <c r="B8" s="626"/>
      <c r="C8" s="638" t="s">
        <v>463</v>
      </c>
      <c r="D8" s="626"/>
      <c r="E8" s="638" t="s">
        <v>464</v>
      </c>
      <c r="F8" s="626"/>
      <c r="G8" s="638" t="s">
        <v>465</v>
      </c>
      <c r="H8" s="624"/>
      <c r="I8" s="624"/>
      <c r="J8" s="149"/>
      <c r="K8" s="635" t="s">
        <v>466</v>
      </c>
      <c r="L8" s="631"/>
    </row>
    <row r="9" spans="1:25" ht="14.5" customHeight="1" x14ac:dyDescent="0.35">
      <c r="A9" s="654" t="s">
        <v>467</v>
      </c>
      <c r="B9" s="655"/>
      <c r="C9" s="656">
        <v>45347</v>
      </c>
      <c r="D9" s="657"/>
      <c r="E9" s="658"/>
      <c r="F9" s="658"/>
      <c r="G9" s="651" t="s">
        <v>243</v>
      </c>
      <c r="H9" s="652"/>
      <c r="I9" s="652"/>
      <c r="J9" s="653"/>
      <c r="K9" s="654" t="s">
        <v>245</v>
      </c>
      <c r="L9" s="655"/>
    </row>
    <row r="10" spans="1:25" x14ac:dyDescent="0.35">
      <c r="A10" s="635" t="s">
        <v>468</v>
      </c>
      <c r="B10" s="630"/>
      <c r="C10" s="630"/>
      <c r="D10" s="630"/>
      <c r="E10" s="630"/>
      <c r="F10" s="630"/>
      <c r="G10" s="630"/>
      <c r="H10" s="630"/>
      <c r="I10" s="630"/>
      <c r="J10" s="630"/>
      <c r="K10" s="630"/>
      <c r="L10" s="631"/>
    </row>
    <row r="11" spans="1:25" x14ac:dyDescent="0.35">
      <c r="A11" s="131" t="s">
        <v>256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5"/>
    </row>
    <row r="12" spans="1:25" ht="31.5" customHeight="1" x14ac:dyDescent="0.35">
      <c r="A12" s="141" t="s">
        <v>469</v>
      </c>
      <c r="B12" s="642" t="s">
        <v>470</v>
      </c>
      <c r="C12" s="643"/>
      <c r="D12" s="643"/>
      <c r="E12" s="644"/>
      <c r="F12" s="142" t="s">
        <v>471</v>
      </c>
      <c r="G12" s="141" t="s">
        <v>472</v>
      </c>
      <c r="H12" s="141" t="s">
        <v>473</v>
      </c>
      <c r="I12" s="141" t="s">
        <v>474</v>
      </c>
      <c r="J12" s="141" t="s">
        <v>1113</v>
      </c>
      <c r="K12" s="141" t="s">
        <v>475</v>
      </c>
      <c r="L12" s="141" t="s">
        <v>476</v>
      </c>
    </row>
    <row r="13" spans="1:25" ht="13" customHeight="1" x14ac:dyDescent="0.35">
      <c r="A13" s="262"/>
      <c r="B13" s="217" t="s">
        <v>1052</v>
      </c>
      <c r="C13" s="263"/>
      <c r="D13" s="263"/>
      <c r="E13" s="264"/>
      <c r="F13" s="265"/>
      <c r="G13" s="266"/>
      <c r="H13" s="267"/>
      <c r="I13" s="266"/>
      <c r="J13" s="316"/>
      <c r="K13" s="267"/>
      <c r="L13" s="326"/>
      <c r="O13" s="129"/>
    </row>
    <row r="14" spans="1:25" ht="14.5" x14ac:dyDescent="0.35">
      <c r="A14" s="256" t="str">
        <f t="array" ref="A14">IFERROR(INDEX(productsSku, SMALL(IF(productsQty&lt;&gt;0, ROW(productsQty)-ROW('BHPC MANAGER'!$CD$10)+1), ROW(M1))), "")</f>
        <v/>
      </c>
      <c r="B14" s="257" t="str">
        <f t="array" ref="B14">IFERROR(INDEX(productsDescription, SMALL(IF(productsQty&lt;&gt;0, ROW(productsQty)-ROW('BHPC MANAGER'!$CD$10)+1), ROW(M1))), "")</f>
        <v/>
      </c>
      <c r="C14" s="258"/>
      <c r="D14" s="258"/>
      <c r="E14" s="259"/>
      <c r="F14" s="260" t="str">
        <f t="shared" ref="F14:F39" si="0">IF(A14="","","PC")</f>
        <v/>
      </c>
      <c r="G14" s="260" t="str">
        <f t="array" ref="G14">IFERROR(INDEX(productsQty, SMALL(IF(productsQty&lt;&gt;0, ROW(productsQty)-ROW('BHPC MANAGER'!$CD$10)+1), ROW(M1))), "")</f>
        <v/>
      </c>
      <c r="H14" s="261" t="str">
        <f t="array" ref="H14">IFERROR(INDEX(productsSalePrice, SMALL(IF(productsQty&lt;&gt;0, ROW(productsQty)-ROW('BHPC MANAGER'!$CD$10)+1), ROW(M1))), "")</f>
        <v/>
      </c>
      <c r="I14" s="260" t="str">
        <f t="array" ref="I14">IFERROR(INDEX(productsCartons, SMALL(IF(productsQty&lt;&gt;0, ROW(productsQty)-ROW('BHPC MANAGER'!$CD$10)+1), ROW(M1))), "")</f>
        <v/>
      </c>
      <c r="J14" s="317"/>
      <c r="K14" s="261" t="str">
        <f t="shared" ref="K14:K39" si="1">IF(A14="","",G14*H14)</f>
        <v/>
      </c>
      <c r="L14" s="312" t="str">
        <f t="shared" ref="L14:L39" si="2">IF(A14="","",$C$69)</f>
        <v/>
      </c>
      <c r="O14" s="126"/>
      <c r="T14" s="61"/>
      <c r="U14" s="61"/>
      <c r="V14" s="145"/>
      <c r="W14" s="61"/>
      <c r="X14" s="145"/>
      <c r="Y14" s="61"/>
    </row>
    <row r="15" spans="1:25" ht="14.5" x14ac:dyDescent="0.35">
      <c r="A15" s="256" t="str">
        <f t="array" ref="A15">IFERROR(INDEX(productsSku, SMALL(IF(productsQty&lt;&gt;0, ROW(productsQty)-ROW('BHPC MANAGER'!$CD$10)+1), ROW(M2))), "")</f>
        <v/>
      </c>
      <c r="B15" s="257" t="str">
        <f t="array" ref="B15">IFERROR(INDEX(productsDescription, SMALL(IF(productsQty&lt;&gt;0, ROW(productsQty)-ROW('BHPC MANAGER'!$CD$10)+1), ROW(M2))), "")</f>
        <v/>
      </c>
      <c r="C15" s="258"/>
      <c r="D15" s="258"/>
      <c r="E15" s="259"/>
      <c r="F15" s="260" t="str">
        <f t="shared" si="0"/>
        <v/>
      </c>
      <c r="G15" s="260" t="str">
        <f t="array" ref="G15">IFERROR(INDEX(productsQty, SMALL(IF(productsQty&lt;&gt;0, ROW(productsQty)-ROW('BHPC MANAGER'!$CD$10)+1), ROW(M2))), "")</f>
        <v/>
      </c>
      <c r="H15" s="261" t="str">
        <f t="array" ref="H15">IFERROR(INDEX(productsSalePrice, SMALL(IF(productsQty&lt;&gt;0, ROW(productsQty)-ROW('BHPC MANAGER'!$CD$10)+1), ROW(M2))), "")</f>
        <v/>
      </c>
      <c r="I15" s="260" t="str">
        <f t="array" ref="I15">IFERROR(INDEX(productsCartons, SMALL(IF(productsQty&lt;&gt;0, ROW(productsQty)-ROW('BHPC MANAGER'!$CD$10)+1), ROW(M2))), "")</f>
        <v/>
      </c>
      <c r="J15" s="317"/>
      <c r="K15" s="261" t="str">
        <f t="shared" si="1"/>
        <v/>
      </c>
      <c r="L15" s="312" t="str">
        <f t="shared" si="2"/>
        <v/>
      </c>
      <c r="O15" s="129"/>
    </row>
    <row r="16" spans="1:25" ht="14.5" x14ac:dyDescent="0.35">
      <c r="A16" s="256" t="str">
        <f t="array" ref="A16">IFERROR(INDEX(productsSku, SMALL(IF(productsQty&lt;&gt;0, ROW(productsQty)-ROW('BHPC MANAGER'!$CD$10)+1), ROW(M3))), "")</f>
        <v/>
      </c>
      <c r="B16" s="257" t="str">
        <f t="array" ref="B16">IFERROR(INDEX(productsDescription, SMALL(IF(productsQty&lt;&gt;0, ROW(productsQty)-ROW('BHPC MANAGER'!$CD$10)+1), ROW(M3))), "")</f>
        <v/>
      </c>
      <c r="C16" s="258"/>
      <c r="D16" s="258"/>
      <c r="E16" s="259"/>
      <c r="F16" s="260" t="str">
        <f t="shared" si="0"/>
        <v/>
      </c>
      <c r="G16" s="260" t="str">
        <f t="array" ref="G16">IFERROR(INDEX(productsQty, SMALL(IF(productsQty&lt;&gt;0, ROW(productsQty)-ROW('BHPC MANAGER'!$CD$10)+1), ROW(M3))), "")</f>
        <v/>
      </c>
      <c r="H16" s="261" t="str">
        <f t="array" ref="H16">IFERROR(INDEX(productsSalePrice, SMALL(IF(productsQty&lt;&gt;0, ROW(productsQty)-ROW('BHPC MANAGER'!$CD$10)+1), ROW(M3))), "")</f>
        <v/>
      </c>
      <c r="I16" s="260" t="str">
        <f t="array" ref="I16">IFERROR(INDEX(productsCartons, SMALL(IF(productsQty&lt;&gt;0, ROW(productsQty)-ROW('BHPC MANAGER'!$CD$10)+1), ROW(M3))), "")</f>
        <v/>
      </c>
      <c r="J16" s="317"/>
      <c r="K16" s="261" t="str">
        <f t="shared" si="1"/>
        <v/>
      </c>
      <c r="L16" s="312" t="str">
        <f t="shared" si="2"/>
        <v/>
      </c>
      <c r="O16" s="126"/>
      <c r="T16" s="61"/>
      <c r="U16" s="61"/>
      <c r="V16" s="145"/>
      <c r="W16" s="61"/>
      <c r="X16" s="145"/>
      <c r="Y16" s="61"/>
    </row>
    <row r="17" spans="1:25" ht="14.5" x14ac:dyDescent="0.35">
      <c r="A17" s="256" t="str">
        <f t="array" ref="A17">IFERROR(INDEX(productsSku, SMALL(IF(productsQty&lt;&gt;0, ROW(productsQty)-ROW('BHPC MANAGER'!$CD$10)+1), ROW(M4))), "")</f>
        <v/>
      </c>
      <c r="B17" s="257" t="str">
        <f t="array" ref="B17">IFERROR(INDEX(productsDescription, SMALL(IF(productsQty&lt;&gt;0, ROW(productsQty)-ROW('BHPC MANAGER'!$CD$10)+1), ROW(M4))), "")</f>
        <v/>
      </c>
      <c r="C17" s="258"/>
      <c r="D17" s="258"/>
      <c r="E17" s="259"/>
      <c r="F17" s="260" t="str">
        <f t="shared" si="0"/>
        <v/>
      </c>
      <c r="G17" s="260" t="str">
        <f t="array" ref="G17">IFERROR(INDEX(productsQty, SMALL(IF(productsQty&lt;&gt;0, ROW(productsQty)-ROW('BHPC MANAGER'!$CD$10)+1), ROW(M4))), "")</f>
        <v/>
      </c>
      <c r="H17" s="261" t="str">
        <f t="array" ref="H17">IFERROR(INDEX(productsSalePrice, SMALL(IF(productsQty&lt;&gt;0, ROW(productsQty)-ROW('BHPC MANAGER'!$CD$10)+1), ROW(M4))), "")</f>
        <v/>
      </c>
      <c r="I17" s="260" t="str">
        <f t="array" ref="I17">IFERROR(INDEX(productsCartons, SMALL(IF(productsQty&lt;&gt;0, ROW(productsQty)-ROW('BHPC MANAGER'!$CD$10)+1), ROW(M4))), "")</f>
        <v/>
      </c>
      <c r="J17" s="317"/>
      <c r="K17" s="261" t="str">
        <f t="shared" si="1"/>
        <v/>
      </c>
      <c r="L17" s="312" t="str">
        <f t="shared" si="2"/>
        <v/>
      </c>
      <c r="O17" s="129"/>
    </row>
    <row r="18" spans="1:25" ht="14.5" x14ac:dyDescent="0.35">
      <c r="A18" s="256" t="str">
        <f t="array" ref="A18">IFERROR(INDEX(productsSku, SMALL(IF(productsQty&lt;&gt;0, ROW(productsQty)-ROW('BHPC MANAGER'!$CD$10)+1), ROW(M5))), "")</f>
        <v/>
      </c>
      <c r="B18" s="257" t="str">
        <f t="array" ref="B18">IFERROR(INDEX(productsDescription, SMALL(IF(productsQty&lt;&gt;0, ROW(productsQty)-ROW('BHPC MANAGER'!$CD$10)+1), ROW(M5))), "")</f>
        <v/>
      </c>
      <c r="C18" s="258"/>
      <c r="D18" s="258"/>
      <c r="E18" s="259"/>
      <c r="F18" s="260" t="str">
        <f t="shared" si="0"/>
        <v/>
      </c>
      <c r="G18" s="260" t="str">
        <f t="array" ref="G18">IFERROR(INDEX(productsQty, SMALL(IF(productsQty&lt;&gt;0, ROW(productsQty)-ROW('BHPC MANAGER'!$CD$10)+1), ROW(M5))), "")</f>
        <v/>
      </c>
      <c r="H18" s="261" t="str">
        <f t="array" ref="H18">IFERROR(INDEX(productsSalePrice, SMALL(IF(productsQty&lt;&gt;0, ROW(productsQty)-ROW('BHPC MANAGER'!$CD$10)+1), ROW(M5))), "")</f>
        <v/>
      </c>
      <c r="I18" s="260" t="str">
        <f t="array" ref="I18">IFERROR(INDEX(productsCartons, SMALL(IF(productsQty&lt;&gt;0, ROW(productsQty)-ROW('BHPC MANAGER'!$CD$10)+1), ROW(M5))), "")</f>
        <v/>
      </c>
      <c r="J18" s="317"/>
      <c r="K18" s="261" t="str">
        <f t="shared" si="1"/>
        <v/>
      </c>
      <c r="L18" s="312" t="str">
        <f t="shared" si="2"/>
        <v/>
      </c>
      <c r="O18" s="126"/>
      <c r="T18" s="61"/>
      <c r="U18" s="61"/>
      <c r="V18" s="145"/>
      <c r="W18" s="61"/>
      <c r="X18" s="145"/>
      <c r="Y18" s="61"/>
    </row>
    <row r="19" spans="1:25" ht="14.5" x14ac:dyDescent="0.35">
      <c r="A19" s="256" t="str">
        <f t="array" ref="A19">IFERROR(INDEX(productsSku, SMALL(IF(productsQty&lt;&gt;0, ROW(productsQty)-ROW('BHPC MANAGER'!$CD$10)+1), ROW(M6))), "")</f>
        <v/>
      </c>
      <c r="B19" s="257" t="str">
        <f t="array" ref="B19">IFERROR(INDEX(productsDescription, SMALL(IF(productsQty&lt;&gt;0, ROW(productsQty)-ROW('BHPC MANAGER'!$CD$10)+1), ROW(M6))), "")</f>
        <v/>
      </c>
      <c r="C19" s="258"/>
      <c r="D19" s="258"/>
      <c r="E19" s="259"/>
      <c r="F19" s="260" t="str">
        <f t="shared" si="0"/>
        <v/>
      </c>
      <c r="G19" s="260" t="str">
        <f t="array" ref="G19">IFERROR(INDEX(productsQty, SMALL(IF(productsQty&lt;&gt;0, ROW(productsQty)-ROW('BHPC MANAGER'!$CD$10)+1), ROW(M6))), "")</f>
        <v/>
      </c>
      <c r="H19" s="261" t="str">
        <f t="array" ref="H19">IFERROR(INDEX(productsSalePrice, SMALL(IF(productsQty&lt;&gt;0, ROW(productsQty)-ROW('BHPC MANAGER'!$CD$10)+1), ROW(M6))), "")</f>
        <v/>
      </c>
      <c r="I19" s="260" t="str">
        <f t="array" ref="I19">IFERROR(INDEX(productsCartons, SMALL(IF(productsQty&lt;&gt;0, ROW(productsQty)-ROW('BHPC MANAGER'!$CD$10)+1), ROW(M6))), "")</f>
        <v/>
      </c>
      <c r="J19" s="317"/>
      <c r="K19" s="261" t="str">
        <f t="shared" si="1"/>
        <v/>
      </c>
      <c r="L19" s="312" t="str">
        <f t="shared" si="2"/>
        <v/>
      </c>
    </row>
    <row r="20" spans="1:25" ht="14.5" x14ac:dyDescent="0.35">
      <c r="A20" s="256" t="str">
        <f t="array" ref="A20">IFERROR(INDEX(productsSku, SMALL(IF(productsQty&lt;&gt;0, ROW(productsQty)-ROW('BHPC MANAGER'!$CD$10)+1), ROW(M7))), "")</f>
        <v/>
      </c>
      <c r="B20" s="257" t="str">
        <f t="array" ref="B20">IFERROR(INDEX(productsDescription, SMALL(IF(productsQty&lt;&gt;0, ROW(productsQty)-ROW('BHPC MANAGER'!$CD$10)+1), ROW(M7))), "")</f>
        <v/>
      </c>
      <c r="C20" s="258"/>
      <c r="D20" s="258"/>
      <c r="E20" s="259"/>
      <c r="F20" s="260" t="str">
        <f t="shared" si="0"/>
        <v/>
      </c>
      <c r="G20" s="260" t="str">
        <f t="array" ref="G20">IFERROR(INDEX(productsQty, SMALL(IF(productsQty&lt;&gt;0, ROW(productsQty)-ROW('BHPC MANAGER'!$CD$10)+1), ROW(M7))), "")</f>
        <v/>
      </c>
      <c r="H20" s="261" t="str">
        <f t="array" ref="H20">IFERROR(INDEX(productsSalePrice, SMALL(IF(productsQty&lt;&gt;0, ROW(productsQty)-ROW('BHPC MANAGER'!$CD$10)+1), ROW(M7))), "")</f>
        <v/>
      </c>
      <c r="I20" s="260" t="str">
        <f t="array" ref="I20">IFERROR(INDEX(productsCartons, SMALL(IF(productsQty&lt;&gt;0, ROW(productsQty)-ROW('BHPC MANAGER'!$CD$10)+1), ROW(M7))), "")</f>
        <v/>
      </c>
      <c r="J20" s="317"/>
      <c r="K20" s="261" t="str">
        <f t="shared" si="1"/>
        <v/>
      </c>
      <c r="L20" s="312" t="str">
        <f t="shared" si="2"/>
        <v/>
      </c>
    </row>
    <row r="21" spans="1:25" ht="14.5" x14ac:dyDescent="0.35">
      <c r="A21" s="256" t="str">
        <f t="array" ref="A21">IFERROR(INDEX(productsSku, SMALL(IF(productsQty&lt;&gt;0, ROW(productsQty)-ROW('BHPC MANAGER'!$CD$10)+1), ROW(M8))), "")</f>
        <v/>
      </c>
      <c r="B21" s="257" t="str">
        <f t="array" ref="B21">IFERROR(INDEX(productsDescription, SMALL(IF(productsQty&lt;&gt;0, ROW(productsQty)-ROW('BHPC MANAGER'!$CD$10)+1), ROW(M8))), "")</f>
        <v/>
      </c>
      <c r="C21" s="258"/>
      <c r="D21" s="258"/>
      <c r="E21" s="259"/>
      <c r="F21" s="260" t="str">
        <f t="shared" si="0"/>
        <v/>
      </c>
      <c r="G21" s="260" t="str">
        <f t="array" ref="G21">IFERROR(INDEX(productsQty, SMALL(IF(productsQty&lt;&gt;0, ROW(productsQty)-ROW('BHPC MANAGER'!$CD$10)+1), ROW(M8))), "")</f>
        <v/>
      </c>
      <c r="H21" s="261" t="str">
        <f t="array" ref="H21">IFERROR(INDEX(productsSalePrice, SMALL(IF(productsQty&lt;&gt;0, ROW(productsQty)-ROW('BHPC MANAGER'!$CD$10)+1), ROW(M8))), "")</f>
        <v/>
      </c>
      <c r="I21" s="260" t="str">
        <f t="array" ref="I21">IFERROR(INDEX(productsCartons, SMALL(IF(productsQty&lt;&gt;0, ROW(productsQty)-ROW('BHPC MANAGER'!$CD$10)+1), ROW(M8))), "")</f>
        <v/>
      </c>
      <c r="J21" s="317"/>
      <c r="K21" s="261" t="str">
        <f t="shared" si="1"/>
        <v/>
      </c>
      <c r="L21" s="312" t="str">
        <f t="shared" si="2"/>
        <v/>
      </c>
    </row>
    <row r="22" spans="1:25" ht="14.5" x14ac:dyDescent="0.35">
      <c r="A22" s="256" t="str">
        <f t="array" ref="A22">IFERROR(INDEX(productsSku, SMALL(IF(productsQty&lt;&gt;0, ROW(productsQty)-ROW('BHPC MANAGER'!$CD$10)+1), ROW(M9))), "")</f>
        <v/>
      </c>
      <c r="B22" s="257" t="str">
        <f t="array" ref="B22">IFERROR(INDEX(productsDescription, SMALL(IF(productsQty&lt;&gt;0, ROW(productsQty)-ROW('BHPC MANAGER'!$CD$10)+1), ROW(M9))), "")</f>
        <v/>
      </c>
      <c r="C22" s="258"/>
      <c r="D22" s="258"/>
      <c r="E22" s="259"/>
      <c r="F22" s="260" t="str">
        <f t="shared" si="0"/>
        <v/>
      </c>
      <c r="G22" s="260" t="str">
        <f t="array" ref="G22">IFERROR(INDEX(productsQty, SMALL(IF(productsQty&lt;&gt;0, ROW(productsQty)-ROW('BHPC MANAGER'!$CD$10)+1), ROW(M9))), "")</f>
        <v/>
      </c>
      <c r="H22" s="261" t="str">
        <f t="array" ref="H22">IFERROR(INDEX(productsSalePrice, SMALL(IF(productsQty&lt;&gt;0, ROW(productsQty)-ROW('BHPC MANAGER'!$CD$10)+1), ROW(M9))), "")</f>
        <v/>
      </c>
      <c r="I22" s="260" t="str">
        <f t="array" ref="I22">IFERROR(INDEX(productsCartons, SMALL(IF(productsQty&lt;&gt;0, ROW(productsQty)-ROW('BHPC MANAGER'!$CD$10)+1), ROW(M9))), "")</f>
        <v/>
      </c>
      <c r="J22" s="317"/>
      <c r="K22" s="261" t="str">
        <f t="shared" si="1"/>
        <v/>
      </c>
      <c r="L22" s="312" t="str">
        <f t="shared" si="2"/>
        <v/>
      </c>
    </row>
    <row r="23" spans="1:25" ht="14.5" x14ac:dyDescent="0.35">
      <c r="A23" s="256" t="str">
        <f t="array" ref="A23">IFERROR(INDEX(productsSku, SMALL(IF(productsQty&lt;&gt;0, ROW(productsQty)-ROW('BHPC MANAGER'!$CD$10)+1), ROW(M10))), "")</f>
        <v/>
      </c>
      <c r="B23" s="257" t="str">
        <f t="array" ref="B23">IFERROR(INDEX(productsDescription, SMALL(IF(productsQty&lt;&gt;0, ROW(productsQty)-ROW('BHPC MANAGER'!$CD$10)+1), ROW(M10))), "")</f>
        <v/>
      </c>
      <c r="C23" s="258"/>
      <c r="D23" s="258"/>
      <c r="E23" s="259"/>
      <c r="F23" s="260" t="str">
        <f t="shared" si="0"/>
        <v/>
      </c>
      <c r="G23" s="260" t="str">
        <f t="array" ref="G23">IFERROR(INDEX(productsQty, SMALL(IF(productsQty&lt;&gt;0, ROW(productsQty)-ROW('BHPC MANAGER'!$CD$10)+1), ROW(M10))), "")</f>
        <v/>
      </c>
      <c r="H23" s="261" t="str">
        <f t="array" ref="H23">IFERROR(INDEX(productsSalePrice, SMALL(IF(productsQty&lt;&gt;0, ROW(productsQty)-ROW('BHPC MANAGER'!$CD$10)+1), ROW(M10))), "")</f>
        <v/>
      </c>
      <c r="I23" s="260" t="str">
        <f t="array" ref="I23">IFERROR(INDEX(productsCartons, SMALL(IF(productsQty&lt;&gt;0, ROW(productsQty)-ROW('BHPC MANAGER'!$CD$10)+1), ROW(M10))), "")</f>
        <v/>
      </c>
      <c r="J23" s="317"/>
      <c r="K23" s="261" t="str">
        <f t="shared" si="1"/>
        <v/>
      </c>
      <c r="L23" s="312" t="str">
        <f t="shared" si="2"/>
        <v/>
      </c>
    </row>
    <row r="24" spans="1:25" ht="14.5" x14ac:dyDescent="0.35">
      <c r="A24" s="256" t="str">
        <f t="array" ref="A24">IFERROR(INDEX(productsSku, SMALL(IF(productsQty&lt;&gt;0, ROW(productsQty)-ROW('BHPC MANAGER'!$CD$10)+1), ROW(M11))), "")</f>
        <v/>
      </c>
      <c r="B24" s="257" t="str">
        <f t="array" ref="B24">IFERROR(INDEX(productsDescription, SMALL(IF(productsQty&lt;&gt;0, ROW(productsQty)-ROW('BHPC MANAGER'!$CD$10)+1), ROW(M11))), "")</f>
        <v/>
      </c>
      <c r="C24" s="258"/>
      <c r="D24" s="258"/>
      <c r="E24" s="259"/>
      <c r="F24" s="260" t="str">
        <f t="shared" si="0"/>
        <v/>
      </c>
      <c r="G24" s="260" t="str">
        <f t="array" ref="G24">IFERROR(INDEX(productsQty, SMALL(IF(productsQty&lt;&gt;0, ROW(productsQty)-ROW('BHPC MANAGER'!$CD$10)+1), ROW(M11))), "")</f>
        <v/>
      </c>
      <c r="H24" s="261" t="str">
        <f t="array" ref="H24">IFERROR(INDEX(productsSalePrice, SMALL(IF(productsQty&lt;&gt;0, ROW(productsQty)-ROW('BHPC MANAGER'!$CD$10)+1), ROW(M11))), "")</f>
        <v/>
      </c>
      <c r="I24" s="260" t="str">
        <f t="array" ref="I24">IFERROR(INDEX(productsCartons, SMALL(IF(productsQty&lt;&gt;0, ROW(productsQty)-ROW('BHPC MANAGER'!$CD$10)+1), ROW(M11))), "")</f>
        <v/>
      </c>
      <c r="J24" s="317"/>
      <c r="K24" s="261" t="str">
        <f t="shared" si="1"/>
        <v/>
      </c>
      <c r="L24" s="312" t="str">
        <f t="shared" si="2"/>
        <v/>
      </c>
    </row>
    <row r="25" spans="1:25" ht="14.5" x14ac:dyDescent="0.35">
      <c r="A25" s="256" t="str">
        <f t="array" ref="A25">IFERROR(INDEX(productsSku, SMALL(IF(productsQty&lt;&gt;0, ROW(productsQty)-ROW('BHPC MANAGER'!$CD$10)+1), ROW(M12))), "")</f>
        <v/>
      </c>
      <c r="B25" s="257" t="str">
        <f t="array" ref="B25">IFERROR(INDEX(productsDescription, SMALL(IF(productsQty&lt;&gt;0, ROW(productsQty)-ROW('BHPC MANAGER'!$CD$10)+1), ROW(M12))), "")</f>
        <v/>
      </c>
      <c r="C25" s="258"/>
      <c r="D25" s="258"/>
      <c r="E25" s="259"/>
      <c r="F25" s="260" t="str">
        <f t="shared" si="0"/>
        <v/>
      </c>
      <c r="G25" s="260" t="str">
        <f t="array" ref="G25">IFERROR(INDEX(productsQty, SMALL(IF(productsQty&lt;&gt;0, ROW(productsQty)-ROW('BHPC MANAGER'!$CD$10)+1), ROW(M12))), "")</f>
        <v/>
      </c>
      <c r="H25" s="261" t="str">
        <f t="array" ref="H25">IFERROR(INDEX(productsSalePrice, SMALL(IF(productsQty&lt;&gt;0, ROW(productsQty)-ROW('BHPC MANAGER'!$CD$10)+1), ROW(M12))), "")</f>
        <v/>
      </c>
      <c r="I25" s="260" t="str">
        <f t="array" ref="I25">IFERROR(INDEX(productsCartons, SMALL(IF(productsQty&lt;&gt;0, ROW(productsQty)-ROW('BHPC MANAGER'!$CD$10)+1), ROW(M12))), "")</f>
        <v/>
      </c>
      <c r="J25" s="317"/>
      <c r="K25" s="261" t="str">
        <f t="shared" si="1"/>
        <v/>
      </c>
      <c r="L25" s="312" t="str">
        <f t="shared" si="2"/>
        <v/>
      </c>
    </row>
    <row r="26" spans="1:25" ht="14.5" x14ac:dyDescent="0.35">
      <c r="A26" s="256" t="str">
        <f t="array" ref="A26">IFERROR(INDEX(productsSku, SMALL(IF(productsQty&lt;&gt;0, ROW(productsQty)-ROW('BHPC MANAGER'!$CD$10)+1), ROW(M13))), "")</f>
        <v/>
      </c>
      <c r="B26" s="257" t="str">
        <f t="array" ref="B26">IFERROR(INDEX(productsDescription, SMALL(IF(productsQty&lt;&gt;0, ROW(productsQty)-ROW('BHPC MANAGER'!$CD$10)+1), ROW(M13))), "")</f>
        <v/>
      </c>
      <c r="C26" s="258"/>
      <c r="D26" s="258"/>
      <c r="E26" s="259"/>
      <c r="F26" s="260" t="str">
        <f t="shared" si="0"/>
        <v/>
      </c>
      <c r="G26" s="260" t="str">
        <f t="array" ref="G26">IFERROR(INDEX(productsQty, SMALL(IF(productsQty&lt;&gt;0, ROW(productsQty)-ROW('BHPC MANAGER'!$CD$10)+1), ROW(M13))), "")</f>
        <v/>
      </c>
      <c r="H26" s="261" t="str">
        <f t="array" ref="H26">IFERROR(INDEX(productsSalePrice, SMALL(IF(productsQty&lt;&gt;0, ROW(productsQty)-ROW('BHPC MANAGER'!$CD$10)+1), ROW(M13))), "")</f>
        <v/>
      </c>
      <c r="I26" s="260" t="str">
        <f t="array" ref="I26">IFERROR(INDEX(productsCartons, SMALL(IF(productsQty&lt;&gt;0, ROW(productsQty)-ROW('BHPC MANAGER'!$CD$10)+1), ROW(M13))), "")</f>
        <v/>
      </c>
      <c r="J26" s="317"/>
      <c r="K26" s="261" t="str">
        <f t="shared" si="1"/>
        <v/>
      </c>
      <c r="L26" s="312" t="str">
        <f t="shared" si="2"/>
        <v/>
      </c>
    </row>
    <row r="27" spans="1:25" ht="14.5" x14ac:dyDescent="0.35">
      <c r="A27" s="256" t="str">
        <f t="array" ref="A27">IFERROR(INDEX(productsSku, SMALL(IF(productsQty&lt;&gt;0, ROW(productsQty)-ROW('BHPC MANAGER'!$CD$10)+1), ROW(M14))), "")</f>
        <v/>
      </c>
      <c r="B27" s="257" t="str">
        <f t="array" ref="B27">IFERROR(INDEX(productsDescription, SMALL(IF(productsQty&lt;&gt;0, ROW(productsQty)-ROW('BHPC MANAGER'!$CD$10)+1), ROW(M14))), "")</f>
        <v/>
      </c>
      <c r="C27" s="258"/>
      <c r="D27" s="258"/>
      <c r="E27" s="259"/>
      <c r="F27" s="260" t="str">
        <f t="shared" si="0"/>
        <v/>
      </c>
      <c r="G27" s="260" t="str">
        <f t="array" ref="G27">IFERROR(INDEX(productsQty, SMALL(IF(productsQty&lt;&gt;0, ROW(productsQty)-ROW('BHPC MANAGER'!$CD$10)+1), ROW(M14))), "")</f>
        <v/>
      </c>
      <c r="H27" s="261" t="str">
        <f t="array" ref="H27">IFERROR(INDEX(productsSalePrice, SMALL(IF(productsQty&lt;&gt;0, ROW(productsQty)-ROW('BHPC MANAGER'!$CD$10)+1), ROW(M14))), "")</f>
        <v/>
      </c>
      <c r="I27" s="260" t="str">
        <f t="array" ref="I27">IFERROR(INDEX(productsCartons, SMALL(IF(productsQty&lt;&gt;0, ROW(productsQty)-ROW('BHPC MANAGER'!$CD$10)+1), ROW(M14))), "")</f>
        <v/>
      </c>
      <c r="J27" s="317"/>
      <c r="K27" s="261" t="str">
        <f t="shared" si="1"/>
        <v/>
      </c>
      <c r="L27" s="312" t="str">
        <f t="shared" si="2"/>
        <v/>
      </c>
    </row>
    <row r="28" spans="1:25" ht="14.5" x14ac:dyDescent="0.35">
      <c r="A28" s="256" t="str">
        <f t="array" ref="A28">IFERROR(INDEX(productsSku, SMALL(IF(productsQty&lt;&gt;0, ROW(productsQty)-ROW('BHPC MANAGER'!$CD$10)+1), ROW(M15))), "")</f>
        <v/>
      </c>
      <c r="B28" s="257" t="str">
        <f t="array" ref="B28">IFERROR(INDEX(productsDescription, SMALL(IF(productsQty&lt;&gt;0, ROW(productsQty)-ROW('BHPC MANAGER'!$CD$10)+1), ROW(M15))), "")</f>
        <v/>
      </c>
      <c r="C28" s="258"/>
      <c r="D28" s="258"/>
      <c r="E28" s="259"/>
      <c r="F28" s="260" t="str">
        <f t="shared" si="0"/>
        <v/>
      </c>
      <c r="G28" s="260" t="str">
        <f t="array" ref="G28">IFERROR(INDEX(productsQty, SMALL(IF(productsQty&lt;&gt;0, ROW(productsQty)-ROW('BHPC MANAGER'!$CD$10)+1), ROW(M15))), "")</f>
        <v/>
      </c>
      <c r="H28" s="261" t="str">
        <f t="array" ref="H28">IFERROR(INDEX(productsSalePrice, SMALL(IF(productsQty&lt;&gt;0, ROW(productsQty)-ROW('BHPC MANAGER'!$CD$10)+1), ROW(M15))), "")</f>
        <v/>
      </c>
      <c r="I28" s="260" t="str">
        <f t="array" ref="I28">IFERROR(INDEX(productsCartons, SMALL(IF(productsQty&lt;&gt;0, ROW(productsQty)-ROW('BHPC MANAGER'!$CD$10)+1), ROW(M15))), "")</f>
        <v/>
      </c>
      <c r="J28" s="317"/>
      <c r="K28" s="261" t="str">
        <f t="shared" si="1"/>
        <v/>
      </c>
      <c r="L28" s="312" t="str">
        <f t="shared" si="2"/>
        <v/>
      </c>
    </row>
    <row r="29" spans="1:25" ht="14.5" x14ac:dyDescent="0.35">
      <c r="A29" s="256" t="str">
        <f t="array" ref="A29">IFERROR(INDEX(productsSku, SMALL(IF(productsQty&lt;&gt;0, ROW(productsQty)-ROW('BHPC MANAGER'!$CD$10)+1), ROW(M16))), "")</f>
        <v/>
      </c>
      <c r="B29" s="257" t="str">
        <f t="array" ref="B29">IFERROR(INDEX(productsDescription, SMALL(IF(productsQty&lt;&gt;0, ROW(productsQty)-ROW('BHPC MANAGER'!$CD$10)+1), ROW(M16))), "")</f>
        <v/>
      </c>
      <c r="C29" s="258"/>
      <c r="D29" s="258"/>
      <c r="E29" s="259"/>
      <c r="F29" s="260" t="str">
        <f t="shared" si="0"/>
        <v/>
      </c>
      <c r="G29" s="260" t="str">
        <f t="array" ref="G29">IFERROR(INDEX(productsQty, SMALL(IF(productsQty&lt;&gt;0, ROW(productsQty)-ROW('BHPC MANAGER'!$CD$10)+1), ROW(M16))), "")</f>
        <v/>
      </c>
      <c r="H29" s="261" t="str">
        <f t="array" ref="H29">IFERROR(INDEX(productsSalePrice, SMALL(IF(productsQty&lt;&gt;0, ROW(productsQty)-ROW('BHPC MANAGER'!$CD$10)+1), ROW(M16))), "")</f>
        <v/>
      </c>
      <c r="I29" s="260" t="str">
        <f t="array" ref="I29">IFERROR(INDEX(productsCartons, SMALL(IF(productsQty&lt;&gt;0, ROW(productsQty)-ROW('BHPC MANAGER'!$CD$10)+1), ROW(M16))), "")</f>
        <v/>
      </c>
      <c r="J29" s="317"/>
      <c r="K29" s="261" t="str">
        <f t="shared" si="1"/>
        <v/>
      </c>
      <c r="L29" s="312" t="str">
        <f t="shared" si="2"/>
        <v/>
      </c>
    </row>
    <row r="30" spans="1:25" ht="14.5" x14ac:dyDescent="0.35">
      <c r="A30" s="256" t="str">
        <f t="array" ref="A30">IFERROR(INDEX(productsSku, SMALL(IF(productsQty&lt;&gt;0, ROW(productsQty)-ROW('BHPC MANAGER'!$CD$10)+1), ROW(M17))), "")</f>
        <v/>
      </c>
      <c r="B30" s="257" t="str">
        <f t="array" ref="B30">IFERROR(INDEX(productsDescription, SMALL(IF(productsQty&lt;&gt;0, ROW(productsQty)-ROW('BHPC MANAGER'!$CD$10)+1), ROW(M17))), "")</f>
        <v/>
      </c>
      <c r="C30" s="258"/>
      <c r="D30" s="258"/>
      <c r="E30" s="259"/>
      <c r="F30" s="260" t="str">
        <f t="shared" si="0"/>
        <v/>
      </c>
      <c r="G30" s="260" t="str">
        <f t="array" ref="G30">IFERROR(INDEX(productsQty, SMALL(IF(productsQty&lt;&gt;0, ROW(productsQty)-ROW('BHPC MANAGER'!$CD$10)+1), ROW(M17))), "")</f>
        <v/>
      </c>
      <c r="H30" s="261" t="str">
        <f t="array" ref="H30">IFERROR(INDEX(productsSalePrice, SMALL(IF(productsQty&lt;&gt;0, ROW(productsQty)-ROW('BHPC MANAGER'!$CD$10)+1), ROW(M17))), "")</f>
        <v/>
      </c>
      <c r="I30" s="260" t="str">
        <f t="array" ref="I30">IFERROR(INDEX(productsCartons, SMALL(IF(productsQty&lt;&gt;0, ROW(productsQty)-ROW('BHPC MANAGER'!$CD$10)+1), ROW(M17))), "")</f>
        <v/>
      </c>
      <c r="J30" s="317"/>
      <c r="K30" s="261" t="str">
        <f t="shared" si="1"/>
        <v/>
      </c>
      <c r="L30" s="312" t="str">
        <f t="shared" si="2"/>
        <v/>
      </c>
    </row>
    <row r="31" spans="1:25" ht="14.5" x14ac:dyDescent="0.35">
      <c r="A31" s="256" t="str">
        <f t="array" ref="A31">IFERROR(INDEX(productsSku, SMALL(IF(productsQty&lt;&gt;0, ROW(productsQty)-ROW('BHPC MANAGER'!$CD$10)+1), ROW(M18))), "")</f>
        <v/>
      </c>
      <c r="B31" s="257" t="str">
        <f t="array" ref="B31">IFERROR(INDEX(productsDescription, SMALL(IF(productsQty&lt;&gt;0, ROW(productsQty)-ROW('BHPC MANAGER'!$CD$10)+1), ROW(M18))), "")</f>
        <v/>
      </c>
      <c r="C31" s="258"/>
      <c r="D31" s="258"/>
      <c r="E31" s="259"/>
      <c r="F31" s="260" t="str">
        <f t="shared" si="0"/>
        <v/>
      </c>
      <c r="G31" s="260" t="str">
        <f t="array" ref="G31">IFERROR(INDEX(productsQty, SMALL(IF(productsQty&lt;&gt;0, ROW(productsQty)-ROW('BHPC MANAGER'!$CD$10)+1), ROW(M18))), "")</f>
        <v/>
      </c>
      <c r="H31" s="261" t="str">
        <f t="array" ref="H31">IFERROR(INDEX(productsSalePrice, SMALL(IF(productsQty&lt;&gt;0, ROW(productsQty)-ROW('BHPC MANAGER'!$CD$10)+1), ROW(M18))), "")</f>
        <v/>
      </c>
      <c r="I31" s="260" t="str">
        <f t="array" ref="I31">IFERROR(INDEX(productsCartons, SMALL(IF(productsQty&lt;&gt;0, ROW(productsQty)-ROW('BHPC MANAGER'!$CD$10)+1), ROW(M18))), "")</f>
        <v/>
      </c>
      <c r="J31" s="317"/>
      <c r="K31" s="261" t="str">
        <f t="shared" si="1"/>
        <v/>
      </c>
      <c r="L31" s="312" t="str">
        <f t="shared" si="2"/>
        <v/>
      </c>
    </row>
    <row r="32" spans="1:25" ht="14.5" x14ac:dyDescent="0.35">
      <c r="A32" s="256" t="str">
        <f t="array" ref="A32">IFERROR(INDEX(productsSku, SMALL(IF(productsQty&lt;&gt;0, ROW(productsQty)-ROW('BHPC MANAGER'!$CD$10)+1), ROW(M19))), "")</f>
        <v/>
      </c>
      <c r="B32" s="257" t="str">
        <f t="array" ref="B32">IFERROR(INDEX(productsDescription, SMALL(IF(productsQty&lt;&gt;0, ROW(productsQty)-ROW('BHPC MANAGER'!$CD$10)+1), ROW(M19))), "")</f>
        <v/>
      </c>
      <c r="C32" s="258"/>
      <c r="D32" s="258"/>
      <c r="E32" s="259"/>
      <c r="F32" s="260" t="str">
        <f t="shared" si="0"/>
        <v/>
      </c>
      <c r="G32" s="260" t="str">
        <f t="array" ref="G32">IFERROR(INDEX(productsQty, SMALL(IF(productsQty&lt;&gt;0, ROW(productsQty)-ROW('BHPC MANAGER'!$CD$10)+1), ROW(M19))), "")</f>
        <v/>
      </c>
      <c r="H32" s="261" t="str">
        <f t="array" ref="H32">IFERROR(INDEX(productsSalePrice, SMALL(IF(productsQty&lt;&gt;0, ROW(productsQty)-ROW('BHPC MANAGER'!$CD$10)+1), ROW(M19))), "")</f>
        <v/>
      </c>
      <c r="I32" s="260" t="str">
        <f t="array" ref="I32">IFERROR(INDEX(productsCartons, SMALL(IF(productsQty&lt;&gt;0, ROW(productsQty)-ROW('BHPC MANAGER'!$CD$10)+1), ROW(M19))), "")</f>
        <v/>
      </c>
      <c r="J32" s="317"/>
      <c r="K32" s="261" t="str">
        <f t="shared" si="1"/>
        <v/>
      </c>
      <c r="L32" s="312" t="str">
        <f t="shared" si="2"/>
        <v/>
      </c>
    </row>
    <row r="33" spans="1:12" ht="14.5" x14ac:dyDescent="0.35">
      <c r="A33" s="256" t="str">
        <f t="array" ref="A33">IFERROR(INDEX(productsSku, SMALL(IF(productsQty&lt;&gt;0, ROW(productsQty)-ROW('BHPC MANAGER'!$CD$10)+1), ROW(M20))), "")</f>
        <v/>
      </c>
      <c r="B33" s="257" t="str">
        <f t="array" ref="B33">IFERROR(INDEX(productsDescription, SMALL(IF(productsQty&lt;&gt;0, ROW(productsQty)-ROW('BHPC MANAGER'!$CD$10)+1), ROW(M20))), "")</f>
        <v/>
      </c>
      <c r="C33" s="258"/>
      <c r="D33" s="258"/>
      <c r="E33" s="259"/>
      <c r="F33" s="260" t="str">
        <f t="shared" si="0"/>
        <v/>
      </c>
      <c r="G33" s="260" t="str">
        <f t="array" ref="G33">IFERROR(INDEX(productsQty, SMALL(IF(productsQty&lt;&gt;0, ROW(productsQty)-ROW('BHPC MANAGER'!$CD$10)+1), ROW(M20))), "")</f>
        <v/>
      </c>
      <c r="H33" s="261" t="str">
        <f t="array" ref="H33">IFERROR(INDEX(productsSalePrice, SMALL(IF(productsQty&lt;&gt;0, ROW(productsQty)-ROW('BHPC MANAGER'!$CD$10)+1), ROW(M20))), "")</f>
        <v/>
      </c>
      <c r="I33" s="260" t="str">
        <f t="array" ref="I33">IFERROR(INDEX(productsCartons, SMALL(IF(productsQty&lt;&gt;0, ROW(productsQty)-ROW('BHPC MANAGER'!$CD$10)+1), ROW(M20))), "")</f>
        <v/>
      </c>
      <c r="J33" s="317"/>
      <c r="K33" s="261" t="str">
        <f t="shared" si="1"/>
        <v/>
      </c>
      <c r="L33" s="312" t="str">
        <f t="shared" si="2"/>
        <v/>
      </c>
    </row>
    <row r="34" spans="1:12" ht="14.5" x14ac:dyDescent="0.35">
      <c r="A34" s="256" t="str">
        <f t="array" ref="A34">IFERROR(INDEX(productsSku, SMALL(IF(productsQty&lt;&gt;0, ROW(productsQty)-ROW('BHPC MANAGER'!$CD$10)+1), ROW(M21))), "")</f>
        <v/>
      </c>
      <c r="B34" s="257" t="str">
        <f t="array" ref="B34">IFERROR(INDEX(productsDescription, SMALL(IF(productsQty&lt;&gt;0, ROW(productsQty)-ROW('BHPC MANAGER'!$CD$10)+1), ROW(M21))), "")</f>
        <v/>
      </c>
      <c r="C34" s="258"/>
      <c r="D34" s="258"/>
      <c r="E34" s="259"/>
      <c r="F34" s="260" t="str">
        <f t="shared" si="0"/>
        <v/>
      </c>
      <c r="G34" s="260" t="str">
        <f t="array" ref="G34">IFERROR(INDEX(productsQty, SMALL(IF(productsQty&lt;&gt;0, ROW(productsQty)-ROW('BHPC MANAGER'!$CD$10)+1), ROW(M21))), "")</f>
        <v/>
      </c>
      <c r="H34" s="261" t="str">
        <f t="array" ref="H34">IFERROR(INDEX(productsSalePrice, SMALL(IF(productsQty&lt;&gt;0, ROW(productsQty)-ROW('BHPC MANAGER'!$CD$10)+1), ROW(M21))), "")</f>
        <v/>
      </c>
      <c r="I34" s="260" t="str">
        <f t="array" ref="I34">IFERROR(INDEX(productsCartons, SMALL(IF(productsQty&lt;&gt;0, ROW(productsQty)-ROW('BHPC MANAGER'!$CD$10)+1), ROW(M21))), "")</f>
        <v/>
      </c>
      <c r="J34" s="317"/>
      <c r="K34" s="261" t="str">
        <f t="shared" si="1"/>
        <v/>
      </c>
      <c r="L34" s="312" t="str">
        <f t="shared" si="2"/>
        <v/>
      </c>
    </row>
    <row r="35" spans="1:12" ht="14.5" x14ac:dyDescent="0.35">
      <c r="A35" s="256" t="str">
        <f t="array" ref="A35">IFERROR(INDEX(productsSku, SMALL(IF(productsQty&lt;&gt;0, ROW(productsQty)-ROW('BHPC MANAGER'!$CD$10)+1), ROW(M22))), "")</f>
        <v/>
      </c>
      <c r="B35" s="257" t="str">
        <f t="array" ref="B35">IFERROR(INDEX(productsDescription, SMALL(IF(productsQty&lt;&gt;0, ROW(productsQty)-ROW('BHPC MANAGER'!$CD$10)+1), ROW(M22))), "")</f>
        <v/>
      </c>
      <c r="C35" s="258"/>
      <c r="D35" s="258"/>
      <c r="E35" s="259"/>
      <c r="F35" s="260" t="str">
        <f t="shared" si="0"/>
        <v/>
      </c>
      <c r="G35" s="260" t="str">
        <f t="array" ref="G35">IFERROR(INDEX(productsQty, SMALL(IF(productsQty&lt;&gt;0, ROW(productsQty)-ROW('BHPC MANAGER'!$CD$10)+1), ROW(M22))), "")</f>
        <v/>
      </c>
      <c r="H35" s="261" t="str">
        <f t="array" ref="H35">IFERROR(INDEX(productsSalePrice, SMALL(IF(productsQty&lt;&gt;0, ROW(productsQty)-ROW('BHPC MANAGER'!$CD$10)+1), ROW(M22))), "")</f>
        <v/>
      </c>
      <c r="I35" s="260" t="str">
        <f t="array" ref="I35">IFERROR(INDEX(productsCartons, SMALL(IF(productsQty&lt;&gt;0, ROW(productsQty)-ROW('BHPC MANAGER'!$CD$10)+1), ROW(M22))), "")</f>
        <v/>
      </c>
      <c r="J35" s="317"/>
      <c r="K35" s="261" t="str">
        <f t="shared" si="1"/>
        <v/>
      </c>
      <c r="L35" s="312" t="str">
        <f t="shared" si="2"/>
        <v/>
      </c>
    </row>
    <row r="36" spans="1:12" ht="14.5" x14ac:dyDescent="0.35">
      <c r="A36" s="256" t="str">
        <f t="array" ref="A36">IFERROR(INDEX(productsSku, SMALL(IF(productsQty&lt;&gt;0, ROW(productsQty)-ROW('BHPC MANAGER'!$CD$10)+1), ROW(M23))), "")</f>
        <v/>
      </c>
      <c r="B36" s="257" t="str">
        <f t="array" ref="B36">IFERROR(INDEX(productsDescription, SMALL(IF(productsQty&lt;&gt;0, ROW(productsQty)-ROW('BHPC MANAGER'!$CD$10)+1), ROW(M23))), "")</f>
        <v/>
      </c>
      <c r="C36" s="258"/>
      <c r="D36" s="258"/>
      <c r="E36" s="259"/>
      <c r="F36" s="260" t="str">
        <f t="shared" si="0"/>
        <v/>
      </c>
      <c r="G36" s="260" t="str">
        <f t="array" ref="G36">IFERROR(INDEX(productsQty, SMALL(IF(productsQty&lt;&gt;0, ROW(productsQty)-ROW('BHPC MANAGER'!$CD$10)+1), ROW(M23))), "")</f>
        <v/>
      </c>
      <c r="H36" s="261" t="str">
        <f t="array" ref="H36">IFERROR(INDEX(productsSalePrice, SMALL(IF(productsQty&lt;&gt;0, ROW(productsQty)-ROW('BHPC MANAGER'!$CD$10)+1), ROW(M23))), "")</f>
        <v/>
      </c>
      <c r="I36" s="260" t="str">
        <f t="array" ref="I36">IFERROR(INDEX(productsCartons, SMALL(IF(productsQty&lt;&gt;0, ROW(productsQty)-ROW('BHPC MANAGER'!$CD$10)+1), ROW(M23))), "")</f>
        <v/>
      </c>
      <c r="J36" s="317"/>
      <c r="K36" s="261" t="str">
        <f t="shared" si="1"/>
        <v/>
      </c>
      <c r="L36" s="312" t="str">
        <f t="shared" si="2"/>
        <v/>
      </c>
    </row>
    <row r="37" spans="1:12" ht="14.5" x14ac:dyDescent="0.35">
      <c r="A37" s="256" t="str">
        <f t="array" ref="A37">IFERROR(INDEX(productsSku, SMALL(IF(productsQty&lt;&gt;0, ROW(productsQty)-ROW('BHPC MANAGER'!$CD$10)+1), ROW(M24))), "")</f>
        <v/>
      </c>
      <c r="B37" s="257" t="str">
        <f t="array" ref="B37">IFERROR(INDEX(productsDescription, SMALL(IF(productsQty&lt;&gt;0, ROW(productsQty)-ROW('BHPC MANAGER'!$CD$10)+1), ROW(M24))), "")</f>
        <v/>
      </c>
      <c r="C37" s="258"/>
      <c r="D37" s="258"/>
      <c r="E37" s="259"/>
      <c r="F37" s="260" t="str">
        <f t="shared" si="0"/>
        <v/>
      </c>
      <c r="G37" s="260" t="str">
        <f t="array" ref="G37">IFERROR(INDEX(productsQty, SMALL(IF(productsQty&lt;&gt;0, ROW(productsQty)-ROW('BHPC MANAGER'!$CD$10)+1), ROW(M24))), "")</f>
        <v/>
      </c>
      <c r="H37" s="261" t="str">
        <f t="array" ref="H37">IFERROR(INDEX(productsSalePrice, SMALL(IF(productsQty&lt;&gt;0, ROW(productsQty)-ROW('BHPC MANAGER'!$CD$10)+1), ROW(M24))), "")</f>
        <v/>
      </c>
      <c r="I37" s="260" t="str">
        <f t="array" ref="I37">IFERROR(INDEX(productsCartons, SMALL(IF(productsQty&lt;&gt;0, ROW(productsQty)-ROW('BHPC MANAGER'!$CD$10)+1), ROW(M24))), "")</f>
        <v/>
      </c>
      <c r="J37" s="317"/>
      <c r="K37" s="261" t="str">
        <f t="shared" si="1"/>
        <v/>
      </c>
      <c r="L37" s="312" t="str">
        <f t="shared" si="2"/>
        <v/>
      </c>
    </row>
    <row r="38" spans="1:12" ht="14.5" x14ac:dyDescent="0.35">
      <c r="A38" s="256" t="str">
        <f t="array" ref="A38">IFERROR(INDEX(productsSku, SMALL(IF(productsQty&lt;&gt;0, ROW(productsQty)-ROW('BHPC MANAGER'!$CD$10)+1), ROW(M25))), "")</f>
        <v/>
      </c>
      <c r="B38" s="257" t="str">
        <f t="array" ref="B38">IFERROR(INDEX(productsDescription, SMALL(IF(productsQty&lt;&gt;0, ROW(productsQty)-ROW('BHPC MANAGER'!$CD$10)+1), ROW(M25))), "")</f>
        <v/>
      </c>
      <c r="C38" s="258"/>
      <c r="D38" s="258"/>
      <c r="E38" s="259"/>
      <c r="F38" s="260" t="str">
        <f t="shared" si="0"/>
        <v/>
      </c>
      <c r="G38" s="260" t="str">
        <f t="array" ref="G38">IFERROR(INDEX(productsQty, SMALL(IF(productsQty&lt;&gt;0, ROW(productsQty)-ROW('BHPC MANAGER'!$CD$10)+1), ROW(M25))), "")</f>
        <v/>
      </c>
      <c r="H38" s="261" t="str">
        <f t="array" ref="H38">IFERROR(INDEX(productsSalePrice, SMALL(IF(productsQty&lt;&gt;0, ROW(productsQty)-ROW('BHPC MANAGER'!$CD$10)+1), ROW(M25))), "")</f>
        <v/>
      </c>
      <c r="I38" s="260" t="str">
        <f t="array" ref="I38">IFERROR(INDEX(productsCartons, SMALL(IF(productsQty&lt;&gt;0, ROW(productsQty)-ROW('BHPC MANAGER'!$CD$10)+1), ROW(M25))), "")</f>
        <v/>
      </c>
      <c r="J38" s="317"/>
      <c r="K38" s="261" t="str">
        <f t="shared" si="1"/>
        <v/>
      </c>
      <c r="L38" s="312" t="str">
        <f t="shared" si="2"/>
        <v/>
      </c>
    </row>
    <row r="39" spans="1:12" ht="14.5" x14ac:dyDescent="0.35">
      <c r="A39" s="256" t="str">
        <f t="array" ref="A39">IFERROR(INDEX(productsSku, SMALL(IF(productsQty&lt;&gt;0, ROW(productsQty)-ROW('BHPC MANAGER'!$CD$10)+1), ROW(M26))), "")</f>
        <v/>
      </c>
      <c r="B39" s="257" t="str">
        <f t="array" ref="B39">IFERROR(INDEX(productsDescription, SMALL(IF(productsQty&lt;&gt;0, ROW(productsQty)-ROW('BHPC MANAGER'!$CD$10)+1), ROW(M26))), "")</f>
        <v/>
      </c>
      <c r="C39" s="258"/>
      <c r="D39" s="258"/>
      <c r="E39" s="259"/>
      <c r="F39" s="260" t="str">
        <f t="shared" si="0"/>
        <v/>
      </c>
      <c r="G39" s="260" t="str">
        <f t="array" ref="G39">IFERROR(INDEX(productsQty, SMALL(IF(productsQty&lt;&gt;0, ROW(productsQty)-ROW('BHPC MANAGER'!$CD$10)+1), ROW(M26))), "")</f>
        <v/>
      </c>
      <c r="H39" s="261" t="str">
        <f t="array" ref="H39">IFERROR(INDEX(productsSalePrice, SMALL(IF(productsQty&lt;&gt;0, ROW(productsQty)-ROW('BHPC MANAGER'!$CD$10)+1), ROW(M26))), "")</f>
        <v/>
      </c>
      <c r="I39" s="260" t="str">
        <f t="array" ref="I39">IFERROR(INDEX(productsCartons, SMALL(IF(productsQty&lt;&gt;0, ROW(productsQty)-ROW('BHPC MANAGER'!$CD$10)+1), ROW(M26))), "")</f>
        <v/>
      </c>
      <c r="J39" s="317"/>
      <c r="K39" s="261" t="str">
        <f t="shared" si="1"/>
        <v/>
      </c>
      <c r="L39" s="312" t="str">
        <f t="shared" si="2"/>
        <v/>
      </c>
    </row>
    <row r="40" spans="1:12" ht="14.5" x14ac:dyDescent="0.35">
      <c r="A40" s="256"/>
      <c r="B40" s="257"/>
      <c r="C40" s="258"/>
      <c r="D40" s="258"/>
      <c r="E40" s="259"/>
      <c r="F40" s="260"/>
      <c r="G40" s="260"/>
      <c r="H40" s="261"/>
      <c r="I40" s="260"/>
      <c r="J40" s="317"/>
      <c r="K40" s="261"/>
      <c r="L40" s="312"/>
    </row>
    <row r="41" spans="1:12" ht="14.5" x14ac:dyDescent="0.35">
      <c r="A41" s="256"/>
      <c r="B41" s="257"/>
      <c r="C41" s="258"/>
      <c r="D41" s="258"/>
      <c r="E41" s="259"/>
      <c r="F41" s="260"/>
      <c r="G41" s="260"/>
      <c r="H41" s="261"/>
      <c r="I41" s="260"/>
      <c r="J41" s="317"/>
      <c r="K41" s="261"/>
      <c r="L41" s="312"/>
    </row>
    <row r="42" spans="1:12" ht="14.5" x14ac:dyDescent="0.35">
      <c r="A42" s="256"/>
      <c r="B42" s="257"/>
      <c r="C42" s="258"/>
      <c r="D42" s="258"/>
      <c r="E42" s="259"/>
      <c r="F42" s="260"/>
      <c r="G42" s="260"/>
      <c r="H42" s="261"/>
      <c r="I42" s="260"/>
      <c r="J42" s="317"/>
      <c r="K42" s="261"/>
      <c r="L42" s="312"/>
    </row>
    <row r="43" spans="1:12" ht="14.5" x14ac:dyDescent="0.35">
      <c r="A43" s="256"/>
      <c r="B43" s="257"/>
      <c r="C43" s="258"/>
      <c r="D43" s="258"/>
      <c r="E43" s="259"/>
      <c r="F43" s="260"/>
      <c r="G43" s="260"/>
      <c r="H43" s="261"/>
      <c r="I43" s="260"/>
      <c r="J43" s="317"/>
      <c r="K43" s="261"/>
      <c r="L43" s="312"/>
    </row>
    <row r="44" spans="1:12" ht="14.5" x14ac:dyDescent="0.35">
      <c r="A44" s="256"/>
      <c r="B44" s="257"/>
      <c r="C44" s="258"/>
      <c r="D44" s="258"/>
      <c r="E44" s="259"/>
      <c r="F44" s="260"/>
      <c r="G44" s="260"/>
      <c r="H44" s="261"/>
      <c r="I44" s="260"/>
      <c r="J44" s="317"/>
      <c r="K44" s="261"/>
      <c r="L44" s="312"/>
    </row>
    <row r="45" spans="1:12" ht="14.5" x14ac:dyDescent="0.35">
      <c r="A45" s="256"/>
      <c r="B45" s="257"/>
      <c r="C45" s="258"/>
      <c r="D45" s="258"/>
      <c r="E45" s="259"/>
      <c r="F45" s="260"/>
      <c r="G45" s="260"/>
      <c r="H45" s="261"/>
      <c r="I45" s="260"/>
      <c r="J45" s="317"/>
      <c r="K45" s="261"/>
      <c r="L45" s="312"/>
    </row>
    <row r="46" spans="1:12" ht="14.5" x14ac:dyDescent="0.35">
      <c r="A46" s="256" t="str">
        <f t="array" ref="A46">IFERROR(INDEX(productsSku, SMALL(IF(productsQty&lt;&gt;0, ROW(productsQty)-ROW('BHPC MANAGER'!$CD$10)+1), ROW(M27))), "")</f>
        <v/>
      </c>
      <c r="B46" s="257" t="str">
        <f t="array" ref="B46">IFERROR(INDEX(productsDescription, SMALL(IF(productsQty&lt;&gt;0, ROW(productsQty)-ROW('BHPC MANAGER'!$CD$10)+1), ROW(M27))), "")</f>
        <v/>
      </c>
      <c r="C46" s="258"/>
      <c r="D46" s="258"/>
      <c r="E46" s="259"/>
      <c r="F46" s="260" t="str">
        <f t="shared" ref="F46:F55" si="3">IF(A46="","","PC")</f>
        <v/>
      </c>
      <c r="G46" s="260" t="str">
        <f t="array" ref="G46">IFERROR(INDEX(productsQty, SMALL(IF(productsQty&lt;&gt;0, ROW(productsQty)-ROW('BHPC MANAGER'!$CD$10)+1), ROW(M27))), "")</f>
        <v/>
      </c>
      <c r="H46" s="261" t="str">
        <f t="array" ref="H46">IFERROR(INDEX(productsSalePrice, SMALL(IF(productsQty&lt;&gt;0, ROW(productsQty)-ROW('BHPC MANAGER'!$CD$10)+1), ROW(M27))), "")</f>
        <v/>
      </c>
      <c r="I46" s="260" t="str">
        <f t="array" ref="I46">IFERROR(INDEX(productsCartons, SMALL(IF(productsQty&lt;&gt;0, ROW(productsQty)-ROW('BHPC MANAGER'!$CD$10)+1), ROW(M27))), "")</f>
        <v/>
      </c>
      <c r="J46" s="317"/>
      <c r="K46" s="261" t="str">
        <f t="shared" ref="K46:K55" si="4">IF(A46="","",G46*H46)</f>
        <v/>
      </c>
      <c r="L46" s="312" t="str">
        <f t="shared" ref="L46:L55" si="5">IF(A46="","",$C$69)</f>
        <v/>
      </c>
    </row>
    <row r="47" spans="1:12" ht="14.5" x14ac:dyDescent="0.35">
      <c r="A47" s="256" t="str">
        <f t="array" ref="A47">IFERROR(INDEX(productsSku, SMALL(IF(productsQty&lt;&gt;0, ROW(productsQty)-ROW('BHPC MANAGER'!$CD$10)+1), ROW(M28))), "")</f>
        <v/>
      </c>
      <c r="B47" s="257" t="str">
        <f t="array" ref="B47">IFERROR(INDEX(productsDescription, SMALL(IF(productsQty&lt;&gt;0, ROW(productsQty)-ROW('BHPC MANAGER'!$CD$10)+1), ROW(M28))), "")</f>
        <v/>
      </c>
      <c r="C47" s="258"/>
      <c r="D47" s="258"/>
      <c r="E47" s="259"/>
      <c r="F47" s="260" t="str">
        <f t="shared" si="3"/>
        <v/>
      </c>
      <c r="G47" s="260" t="str">
        <f t="array" ref="G47">IFERROR(INDEX(productsQty, SMALL(IF(productsQty&lt;&gt;0, ROW(productsQty)-ROW('BHPC MANAGER'!$CD$10)+1), ROW(M28))), "")</f>
        <v/>
      </c>
      <c r="H47" s="261" t="str">
        <f t="array" ref="H47">IFERROR(INDEX(productsSalePrice, SMALL(IF(productsQty&lt;&gt;0, ROW(productsQty)-ROW('BHPC MANAGER'!$CD$10)+1), ROW(M28))), "")</f>
        <v/>
      </c>
      <c r="I47" s="260" t="str">
        <f t="array" ref="I47">IFERROR(INDEX(productsCartons, SMALL(IF(productsQty&lt;&gt;0, ROW(productsQty)-ROW('BHPC MANAGER'!$CD$10)+1), ROW(M28))), "")</f>
        <v/>
      </c>
      <c r="J47" s="317"/>
      <c r="K47" s="261" t="str">
        <f t="shared" si="4"/>
        <v/>
      </c>
      <c r="L47" s="312" t="str">
        <f t="shared" si="5"/>
        <v/>
      </c>
    </row>
    <row r="48" spans="1:12" ht="14.5" x14ac:dyDescent="0.35">
      <c r="A48" s="256" t="str">
        <f t="array" ref="A48">IFERROR(INDEX(productsSku, SMALL(IF(productsQty&lt;&gt;0, ROW(productsQty)-ROW('BHPC MANAGER'!$CD$10)+1), ROW(M29))), "")</f>
        <v/>
      </c>
      <c r="B48" s="257" t="str">
        <f t="array" ref="B48">IFERROR(INDEX(productsDescription, SMALL(IF(productsQty&lt;&gt;0, ROW(productsQty)-ROW('BHPC MANAGER'!$CD$10)+1), ROW(M29))), "")</f>
        <v/>
      </c>
      <c r="C48" s="258"/>
      <c r="D48" s="258"/>
      <c r="E48" s="259"/>
      <c r="F48" s="260" t="str">
        <f t="shared" si="3"/>
        <v/>
      </c>
      <c r="G48" s="260" t="str">
        <f t="array" ref="G48">IFERROR(INDEX(productsQty, SMALL(IF(productsQty&lt;&gt;0, ROW(productsQty)-ROW('BHPC MANAGER'!$CD$10)+1), ROW(M29))), "")</f>
        <v/>
      </c>
      <c r="H48" s="261" t="str">
        <f t="array" ref="H48">IFERROR(INDEX(productsSalePrice, SMALL(IF(productsQty&lt;&gt;0, ROW(productsQty)-ROW('BHPC MANAGER'!$CD$10)+1), ROW(M29))), "")</f>
        <v/>
      </c>
      <c r="I48" s="260" t="str">
        <f t="array" ref="I48">IFERROR(INDEX(productsCartons, SMALL(IF(productsQty&lt;&gt;0, ROW(productsQty)-ROW('BHPC MANAGER'!$CD$10)+1), ROW(M29))), "")</f>
        <v/>
      </c>
      <c r="J48" s="317"/>
      <c r="K48" s="261" t="str">
        <f t="shared" si="4"/>
        <v/>
      </c>
      <c r="L48" s="312" t="str">
        <f t="shared" si="5"/>
        <v/>
      </c>
    </row>
    <row r="49" spans="1:12" ht="14.5" x14ac:dyDescent="0.35">
      <c r="A49" s="256" t="str">
        <f t="array" ref="A49">IFERROR(INDEX(productsSku, SMALL(IF(productsQty&lt;&gt;0, ROW(productsQty)-ROW('BHPC MANAGER'!$CD$10)+1), ROW(M30))), "")</f>
        <v/>
      </c>
      <c r="B49" s="257" t="str">
        <f t="array" ref="B49">IFERROR(INDEX(productsDescription, SMALL(IF(productsQty&lt;&gt;0, ROW(productsQty)-ROW('BHPC MANAGER'!$CD$10)+1), ROW(M30))), "")</f>
        <v/>
      </c>
      <c r="C49" s="258"/>
      <c r="D49" s="258"/>
      <c r="E49" s="259"/>
      <c r="F49" s="260" t="str">
        <f t="shared" si="3"/>
        <v/>
      </c>
      <c r="G49" s="260" t="str">
        <f t="array" ref="G49">IFERROR(INDEX(productsQty, SMALL(IF(productsQty&lt;&gt;0, ROW(productsQty)-ROW('BHPC MANAGER'!$CD$10)+1), ROW(M30))), "")</f>
        <v/>
      </c>
      <c r="H49" s="261" t="str">
        <f t="array" ref="H49">IFERROR(INDEX(productsSalePrice, SMALL(IF(productsQty&lt;&gt;0, ROW(productsQty)-ROW('BHPC MANAGER'!$CD$10)+1), ROW(M30))), "")</f>
        <v/>
      </c>
      <c r="I49" s="260" t="str">
        <f t="array" ref="I49">IFERROR(INDEX(productsCartons, SMALL(IF(productsQty&lt;&gt;0, ROW(productsQty)-ROW('BHPC MANAGER'!$CD$10)+1), ROW(M30))), "")</f>
        <v/>
      </c>
      <c r="J49" s="317"/>
      <c r="K49" s="261" t="str">
        <f t="shared" si="4"/>
        <v/>
      </c>
      <c r="L49" s="312" t="str">
        <f t="shared" si="5"/>
        <v/>
      </c>
    </row>
    <row r="50" spans="1:12" ht="14.5" x14ac:dyDescent="0.35">
      <c r="A50" s="256" t="str">
        <f t="array" ref="A50">IFERROR(INDEX(productsSku, SMALL(IF(productsQty&lt;&gt;0, ROW(productsQty)-ROW('BHPC MANAGER'!$CD$10)+1), ROW(M31))), "")</f>
        <v/>
      </c>
      <c r="B50" s="257" t="str">
        <f t="array" ref="B50">IFERROR(INDEX(productsDescription, SMALL(IF(productsQty&lt;&gt;0, ROW(productsQty)-ROW('BHPC MANAGER'!$CD$10)+1), ROW(M31))), "")</f>
        <v/>
      </c>
      <c r="C50" s="258"/>
      <c r="D50" s="258"/>
      <c r="E50" s="259"/>
      <c r="F50" s="260" t="str">
        <f t="shared" si="3"/>
        <v/>
      </c>
      <c r="G50" s="260" t="str">
        <f t="array" ref="G50">IFERROR(INDEX(productsQty, SMALL(IF(productsQty&lt;&gt;0, ROW(productsQty)-ROW('BHPC MANAGER'!$CD$10)+1), ROW(M31))), "")</f>
        <v/>
      </c>
      <c r="H50" s="261" t="str">
        <f t="array" ref="H50">IFERROR(INDEX(productsSalePrice, SMALL(IF(productsQty&lt;&gt;0, ROW(productsQty)-ROW('BHPC MANAGER'!$CD$10)+1), ROW(M31))), "")</f>
        <v/>
      </c>
      <c r="I50" s="260" t="str">
        <f t="array" ref="I50">IFERROR(INDEX(productsCartons, SMALL(IF(productsQty&lt;&gt;0, ROW(productsQty)-ROW('BHPC MANAGER'!$CD$10)+1), ROW(M31))), "")</f>
        <v/>
      </c>
      <c r="J50" s="317"/>
      <c r="K50" s="261" t="str">
        <f t="shared" si="4"/>
        <v/>
      </c>
      <c r="L50" s="312" t="str">
        <f t="shared" si="5"/>
        <v/>
      </c>
    </row>
    <row r="51" spans="1:12" ht="14.5" x14ac:dyDescent="0.35">
      <c r="A51" s="256" t="str">
        <f t="array" ref="A51">IFERROR(INDEX(productsSku, SMALL(IF(productsQty&lt;&gt;0, ROW(productsQty)-ROW('BHPC MANAGER'!$CD$10)+1), ROW(M32))), "")</f>
        <v/>
      </c>
      <c r="B51" s="257" t="str">
        <f t="array" ref="B51">IFERROR(INDEX(productsDescription, SMALL(IF(productsQty&lt;&gt;0, ROW(productsQty)-ROW('BHPC MANAGER'!$CD$10)+1), ROW(M32))), "")</f>
        <v/>
      </c>
      <c r="C51" s="258"/>
      <c r="D51" s="258"/>
      <c r="E51" s="259"/>
      <c r="F51" s="260" t="str">
        <f t="shared" si="3"/>
        <v/>
      </c>
      <c r="G51" s="260" t="str">
        <f t="array" ref="G51">IFERROR(INDEX(productsQty, SMALL(IF(productsQty&lt;&gt;0, ROW(productsQty)-ROW('BHPC MANAGER'!$CD$10)+1), ROW(M32))), "")</f>
        <v/>
      </c>
      <c r="H51" s="261" t="str">
        <f t="array" ref="H51">IFERROR(INDEX(productsSalePrice, SMALL(IF(productsQty&lt;&gt;0, ROW(productsQty)-ROW('BHPC MANAGER'!$CD$10)+1), ROW(M32))), "")</f>
        <v/>
      </c>
      <c r="I51" s="260" t="str">
        <f t="array" ref="I51">IFERROR(INDEX(productsCartons, SMALL(IF(productsQty&lt;&gt;0, ROW(productsQty)-ROW('BHPC MANAGER'!$CD$10)+1), ROW(M32))), "")</f>
        <v/>
      </c>
      <c r="J51" s="317"/>
      <c r="K51" s="261" t="str">
        <f t="shared" si="4"/>
        <v/>
      </c>
      <c r="L51" s="312" t="str">
        <f t="shared" si="5"/>
        <v/>
      </c>
    </row>
    <row r="52" spans="1:12" ht="14.5" x14ac:dyDescent="0.35">
      <c r="A52" s="256" t="str">
        <f t="array" ref="A52">IFERROR(INDEX(productsSku, SMALL(IF(productsQty&lt;&gt;0, ROW(productsQty)-ROW('BHPC MANAGER'!$CD$10)+1), ROW(M33))), "")</f>
        <v/>
      </c>
      <c r="B52" s="257" t="str">
        <f t="array" ref="B52">IFERROR(INDEX(productsDescription, SMALL(IF(productsQty&lt;&gt;0, ROW(productsQty)-ROW('BHPC MANAGER'!$CD$10)+1), ROW(M33))), "")</f>
        <v/>
      </c>
      <c r="C52" s="258"/>
      <c r="D52" s="258"/>
      <c r="E52" s="259"/>
      <c r="F52" s="260" t="str">
        <f t="shared" si="3"/>
        <v/>
      </c>
      <c r="G52" s="260" t="str">
        <f t="array" ref="G52">IFERROR(INDEX(productsQty, SMALL(IF(productsQty&lt;&gt;0, ROW(productsQty)-ROW('BHPC MANAGER'!$CD$10)+1), ROW(M33))), "")</f>
        <v/>
      </c>
      <c r="H52" s="261" t="str">
        <f t="array" ref="H52">IFERROR(INDEX(productsSalePrice, SMALL(IF(productsQty&lt;&gt;0, ROW(productsQty)-ROW('BHPC MANAGER'!$CD$10)+1), ROW(M33))), "")</f>
        <v/>
      </c>
      <c r="I52" s="260" t="str">
        <f t="array" ref="I52">IFERROR(INDEX(productsCartons, SMALL(IF(productsQty&lt;&gt;0, ROW(productsQty)-ROW('BHPC MANAGER'!$CD$10)+1), ROW(M33))), "")</f>
        <v/>
      </c>
      <c r="J52" s="317"/>
      <c r="K52" s="261" t="str">
        <f t="shared" si="4"/>
        <v/>
      </c>
      <c r="L52" s="312" t="str">
        <f t="shared" si="5"/>
        <v/>
      </c>
    </row>
    <row r="53" spans="1:12" ht="14.5" x14ac:dyDescent="0.35">
      <c r="A53" s="256" t="str">
        <f t="array" ref="A53">IFERROR(INDEX(productsSku, SMALL(IF(productsQty&lt;&gt;0, ROW(productsQty)-ROW('BHPC MANAGER'!$CD$10)+1), ROW(M34))), "")</f>
        <v/>
      </c>
      <c r="B53" s="257" t="str">
        <f t="array" ref="B53">IFERROR(INDEX(productsDescription, SMALL(IF(productsQty&lt;&gt;0, ROW(productsQty)-ROW('BHPC MANAGER'!$CD$10)+1), ROW(M34))), "")</f>
        <v/>
      </c>
      <c r="C53" s="258"/>
      <c r="D53" s="258"/>
      <c r="E53" s="259"/>
      <c r="F53" s="260" t="str">
        <f t="shared" si="3"/>
        <v/>
      </c>
      <c r="G53" s="260" t="str">
        <f t="array" ref="G53">IFERROR(INDEX(productsQty, SMALL(IF(productsQty&lt;&gt;0, ROW(productsQty)-ROW('BHPC MANAGER'!$CD$10)+1), ROW(M34))), "")</f>
        <v/>
      </c>
      <c r="H53" s="261" t="str">
        <f t="array" ref="H53">IFERROR(INDEX(productsSalePrice, SMALL(IF(productsQty&lt;&gt;0, ROW(productsQty)-ROW('BHPC MANAGER'!$CD$10)+1), ROW(M34))), "")</f>
        <v/>
      </c>
      <c r="I53" s="260" t="str">
        <f t="array" ref="I53">IFERROR(INDEX(productsCartons, SMALL(IF(productsQty&lt;&gt;0, ROW(productsQty)-ROW('BHPC MANAGER'!$CD$10)+1), ROW(M34))), "")</f>
        <v/>
      </c>
      <c r="J53" s="317"/>
      <c r="K53" s="261" t="str">
        <f t="shared" si="4"/>
        <v/>
      </c>
      <c r="L53" s="312" t="str">
        <f t="shared" si="5"/>
        <v/>
      </c>
    </row>
    <row r="54" spans="1:12" ht="14.5" x14ac:dyDescent="0.35">
      <c r="A54" s="256" t="str">
        <f t="array" ref="A54">IFERROR(INDEX(productsSku, SMALL(IF(productsQty&lt;&gt;0, ROW(productsQty)-ROW('BHPC MANAGER'!$CD$10)+1), ROW(M35))), "")</f>
        <v/>
      </c>
      <c r="B54" s="257" t="str">
        <f t="array" ref="B54">IFERROR(INDEX(productsDescription, SMALL(IF(productsQty&lt;&gt;0, ROW(productsQty)-ROW('BHPC MANAGER'!$CD$10)+1), ROW(M35))), "")</f>
        <v/>
      </c>
      <c r="C54" s="258"/>
      <c r="D54" s="258"/>
      <c r="E54" s="259"/>
      <c r="F54" s="260" t="str">
        <f t="shared" si="3"/>
        <v/>
      </c>
      <c r="G54" s="260" t="str">
        <f t="array" ref="G54">IFERROR(INDEX(productsQty, SMALL(IF(productsQty&lt;&gt;0, ROW(productsQty)-ROW('BHPC MANAGER'!$CD$10)+1), ROW(M35))), "")</f>
        <v/>
      </c>
      <c r="H54" s="261" t="str">
        <f t="array" ref="H54">IFERROR(INDEX(productsSalePrice, SMALL(IF(productsQty&lt;&gt;0, ROW(productsQty)-ROW('BHPC MANAGER'!$CD$10)+1), ROW(M35))), "")</f>
        <v/>
      </c>
      <c r="I54" s="260" t="str">
        <f t="array" ref="I54">IFERROR(INDEX(productsCartons, SMALL(IF(productsQty&lt;&gt;0, ROW(productsQty)-ROW('BHPC MANAGER'!$CD$10)+1), ROW(M35))), "")</f>
        <v/>
      </c>
      <c r="J54" s="317"/>
      <c r="K54" s="261" t="str">
        <f t="shared" si="4"/>
        <v/>
      </c>
      <c r="L54" s="312" t="str">
        <f t="shared" si="5"/>
        <v/>
      </c>
    </row>
    <row r="55" spans="1:12" ht="14.5" x14ac:dyDescent="0.35">
      <c r="A55" s="256" t="str">
        <f t="array" ref="A55">IFERROR(INDEX(productsSku, SMALL(IF(productsQty&lt;&gt;0, ROW(productsQty)-ROW('BHPC MANAGER'!$CD$10)+1), ROW(M36))), "")</f>
        <v/>
      </c>
      <c r="B55" s="257" t="str">
        <f t="array" ref="B55">IFERROR(INDEX(productsDescription, SMALL(IF(productsQty&lt;&gt;0, ROW(productsQty)-ROW('BHPC MANAGER'!$CD$10)+1), ROW(M36))), "")</f>
        <v/>
      </c>
      <c r="C55" s="258"/>
      <c r="D55" s="258"/>
      <c r="E55" s="259"/>
      <c r="F55" s="260" t="str">
        <f t="shared" si="3"/>
        <v/>
      </c>
      <c r="G55" s="260" t="str">
        <f t="array" ref="G55">IFERROR(INDEX(productsQty, SMALL(IF(productsQty&lt;&gt;0, ROW(productsQty)-ROW('BHPC MANAGER'!$CD$10)+1), ROW(M36))), "")</f>
        <v/>
      </c>
      <c r="H55" s="261" t="str">
        <f t="array" ref="H55">IFERROR(INDEX(productsSalePrice, SMALL(IF(productsQty&lt;&gt;0, ROW(productsQty)-ROW('BHPC MANAGER'!$CD$10)+1), ROW(M36))), "")</f>
        <v/>
      </c>
      <c r="I55" s="260" t="str">
        <f t="array" ref="I55">IFERROR(INDEX(productsCartons, SMALL(IF(productsQty&lt;&gt;0, ROW(productsQty)-ROW('BHPC MANAGER'!$CD$10)+1), ROW(M36))), "")</f>
        <v/>
      </c>
      <c r="J55" s="317"/>
      <c r="K55" s="261" t="str">
        <f t="shared" si="4"/>
        <v/>
      </c>
      <c r="L55" s="312" t="str">
        <f t="shared" si="5"/>
        <v/>
      </c>
    </row>
    <row r="56" spans="1:12" ht="14.5" x14ac:dyDescent="0.35">
      <c r="A56" s="256"/>
      <c r="B56" s="257"/>
      <c r="C56" s="258"/>
      <c r="D56" s="258"/>
      <c r="E56" s="259"/>
      <c r="F56" s="260"/>
      <c r="G56" s="260"/>
      <c r="H56" s="261"/>
      <c r="I56" s="260"/>
      <c r="J56" s="317"/>
      <c r="K56" s="261"/>
      <c r="L56" s="312"/>
    </row>
    <row r="57" spans="1:12" ht="14.5" x14ac:dyDescent="0.35">
      <c r="A57" s="256"/>
      <c r="B57" s="257"/>
      <c r="C57" s="258"/>
      <c r="D57" s="258"/>
      <c r="E57" s="259"/>
      <c r="F57" s="260"/>
      <c r="G57" s="260"/>
      <c r="H57" s="261"/>
      <c r="I57" s="260"/>
      <c r="J57" s="317"/>
      <c r="K57" s="261"/>
      <c r="L57" s="312"/>
    </row>
    <row r="58" spans="1:12" ht="14.5" x14ac:dyDescent="0.35">
      <c r="A58" s="256"/>
      <c r="B58" s="257"/>
      <c r="C58" s="258"/>
      <c r="D58" s="258"/>
      <c r="E58" s="259"/>
      <c r="F58" s="260"/>
      <c r="G58" s="260"/>
      <c r="H58" s="261"/>
      <c r="I58" s="260"/>
      <c r="J58" s="317"/>
      <c r="K58" s="261"/>
      <c r="L58" s="312"/>
    </row>
    <row r="59" spans="1:12" ht="14.5" x14ac:dyDescent="0.35">
      <c r="A59" s="256"/>
      <c r="B59" s="257"/>
      <c r="C59" s="258"/>
      <c r="D59" s="258"/>
      <c r="E59" s="259"/>
      <c r="F59" s="260"/>
      <c r="G59" s="260"/>
      <c r="H59" s="261"/>
      <c r="I59" s="260"/>
      <c r="J59" s="317"/>
      <c r="K59" s="261"/>
      <c r="L59" s="312"/>
    </row>
    <row r="60" spans="1:12" ht="14.5" x14ac:dyDescent="0.35">
      <c r="A60" s="256"/>
      <c r="B60" s="257"/>
      <c r="C60" s="258"/>
      <c r="D60" s="258"/>
      <c r="E60" s="259"/>
      <c r="F60" s="260"/>
      <c r="G60" s="260"/>
      <c r="H60" s="261"/>
      <c r="I60" s="260"/>
      <c r="J60" s="317"/>
      <c r="K60" s="261"/>
      <c r="L60" s="312"/>
    </row>
    <row r="61" spans="1:12" ht="14.5" x14ac:dyDescent="0.35">
      <c r="A61" s="256"/>
      <c r="B61" s="257"/>
      <c r="C61" s="258"/>
      <c r="D61" s="258"/>
      <c r="E61" s="259"/>
      <c r="F61" s="260"/>
      <c r="G61" s="260"/>
      <c r="H61" s="261"/>
      <c r="I61" s="260"/>
      <c r="J61" s="317"/>
      <c r="K61" s="261"/>
      <c r="L61" s="312"/>
    </row>
    <row r="62" spans="1:12" ht="14.5" x14ac:dyDescent="0.35">
      <c r="A62" s="256"/>
      <c r="B62" s="257"/>
      <c r="C62" s="258"/>
      <c r="D62" s="258"/>
      <c r="E62" s="259"/>
      <c r="F62" s="260"/>
      <c r="G62" s="260"/>
      <c r="H62" s="261"/>
      <c r="I62" s="260"/>
      <c r="J62" s="317"/>
      <c r="K62" s="261"/>
      <c r="L62" s="312"/>
    </row>
    <row r="63" spans="1:12" ht="14.5" x14ac:dyDescent="0.35">
      <c r="A63" s="256"/>
      <c r="B63" s="257"/>
      <c r="C63" s="258"/>
      <c r="D63" s="258"/>
      <c r="E63" s="259"/>
      <c r="F63" s="260"/>
      <c r="G63" s="260"/>
      <c r="H63" s="261"/>
      <c r="I63" s="260"/>
      <c r="J63" s="317"/>
      <c r="K63" s="261"/>
      <c r="L63" s="312"/>
    </row>
    <row r="64" spans="1:12" ht="14.5" x14ac:dyDescent="0.35">
      <c r="A64" s="256"/>
      <c r="B64" s="257"/>
      <c r="C64" s="258"/>
      <c r="D64" s="258"/>
      <c r="E64" s="259"/>
      <c r="F64" s="260"/>
      <c r="G64" s="260"/>
      <c r="H64" s="261"/>
      <c r="I64" s="260"/>
      <c r="J64" s="317"/>
      <c r="K64" s="261"/>
      <c r="L64" s="312"/>
    </row>
    <row r="65" spans="1:12" ht="14.5" x14ac:dyDescent="0.35">
      <c r="A65" s="256"/>
      <c r="B65" s="257"/>
      <c r="C65" s="258"/>
      <c r="D65" s="258"/>
      <c r="E65" s="259"/>
      <c r="F65" s="260"/>
      <c r="G65" s="260"/>
      <c r="H65" s="261"/>
      <c r="I65" s="260"/>
      <c r="J65" s="317"/>
      <c r="K65" s="261"/>
      <c r="L65" s="312"/>
    </row>
    <row r="66" spans="1:12" x14ac:dyDescent="0.35">
      <c r="A66" s="635"/>
      <c r="B66" s="631"/>
      <c r="C66" s="635"/>
      <c r="D66" s="631"/>
      <c r="E66" s="635" t="s">
        <v>492</v>
      </c>
      <c r="F66" s="630"/>
      <c r="G66" s="631"/>
      <c r="H66" s="663" t="s">
        <v>477</v>
      </c>
      <c r="I66" s="630"/>
      <c r="J66" s="630"/>
      <c r="K66" s="664"/>
      <c r="L66" s="631"/>
    </row>
    <row r="67" spans="1:12" s="137" customFormat="1" ht="14.5" customHeight="1" x14ac:dyDescent="0.35">
      <c r="A67" s="640"/>
      <c r="B67" s="641"/>
      <c r="C67" s="640"/>
      <c r="D67" s="641"/>
      <c r="E67" s="689">
        <f>SUM($K$13:$K$65)</f>
        <v>0</v>
      </c>
      <c r="F67" s="690"/>
      <c r="G67" s="691"/>
      <c r="H67" s="682">
        <f>SUM(K14:K65)</f>
        <v>0</v>
      </c>
      <c r="I67" s="628"/>
      <c r="J67" s="628"/>
      <c r="K67" s="628"/>
      <c r="L67" s="629"/>
    </row>
    <row r="68" spans="1:12" x14ac:dyDescent="0.35">
      <c r="A68" s="635" t="s">
        <v>478</v>
      </c>
      <c r="B68" s="631"/>
      <c r="C68" s="138" t="s">
        <v>479</v>
      </c>
      <c r="D68" s="635" t="s">
        <v>480</v>
      </c>
      <c r="E68" s="631"/>
      <c r="F68" s="635" t="s">
        <v>481</v>
      </c>
      <c r="G68" s="631"/>
      <c r="H68" s="659" t="s">
        <v>482</v>
      </c>
      <c r="I68" s="624"/>
      <c r="J68" s="624"/>
      <c r="K68" s="660"/>
      <c r="L68" s="626"/>
    </row>
    <row r="69" spans="1:12" ht="14.5" customHeight="1" x14ac:dyDescent="0.35">
      <c r="A69" s="608" t="str">
        <f>A124</f>
        <v>CESS. CEE AR. 41 L 427</v>
      </c>
      <c r="B69" s="609"/>
      <c r="C69" s="612" t="str">
        <f>C124</f>
        <v>061</v>
      </c>
      <c r="D69" s="692">
        <f>H67</f>
        <v>0</v>
      </c>
      <c r="E69" s="693"/>
      <c r="F69" s="675">
        <f>IF(C69="022",22%,0)</f>
        <v>0</v>
      </c>
      <c r="G69" s="676"/>
      <c r="H69" s="682">
        <f>H67</f>
        <v>0</v>
      </c>
      <c r="I69" s="628"/>
      <c r="J69" s="628"/>
      <c r="K69" s="628"/>
      <c r="L69" s="629"/>
    </row>
    <row r="70" spans="1:12" x14ac:dyDescent="0.35">
      <c r="A70" s="608"/>
      <c r="B70" s="609"/>
      <c r="C70" s="670"/>
      <c r="D70" s="692"/>
      <c r="E70" s="693"/>
      <c r="F70" s="675"/>
      <c r="G70" s="676"/>
      <c r="H70" s="659" t="s">
        <v>483</v>
      </c>
      <c r="I70" s="624"/>
      <c r="J70" s="624"/>
      <c r="K70" s="660"/>
      <c r="L70" s="626"/>
    </row>
    <row r="71" spans="1:12" ht="14.5" customHeight="1" x14ac:dyDescent="0.35">
      <c r="A71" s="608"/>
      <c r="B71" s="609"/>
      <c r="C71" s="670"/>
      <c r="D71" s="692"/>
      <c r="E71" s="693"/>
      <c r="F71" s="675"/>
      <c r="G71" s="676"/>
      <c r="H71" s="682">
        <f>SEK69*F69</f>
        <v>0</v>
      </c>
      <c r="I71" s="628"/>
      <c r="J71" s="628"/>
      <c r="K71" s="628"/>
      <c r="L71" s="629"/>
    </row>
    <row r="72" spans="1:12" x14ac:dyDescent="0.35">
      <c r="A72" s="608"/>
      <c r="B72" s="609"/>
      <c r="C72" s="670"/>
      <c r="D72" s="692"/>
      <c r="E72" s="693"/>
      <c r="F72" s="675"/>
      <c r="G72" s="676"/>
      <c r="H72" s="659" t="s">
        <v>484</v>
      </c>
      <c r="I72" s="624"/>
      <c r="J72" s="624"/>
      <c r="K72" s="660"/>
      <c r="L72" s="626"/>
    </row>
    <row r="73" spans="1:12" ht="14.5" customHeight="1" x14ac:dyDescent="0.35">
      <c r="A73" s="610"/>
      <c r="B73" s="611"/>
      <c r="C73" s="671"/>
      <c r="D73" s="694"/>
      <c r="E73" s="695"/>
      <c r="F73" s="677"/>
      <c r="G73" s="678"/>
      <c r="H73" s="682">
        <f>H67+H71</f>
        <v>0</v>
      </c>
      <c r="I73" s="628"/>
      <c r="J73" s="628"/>
      <c r="K73" s="628"/>
      <c r="L73" s="629"/>
    </row>
    <row r="74" spans="1:12" ht="14.5" x14ac:dyDescent="0.35">
      <c r="A74" s="262"/>
      <c r="B74" s="218" t="s">
        <v>493</v>
      </c>
      <c r="C74" s="263"/>
      <c r="D74" s="263"/>
      <c r="E74" s="264"/>
      <c r="F74" s="265"/>
      <c r="G74" s="266"/>
      <c r="H74" s="267"/>
      <c r="I74" s="266"/>
      <c r="J74" s="316"/>
      <c r="K74" s="267"/>
      <c r="L74" s="326"/>
    </row>
    <row r="75" spans="1:12" ht="14.5" x14ac:dyDescent="0.35">
      <c r="A75" s="256" t="str">
        <f t="array" ref="A75">IFERROR(INDEX(productsSku, SMALL(IF(productsQty&lt;&gt;0, ROW(productsQty)-ROW('BHPC MANAGER'!$CD$10)+1), ROW(M69))), "")</f>
        <v/>
      </c>
      <c r="B75" s="257" t="str">
        <f t="array" ref="B75">IFERROR(INDEX(productsDescription, SMALL(IF(productsQty&lt;&gt;0, ROW(productsQty)-ROW('BHPC MANAGER'!$CD$10)+1), ROW(M69))), "")</f>
        <v/>
      </c>
      <c r="C75" s="258"/>
      <c r="D75" s="258"/>
      <c r="E75" s="259"/>
      <c r="F75" s="260" t="str">
        <f t="shared" ref="F75:F110" si="6">IF(A75="","","PC")</f>
        <v/>
      </c>
      <c r="G75" s="260" t="str">
        <f t="array" ref="G75">IFERROR(INDEX(productsQty, SMALL(IF(productsQty&lt;&gt;0, ROW(productsQty)-ROW('BHPC MANAGER'!$CD$10)+1), ROW(M69))), "")</f>
        <v/>
      </c>
      <c r="H75" s="261" t="str">
        <f t="array" ref="H75">IFERROR(INDEX(productsSalePrice, SMALL(IF(productsQty&lt;&gt;0, ROW(productsQty)-ROW('BHPC MANAGER'!$CD$10)+1), ROW(M69))), "")</f>
        <v/>
      </c>
      <c r="I75" s="260" t="str">
        <f t="array" ref="I75">IFERROR(INDEX(productsCartons, SMALL(IF(productsQty&lt;&gt;0, ROW(productsQty)-ROW('BHPC MANAGER'!$CD$10)+1), ROW(M69))), "")</f>
        <v/>
      </c>
      <c r="J75" s="317"/>
      <c r="K75" s="261" t="str">
        <f t="shared" ref="K75:K110" si="7">IF(A75="","",G75*H75)</f>
        <v/>
      </c>
      <c r="L75" s="312" t="str">
        <f t="shared" ref="L75:L110" si="8">IF(A75="","",$C$69)</f>
        <v/>
      </c>
    </row>
    <row r="76" spans="1:12" ht="14.5" x14ac:dyDescent="0.35">
      <c r="A76" s="256" t="str">
        <f t="array" ref="A76">IFERROR(INDEX(productsSku, SMALL(IF(productsQty&lt;&gt;0, ROW(productsQty)-ROW('BHPC MANAGER'!$CD$10)+1), ROW(M70))), "")</f>
        <v/>
      </c>
      <c r="B76" s="257" t="str">
        <f t="array" ref="B76">IFERROR(INDEX(productsDescription, SMALL(IF(productsQty&lt;&gt;0, ROW(productsQty)-ROW('BHPC MANAGER'!$CD$10)+1), ROW(M70))), "")</f>
        <v/>
      </c>
      <c r="C76" s="258"/>
      <c r="D76" s="258"/>
      <c r="E76" s="259"/>
      <c r="F76" s="260" t="str">
        <f t="shared" si="6"/>
        <v/>
      </c>
      <c r="G76" s="260" t="str">
        <f t="array" ref="G76">IFERROR(INDEX(productsQty, SMALL(IF(productsQty&lt;&gt;0, ROW(productsQty)-ROW('BHPC MANAGER'!$CD$10)+1), ROW(M70))), "")</f>
        <v/>
      </c>
      <c r="H76" s="261" t="str">
        <f t="array" ref="H76">IFERROR(INDEX(productsSalePrice, SMALL(IF(productsQty&lt;&gt;0, ROW(productsQty)-ROW('BHPC MANAGER'!$CD$10)+1), ROW(M70))), "")</f>
        <v/>
      </c>
      <c r="I76" s="260" t="str">
        <f t="array" ref="I76">IFERROR(INDEX(productsCartons, SMALL(IF(productsQty&lt;&gt;0, ROW(productsQty)-ROW('BHPC MANAGER'!$CD$10)+1), ROW(M70))), "")</f>
        <v/>
      </c>
      <c r="J76" s="317"/>
      <c r="K76" s="261" t="str">
        <f t="shared" si="7"/>
        <v/>
      </c>
      <c r="L76" s="312" t="str">
        <f t="shared" si="8"/>
        <v/>
      </c>
    </row>
    <row r="77" spans="1:12" ht="14.5" x14ac:dyDescent="0.35">
      <c r="A77" s="256" t="str">
        <f t="array" ref="A77">IFERROR(INDEX(productsSku, SMALL(IF(productsQty&lt;&gt;0, ROW(productsQty)-ROW('BHPC MANAGER'!$CD$10)+1), ROW(M71))), "")</f>
        <v/>
      </c>
      <c r="B77" s="257" t="str">
        <f t="array" ref="B77">IFERROR(INDEX(productsDescription, SMALL(IF(productsQty&lt;&gt;0, ROW(productsQty)-ROW('BHPC MANAGER'!$CD$10)+1), ROW(M71))), "")</f>
        <v/>
      </c>
      <c r="C77" s="258"/>
      <c r="D77" s="258"/>
      <c r="E77" s="259"/>
      <c r="F77" s="260" t="str">
        <f t="shared" si="6"/>
        <v/>
      </c>
      <c r="G77" s="260" t="str">
        <f t="array" ref="G77">IFERROR(INDEX(productsQty, SMALL(IF(productsQty&lt;&gt;0, ROW(productsQty)-ROW('BHPC MANAGER'!$CD$10)+1), ROW(M71))), "")</f>
        <v/>
      </c>
      <c r="H77" s="261" t="str">
        <f t="array" ref="H77">IFERROR(INDEX(productsSalePrice, SMALL(IF(productsQty&lt;&gt;0, ROW(productsQty)-ROW('BHPC MANAGER'!$CD$10)+1), ROW(M71))), "")</f>
        <v/>
      </c>
      <c r="I77" s="260" t="str">
        <f t="array" ref="I77">IFERROR(INDEX(productsCartons, SMALL(IF(productsQty&lt;&gt;0, ROW(productsQty)-ROW('BHPC MANAGER'!$CD$10)+1), ROW(M71))), "")</f>
        <v/>
      </c>
      <c r="J77" s="317"/>
      <c r="K77" s="261" t="str">
        <f t="shared" si="7"/>
        <v/>
      </c>
      <c r="L77" s="312" t="str">
        <f t="shared" si="8"/>
        <v/>
      </c>
    </row>
    <row r="78" spans="1:12" ht="14.5" x14ac:dyDescent="0.35">
      <c r="A78" s="256" t="str">
        <f t="array" ref="A78">IFERROR(INDEX(productsSku, SMALL(IF(productsQty&lt;&gt;0, ROW(productsQty)-ROW('BHPC MANAGER'!$CD$10)+1), ROW(M72))), "")</f>
        <v/>
      </c>
      <c r="B78" s="257" t="str">
        <f t="array" ref="B78">IFERROR(INDEX(productsDescription, SMALL(IF(productsQty&lt;&gt;0, ROW(productsQty)-ROW('BHPC MANAGER'!$CD$10)+1), ROW(M72))), "")</f>
        <v/>
      </c>
      <c r="C78" s="258"/>
      <c r="D78" s="258"/>
      <c r="E78" s="259"/>
      <c r="F78" s="260" t="str">
        <f t="shared" si="6"/>
        <v/>
      </c>
      <c r="G78" s="260" t="str">
        <f t="array" ref="G78">IFERROR(INDEX(productsQty, SMALL(IF(productsQty&lt;&gt;0, ROW(productsQty)-ROW('BHPC MANAGER'!$CD$10)+1), ROW(M72))), "")</f>
        <v/>
      </c>
      <c r="H78" s="261" t="str">
        <f t="array" ref="H78">IFERROR(INDEX(productsSalePrice, SMALL(IF(productsQty&lt;&gt;0, ROW(productsQty)-ROW('BHPC MANAGER'!$CD$10)+1), ROW(M72))), "")</f>
        <v/>
      </c>
      <c r="I78" s="260" t="str">
        <f t="array" ref="I78">IFERROR(INDEX(productsCartons, SMALL(IF(productsQty&lt;&gt;0, ROW(productsQty)-ROW('BHPC MANAGER'!$CD$10)+1), ROW(M72))), "")</f>
        <v/>
      </c>
      <c r="J78" s="317"/>
      <c r="K78" s="261" t="str">
        <f t="shared" si="7"/>
        <v/>
      </c>
      <c r="L78" s="312" t="str">
        <f t="shared" si="8"/>
        <v/>
      </c>
    </row>
    <row r="79" spans="1:12" ht="14.5" x14ac:dyDescent="0.35">
      <c r="A79" s="256" t="str">
        <f t="array" ref="A79">IFERROR(INDEX(productsSku, SMALL(IF(productsQty&lt;&gt;0, ROW(productsQty)-ROW('BHPC MANAGER'!$CD$10)+1), ROW(M73))), "")</f>
        <v/>
      </c>
      <c r="B79" s="257" t="str">
        <f t="array" ref="B79">IFERROR(INDEX(productsDescription, SMALL(IF(productsQty&lt;&gt;0, ROW(productsQty)-ROW('BHPC MANAGER'!$CD$10)+1), ROW(M73))), "")</f>
        <v/>
      </c>
      <c r="C79" s="258"/>
      <c r="D79" s="258"/>
      <c r="E79" s="259"/>
      <c r="F79" s="260" t="str">
        <f t="shared" si="6"/>
        <v/>
      </c>
      <c r="G79" s="260" t="str">
        <f t="array" ref="G79">IFERROR(INDEX(productsQty, SMALL(IF(productsQty&lt;&gt;0, ROW(productsQty)-ROW('BHPC MANAGER'!$CD$10)+1), ROW(M73))), "")</f>
        <v/>
      </c>
      <c r="H79" s="261" t="str">
        <f t="array" ref="H79">IFERROR(INDEX(productsSalePrice, SMALL(IF(productsQty&lt;&gt;0, ROW(productsQty)-ROW('BHPC MANAGER'!$CD$10)+1), ROW(M73))), "")</f>
        <v/>
      </c>
      <c r="I79" s="260" t="str">
        <f t="array" ref="I79">IFERROR(INDEX(productsCartons, SMALL(IF(productsQty&lt;&gt;0, ROW(productsQty)-ROW('BHPC MANAGER'!$CD$10)+1), ROW(M73))), "")</f>
        <v/>
      </c>
      <c r="J79" s="317"/>
      <c r="K79" s="261" t="str">
        <f t="shared" si="7"/>
        <v/>
      </c>
      <c r="L79" s="312" t="str">
        <f t="shared" si="8"/>
        <v/>
      </c>
    </row>
    <row r="80" spans="1:12" ht="14.5" x14ac:dyDescent="0.35">
      <c r="A80" s="256" t="str">
        <f t="array" ref="A80">IFERROR(INDEX(productsSku, SMALL(IF(productsQty&lt;&gt;0, ROW(productsQty)-ROW('BHPC MANAGER'!$CD$10)+1), ROW(#REF!))), "")</f>
        <v/>
      </c>
      <c r="B80" s="257" t="str">
        <f t="array" ref="B80">IFERROR(INDEX(productsDescription, SMALL(IF(productsQty&lt;&gt;0, ROW(productsQty)-ROW('BHPC MANAGER'!$CD$10)+1), ROW(#REF!))), "")</f>
        <v/>
      </c>
      <c r="C80" s="258"/>
      <c r="D80" s="258"/>
      <c r="E80" s="259"/>
      <c r="F80" s="260" t="str">
        <f t="shared" si="6"/>
        <v/>
      </c>
      <c r="G80" s="260" t="str">
        <f t="array" ref="G80">IFERROR(INDEX(productsQty, SMALL(IF(productsQty&lt;&gt;0, ROW(productsQty)-ROW('BHPC MANAGER'!$CD$10)+1), ROW(#REF!))), "")</f>
        <v/>
      </c>
      <c r="H80" s="261" t="str">
        <f t="array" ref="H80">IFERROR(INDEX(productsSalePrice, SMALL(IF(productsQty&lt;&gt;0, ROW(productsQty)-ROW('BHPC MANAGER'!$CD$10)+1), ROW(#REF!))), "")</f>
        <v/>
      </c>
      <c r="I80" s="260" t="str">
        <f t="array" ref="I80">IFERROR(INDEX(productsCartons, SMALL(IF(productsQty&lt;&gt;0, ROW(productsQty)-ROW('BHPC MANAGER'!$CD$10)+1), ROW(#REF!))), "")</f>
        <v/>
      </c>
      <c r="J80" s="317"/>
      <c r="K80" s="261" t="str">
        <f t="shared" si="7"/>
        <v/>
      </c>
      <c r="L80" s="312" t="str">
        <f t="shared" si="8"/>
        <v/>
      </c>
    </row>
    <row r="81" spans="1:12" ht="14.5" x14ac:dyDescent="0.35">
      <c r="A81" s="256" t="str">
        <f t="array" ref="A81">IFERROR(INDEX(productsSku, SMALL(IF(productsQty&lt;&gt;0, ROW(productsQty)-ROW('BHPC MANAGER'!$CD$10)+1), ROW(#REF!))), "")</f>
        <v/>
      </c>
      <c r="B81" s="257" t="str">
        <f t="array" ref="B81">IFERROR(INDEX(productsDescription, SMALL(IF(productsQty&lt;&gt;0, ROW(productsQty)-ROW('BHPC MANAGER'!$CD$10)+1), ROW(#REF!))), "")</f>
        <v/>
      </c>
      <c r="C81" s="258"/>
      <c r="D81" s="258"/>
      <c r="E81" s="259"/>
      <c r="F81" s="260" t="str">
        <f t="shared" si="6"/>
        <v/>
      </c>
      <c r="G81" s="260" t="str">
        <f t="array" ref="G81">IFERROR(INDEX(productsQty, SMALL(IF(productsQty&lt;&gt;0, ROW(productsQty)-ROW('BHPC MANAGER'!$CD$10)+1), ROW(#REF!))), "")</f>
        <v/>
      </c>
      <c r="H81" s="261" t="str">
        <f t="array" ref="H81">IFERROR(INDEX(productsSalePrice, SMALL(IF(productsQty&lt;&gt;0, ROW(productsQty)-ROW('BHPC MANAGER'!$CD$10)+1), ROW(#REF!))), "")</f>
        <v/>
      </c>
      <c r="I81" s="260" t="str">
        <f t="array" ref="I81">IFERROR(INDEX(productsCartons, SMALL(IF(productsQty&lt;&gt;0, ROW(productsQty)-ROW('BHPC MANAGER'!$CD$10)+1), ROW(#REF!))), "")</f>
        <v/>
      </c>
      <c r="J81" s="317"/>
      <c r="K81" s="261" t="str">
        <f t="shared" si="7"/>
        <v/>
      </c>
      <c r="L81" s="312" t="str">
        <f t="shared" si="8"/>
        <v/>
      </c>
    </row>
    <row r="82" spans="1:12" ht="14.5" x14ac:dyDescent="0.35">
      <c r="A82" s="256" t="str">
        <f t="array" ref="A82">IFERROR(INDEX(productsSku, SMALL(IF(productsQty&lt;&gt;0, ROW(productsQty)-ROW('BHPC MANAGER'!$CD$10)+1), ROW(#REF!))), "")</f>
        <v/>
      </c>
      <c r="B82" s="257" t="str">
        <f t="array" ref="B82">IFERROR(INDEX(productsDescription, SMALL(IF(productsQty&lt;&gt;0, ROW(productsQty)-ROW('BHPC MANAGER'!$CD$10)+1), ROW(#REF!))), "")</f>
        <v/>
      </c>
      <c r="C82" s="258"/>
      <c r="D82" s="258"/>
      <c r="E82" s="259"/>
      <c r="F82" s="260" t="str">
        <f t="shared" si="6"/>
        <v/>
      </c>
      <c r="G82" s="260" t="str">
        <f t="array" ref="G82">IFERROR(INDEX(productsQty, SMALL(IF(productsQty&lt;&gt;0, ROW(productsQty)-ROW('BHPC MANAGER'!$CD$10)+1), ROW(#REF!))), "")</f>
        <v/>
      </c>
      <c r="H82" s="261" t="str">
        <f t="array" ref="H82">IFERROR(INDEX(productsSalePrice, SMALL(IF(productsQty&lt;&gt;0, ROW(productsQty)-ROW('BHPC MANAGER'!$CD$10)+1), ROW(#REF!))), "")</f>
        <v/>
      </c>
      <c r="I82" s="260" t="str">
        <f t="array" ref="I82">IFERROR(INDEX(productsCartons, SMALL(IF(productsQty&lt;&gt;0, ROW(productsQty)-ROW('BHPC MANAGER'!$CD$10)+1), ROW(#REF!))), "")</f>
        <v/>
      </c>
      <c r="J82" s="317"/>
      <c r="K82" s="261" t="str">
        <f t="shared" si="7"/>
        <v/>
      </c>
      <c r="L82" s="312" t="str">
        <f t="shared" si="8"/>
        <v/>
      </c>
    </row>
    <row r="83" spans="1:12" ht="14.5" x14ac:dyDescent="0.35">
      <c r="A83" s="256" t="str">
        <f t="array" ref="A83">IFERROR(INDEX(productsSku, SMALL(IF(productsQty&lt;&gt;0, ROW(productsQty)-ROW('BHPC MANAGER'!$CD$10)+1), ROW(#REF!))), "")</f>
        <v/>
      </c>
      <c r="B83" s="257" t="str">
        <f t="array" ref="B83">IFERROR(INDEX(productsDescription, SMALL(IF(productsQty&lt;&gt;0, ROW(productsQty)-ROW('BHPC MANAGER'!$CD$10)+1), ROW(#REF!))), "")</f>
        <v/>
      </c>
      <c r="C83" s="258"/>
      <c r="D83" s="258"/>
      <c r="E83" s="259"/>
      <c r="F83" s="260" t="str">
        <f t="shared" si="6"/>
        <v/>
      </c>
      <c r="G83" s="260" t="str">
        <f t="array" ref="G83">IFERROR(INDEX(productsQty, SMALL(IF(productsQty&lt;&gt;0, ROW(productsQty)-ROW('BHPC MANAGER'!$CD$10)+1), ROW(#REF!))), "")</f>
        <v/>
      </c>
      <c r="H83" s="261" t="str">
        <f t="array" ref="H83">IFERROR(INDEX(productsSalePrice, SMALL(IF(productsQty&lt;&gt;0, ROW(productsQty)-ROW('BHPC MANAGER'!$CD$10)+1), ROW(#REF!))), "")</f>
        <v/>
      </c>
      <c r="I83" s="260" t="str">
        <f t="array" ref="I83">IFERROR(INDEX(productsCartons, SMALL(IF(productsQty&lt;&gt;0, ROW(productsQty)-ROW('BHPC MANAGER'!$CD$10)+1), ROW(#REF!))), "")</f>
        <v/>
      </c>
      <c r="J83" s="317"/>
      <c r="K83" s="261" t="str">
        <f t="shared" si="7"/>
        <v/>
      </c>
      <c r="L83" s="312" t="str">
        <f t="shared" si="8"/>
        <v/>
      </c>
    </row>
    <row r="84" spans="1:12" ht="14.5" x14ac:dyDescent="0.35">
      <c r="A84" s="256" t="str">
        <f t="array" ref="A84">IFERROR(INDEX(productsSku, SMALL(IF(productsQty&lt;&gt;0, ROW(productsQty)-ROW('BHPC MANAGER'!$CD$10)+1), ROW(#REF!))), "")</f>
        <v/>
      </c>
      <c r="B84" s="257" t="str">
        <f t="array" ref="B84">IFERROR(INDEX(productsDescription, SMALL(IF(productsQty&lt;&gt;0, ROW(productsQty)-ROW('BHPC MANAGER'!$CD$10)+1), ROW(#REF!))), "")</f>
        <v/>
      </c>
      <c r="C84" s="258"/>
      <c r="D84" s="258"/>
      <c r="E84" s="259"/>
      <c r="F84" s="260" t="str">
        <f t="shared" si="6"/>
        <v/>
      </c>
      <c r="G84" s="260" t="str">
        <f t="array" ref="G84">IFERROR(INDEX(productsQty, SMALL(IF(productsQty&lt;&gt;0, ROW(productsQty)-ROW('BHPC MANAGER'!$CD$10)+1), ROW(#REF!))), "")</f>
        <v/>
      </c>
      <c r="H84" s="261" t="str">
        <f t="array" ref="H84">IFERROR(INDEX(productsSalePrice, SMALL(IF(productsQty&lt;&gt;0, ROW(productsQty)-ROW('BHPC MANAGER'!$CD$10)+1), ROW(#REF!))), "")</f>
        <v/>
      </c>
      <c r="I84" s="260" t="str">
        <f t="array" ref="I84">IFERROR(INDEX(productsCartons, SMALL(IF(productsQty&lt;&gt;0, ROW(productsQty)-ROW('BHPC MANAGER'!$CD$10)+1), ROW(#REF!))), "")</f>
        <v/>
      </c>
      <c r="J84" s="317"/>
      <c r="K84" s="261" t="str">
        <f t="shared" si="7"/>
        <v/>
      </c>
      <c r="L84" s="312" t="str">
        <f t="shared" si="8"/>
        <v/>
      </c>
    </row>
    <row r="85" spans="1:12" ht="14.5" x14ac:dyDescent="0.35">
      <c r="A85" s="256" t="str">
        <f t="array" ref="A85">IFERROR(INDEX(productsSku, SMALL(IF(productsQty&lt;&gt;0, ROW(productsQty)-ROW('BHPC MANAGER'!$CD$10)+1), ROW(#REF!))), "")</f>
        <v/>
      </c>
      <c r="B85" s="257" t="str">
        <f t="array" ref="B85">IFERROR(INDEX(productsDescription, SMALL(IF(productsQty&lt;&gt;0, ROW(productsQty)-ROW('BHPC MANAGER'!$CD$10)+1), ROW(#REF!))), "")</f>
        <v/>
      </c>
      <c r="C85" s="258"/>
      <c r="D85" s="258"/>
      <c r="E85" s="259"/>
      <c r="F85" s="260" t="str">
        <f t="shared" si="6"/>
        <v/>
      </c>
      <c r="G85" s="260" t="str">
        <f t="array" ref="G85">IFERROR(INDEX(productsQty, SMALL(IF(productsQty&lt;&gt;0, ROW(productsQty)-ROW('BHPC MANAGER'!$CD$10)+1), ROW(#REF!))), "")</f>
        <v/>
      </c>
      <c r="H85" s="261" t="str">
        <f t="array" ref="H85">IFERROR(INDEX(productsSalePrice, SMALL(IF(productsQty&lt;&gt;0, ROW(productsQty)-ROW('BHPC MANAGER'!$CD$10)+1), ROW(#REF!))), "")</f>
        <v/>
      </c>
      <c r="I85" s="260" t="str">
        <f t="array" ref="I85">IFERROR(INDEX(productsCartons, SMALL(IF(productsQty&lt;&gt;0, ROW(productsQty)-ROW('BHPC MANAGER'!$CD$10)+1), ROW(#REF!))), "")</f>
        <v/>
      </c>
      <c r="J85" s="317"/>
      <c r="K85" s="261" t="str">
        <f t="shared" si="7"/>
        <v/>
      </c>
      <c r="L85" s="312" t="str">
        <f t="shared" si="8"/>
        <v/>
      </c>
    </row>
    <row r="86" spans="1:12" ht="14.5" x14ac:dyDescent="0.35">
      <c r="A86" s="256" t="str">
        <f t="array" ref="A86">IFERROR(INDEX(productsSku, SMALL(IF(productsQty&lt;&gt;0, ROW(productsQty)-ROW('BHPC MANAGER'!$CD$10)+1), ROW(#REF!))), "")</f>
        <v/>
      </c>
      <c r="B86" s="257" t="str">
        <f t="array" ref="B86">IFERROR(INDEX(productsDescription, SMALL(IF(productsQty&lt;&gt;0, ROW(productsQty)-ROW('BHPC MANAGER'!$CD$10)+1), ROW(#REF!))), "")</f>
        <v/>
      </c>
      <c r="C86" s="258"/>
      <c r="D86" s="258"/>
      <c r="E86" s="259"/>
      <c r="F86" s="260" t="str">
        <f t="shared" si="6"/>
        <v/>
      </c>
      <c r="G86" s="260" t="str">
        <f t="array" ref="G86">IFERROR(INDEX(productsQty, SMALL(IF(productsQty&lt;&gt;0, ROW(productsQty)-ROW('BHPC MANAGER'!$CD$10)+1), ROW(#REF!))), "")</f>
        <v/>
      </c>
      <c r="H86" s="261" t="str">
        <f t="array" ref="H86">IFERROR(INDEX(productsSalePrice, SMALL(IF(productsQty&lt;&gt;0, ROW(productsQty)-ROW('BHPC MANAGER'!$CD$10)+1), ROW(#REF!))), "")</f>
        <v/>
      </c>
      <c r="I86" s="260" t="str">
        <f t="array" ref="I86">IFERROR(INDEX(productsCartons, SMALL(IF(productsQty&lt;&gt;0, ROW(productsQty)-ROW('BHPC MANAGER'!$CD$10)+1), ROW(#REF!))), "")</f>
        <v/>
      </c>
      <c r="J86" s="317"/>
      <c r="K86" s="261" t="str">
        <f t="shared" si="7"/>
        <v/>
      </c>
      <c r="L86" s="312" t="str">
        <f t="shared" si="8"/>
        <v/>
      </c>
    </row>
    <row r="87" spans="1:12" ht="14.5" x14ac:dyDescent="0.35">
      <c r="A87" s="256" t="str">
        <f t="array" ref="A87">IFERROR(INDEX(productsSku, SMALL(IF(productsQty&lt;&gt;0, ROW(productsQty)-ROW('BHPC MANAGER'!$CD$10)+1), ROW(M74))), "")</f>
        <v/>
      </c>
      <c r="B87" s="257" t="str">
        <f t="array" ref="B87">IFERROR(INDEX(productsDescription, SMALL(IF(productsQty&lt;&gt;0, ROW(productsQty)-ROW('BHPC MANAGER'!$CD$10)+1), ROW(M74))), "")</f>
        <v/>
      </c>
      <c r="C87" s="258"/>
      <c r="D87" s="258"/>
      <c r="E87" s="259"/>
      <c r="F87" s="260" t="str">
        <f t="shared" si="6"/>
        <v/>
      </c>
      <c r="G87" s="260" t="str">
        <f t="array" ref="G87">IFERROR(INDEX(productsQty, SMALL(IF(productsQty&lt;&gt;0, ROW(productsQty)-ROW('BHPC MANAGER'!$CD$10)+1), ROW(M74))), "")</f>
        <v/>
      </c>
      <c r="H87" s="261" t="str">
        <f t="array" ref="H87">IFERROR(INDEX(productsSalePrice, SMALL(IF(productsQty&lt;&gt;0, ROW(productsQty)-ROW('BHPC MANAGER'!$CD$10)+1), ROW(M74))), "")</f>
        <v/>
      </c>
      <c r="I87" s="260" t="str">
        <f t="array" ref="I87">IFERROR(INDEX(productsCartons, SMALL(IF(productsQty&lt;&gt;0, ROW(productsQty)-ROW('BHPC MANAGER'!$CD$10)+1), ROW(M74))), "")</f>
        <v/>
      </c>
      <c r="J87" s="317"/>
      <c r="K87" s="261" t="str">
        <f t="shared" si="7"/>
        <v/>
      </c>
      <c r="L87" s="312" t="str">
        <f t="shared" si="8"/>
        <v/>
      </c>
    </row>
    <row r="88" spans="1:12" ht="14.5" x14ac:dyDescent="0.35">
      <c r="A88" s="256" t="str">
        <f t="array" ref="A88">IFERROR(INDEX(productsSku, SMALL(IF(productsQty&lt;&gt;0, ROW(productsQty)-ROW('BHPC MANAGER'!$CD$10)+1), ROW(M75))), "")</f>
        <v/>
      </c>
      <c r="B88" s="257" t="str">
        <f t="array" ref="B88">IFERROR(INDEX(productsDescription, SMALL(IF(productsQty&lt;&gt;0, ROW(productsQty)-ROW('BHPC MANAGER'!$CD$10)+1), ROW(M75))), "")</f>
        <v/>
      </c>
      <c r="C88" s="258"/>
      <c r="D88" s="258"/>
      <c r="E88" s="259"/>
      <c r="F88" s="260" t="str">
        <f t="shared" si="6"/>
        <v/>
      </c>
      <c r="G88" s="260" t="str">
        <f t="array" ref="G88">IFERROR(INDEX(productsQty, SMALL(IF(productsQty&lt;&gt;0, ROW(productsQty)-ROW('BHPC MANAGER'!$CD$10)+1), ROW(M75))), "")</f>
        <v/>
      </c>
      <c r="H88" s="261" t="str">
        <f t="array" ref="H88">IFERROR(INDEX(productsSalePrice, SMALL(IF(productsQty&lt;&gt;0, ROW(productsQty)-ROW('BHPC MANAGER'!$CD$10)+1), ROW(M75))), "")</f>
        <v/>
      </c>
      <c r="I88" s="260" t="str">
        <f t="array" ref="I88">IFERROR(INDEX(productsCartons, SMALL(IF(productsQty&lt;&gt;0, ROW(productsQty)-ROW('BHPC MANAGER'!$CD$10)+1), ROW(M75))), "")</f>
        <v/>
      </c>
      <c r="J88" s="317"/>
      <c r="K88" s="261" t="str">
        <f t="shared" si="7"/>
        <v/>
      </c>
      <c r="L88" s="312" t="str">
        <f t="shared" si="8"/>
        <v/>
      </c>
    </row>
    <row r="89" spans="1:12" ht="14.5" x14ac:dyDescent="0.35">
      <c r="A89" s="256" t="str">
        <f t="array" ref="A89">IFERROR(INDEX(productsSku, SMALL(IF(productsQty&lt;&gt;0, ROW(productsQty)-ROW('BHPC MANAGER'!$CD$10)+1), ROW(M76))), "")</f>
        <v/>
      </c>
      <c r="B89" s="257" t="str">
        <f t="array" ref="B89">IFERROR(INDEX(productsDescription, SMALL(IF(productsQty&lt;&gt;0, ROW(productsQty)-ROW('BHPC MANAGER'!$CD$10)+1), ROW(M76))), "")</f>
        <v/>
      </c>
      <c r="C89" s="258"/>
      <c r="D89" s="258"/>
      <c r="E89" s="259"/>
      <c r="F89" s="260" t="str">
        <f t="shared" si="6"/>
        <v/>
      </c>
      <c r="G89" s="260" t="str">
        <f t="array" ref="G89">IFERROR(INDEX(productsQty, SMALL(IF(productsQty&lt;&gt;0, ROW(productsQty)-ROW('BHPC MANAGER'!$CD$10)+1), ROW(M76))), "")</f>
        <v/>
      </c>
      <c r="H89" s="261" t="str">
        <f t="array" ref="H89">IFERROR(INDEX(productsSalePrice, SMALL(IF(productsQty&lt;&gt;0, ROW(productsQty)-ROW('BHPC MANAGER'!$CD$10)+1), ROW(M76))), "")</f>
        <v/>
      </c>
      <c r="I89" s="260" t="str">
        <f t="array" ref="I89">IFERROR(INDEX(productsCartons, SMALL(IF(productsQty&lt;&gt;0, ROW(productsQty)-ROW('BHPC MANAGER'!$CD$10)+1), ROW(M76))), "")</f>
        <v/>
      </c>
      <c r="J89" s="317"/>
      <c r="K89" s="261" t="str">
        <f t="shared" si="7"/>
        <v/>
      </c>
      <c r="L89" s="312" t="str">
        <f t="shared" si="8"/>
        <v/>
      </c>
    </row>
    <row r="90" spans="1:12" ht="14.5" x14ac:dyDescent="0.35">
      <c r="A90" s="256" t="str">
        <f t="array" ref="A90">IFERROR(INDEX(productsSku, SMALL(IF(productsQty&lt;&gt;0, ROW(productsQty)-ROW('BHPC MANAGER'!$CD$10)+1), ROW(M77))), "")</f>
        <v/>
      </c>
      <c r="B90" s="257" t="str">
        <f t="array" ref="B90">IFERROR(INDEX(productsDescription, SMALL(IF(productsQty&lt;&gt;0, ROW(productsQty)-ROW('BHPC MANAGER'!$CD$10)+1), ROW(M77))), "")</f>
        <v/>
      </c>
      <c r="C90" s="258"/>
      <c r="D90" s="258"/>
      <c r="E90" s="259"/>
      <c r="F90" s="260" t="str">
        <f t="shared" si="6"/>
        <v/>
      </c>
      <c r="G90" s="260" t="str">
        <f t="array" ref="G90">IFERROR(INDEX(productsQty, SMALL(IF(productsQty&lt;&gt;0, ROW(productsQty)-ROW('BHPC MANAGER'!$CD$10)+1), ROW(M77))), "")</f>
        <v/>
      </c>
      <c r="H90" s="261" t="str">
        <f t="array" ref="H90">IFERROR(INDEX(productsSalePrice, SMALL(IF(productsQty&lt;&gt;0, ROW(productsQty)-ROW('BHPC MANAGER'!$CD$10)+1), ROW(M77))), "")</f>
        <v/>
      </c>
      <c r="I90" s="260" t="str">
        <f t="array" ref="I90">IFERROR(INDEX(productsCartons, SMALL(IF(productsQty&lt;&gt;0, ROW(productsQty)-ROW('BHPC MANAGER'!$CD$10)+1), ROW(M77))), "")</f>
        <v/>
      </c>
      <c r="J90" s="317"/>
      <c r="K90" s="261" t="str">
        <f t="shared" si="7"/>
        <v/>
      </c>
      <c r="L90" s="312" t="str">
        <f t="shared" si="8"/>
        <v/>
      </c>
    </row>
    <row r="91" spans="1:12" ht="14.5" x14ac:dyDescent="0.35">
      <c r="A91" s="256" t="str">
        <f t="array" ref="A91">IFERROR(INDEX(productsSku, SMALL(IF(productsQty&lt;&gt;0, ROW(productsQty)-ROW('BHPC MANAGER'!$CD$10)+1), ROW(M78))), "")</f>
        <v/>
      </c>
      <c r="B91" s="257" t="str">
        <f t="array" ref="B91">IFERROR(INDEX(productsDescription, SMALL(IF(productsQty&lt;&gt;0, ROW(productsQty)-ROW('BHPC MANAGER'!$CD$10)+1), ROW(M78))), "")</f>
        <v/>
      </c>
      <c r="C91" s="258"/>
      <c r="D91" s="258"/>
      <c r="E91" s="259"/>
      <c r="F91" s="260" t="str">
        <f t="shared" si="6"/>
        <v/>
      </c>
      <c r="G91" s="260" t="str">
        <f t="array" ref="G91">IFERROR(INDEX(productsQty, SMALL(IF(productsQty&lt;&gt;0, ROW(productsQty)-ROW('BHPC MANAGER'!$CD$10)+1), ROW(M78))), "")</f>
        <v/>
      </c>
      <c r="H91" s="261" t="str">
        <f t="array" ref="H91">IFERROR(INDEX(productsSalePrice, SMALL(IF(productsQty&lt;&gt;0, ROW(productsQty)-ROW('BHPC MANAGER'!$CD$10)+1), ROW(M78))), "")</f>
        <v/>
      </c>
      <c r="I91" s="260" t="str">
        <f t="array" ref="I91">IFERROR(INDEX(productsCartons, SMALL(IF(productsQty&lt;&gt;0, ROW(productsQty)-ROW('BHPC MANAGER'!$CD$10)+1), ROW(M78))), "")</f>
        <v/>
      </c>
      <c r="J91" s="317"/>
      <c r="K91" s="261" t="str">
        <f t="shared" si="7"/>
        <v/>
      </c>
      <c r="L91" s="312" t="str">
        <f t="shared" si="8"/>
        <v/>
      </c>
    </row>
    <row r="92" spans="1:12" ht="14.5" x14ac:dyDescent="0.35">
      <c r="A92" s="256" t="str">
        <f t="array" ref="A92">IFERROR(INDEX(productsSku, SMALL(IF(productsQty&lt;&gt;0, ROW(productsQty)-ROW('BHPC MANAGER'!$CD$10)+1), ROW(M79))), "")</f>
        <v/>
      </c>
      <c r="B92" s="257" t="str">
        <f t="array" ref="B92">IFERROR(INDEX(productsDescription, SMALL(IF(productsQty&lt;&gt;0, ROW(productsQty)-ROW('BHPC MANAGER'!$CD$10)+1), ROW(M79))), "")</f>
        <v/>
      </c>
      <c r="C92" s="258"/>
      <c r="D92" s="258"/>
      <c r="E92" s="259"/>
      <c r="F92" s="260" t="str">
        <f t="shared" si="6"/>
        <v/>
      </c>
      <c r="G92" s="260" t="str">
        <f t="array" ref="G92">IFERROR(INDEX(productsQty, SMALL(IF(productsQty&lt;&gt;0, ROW(productsQty)-ROW('BHPC MANAGER'!$CD$10)+1), ROW(M79))), "")</f>
        <v/>
      </c>
      <c r="H92" s="261" t="str">
        <f t="array" ref="H92">IFERROR(INDEX(productsSalePrice, SMALL(IF(productsQty&lt;&gt;0, ROW(productsQty)-ROW('BHPC MANAGER'!$CD$10)+1), ROW(M79))), "")</f>
        <v/>
      </c>
      <c r="I92" s="260" t="str">
        <f t="array" ref="I92">IFERROR(INDEX(productsCartons, SMALL(IF(productsQty&lt;&gt;0, ROW(productsQty)-ROW('BHPC MANAGER'!$CD$10)+1), ROW(M79))), "")</f>
        <v/>
      </c>
      <c r="J92" s="317"/>
      <c r="K92" s="261" t="str">
        <f t="shared" si="7"/>
        <v/>
      </c>
      <c r="L92" s="312" t="str">
        <f t="shared" si="8"/>
        <v/>
      </c>
    </row>
    <row r="93" spans="1:12" ht="14.5" x14ac:dyDescent="0.35">
      <c r="A93" s="256" t="str">
        <f t="array" ref="A93">IFERROR(INDEX(productsSku, SMALL(IF(productsQty&lt;&gt;0, ROW(productsQty)-ROW('BHPC MANAGER'!$CD$10)+1), ROW(M80))), "")</f>
        <v/>
      </c>
      <c r="B93" s="257" t="str">
        <f t="array" ref="B93">IFERROR(INDEX(productsDescription, SMALL(IF(productsQty&lt;&gt;0, ROW(productsQty)-ROW('BHPC MANAGER'!$CD$10)+1), ROW(M80))), "")</f>
        <v/>
      </c>
      <c r="C93" s="258"/>
      <c r="D93" s="258"/>
      <c r="E93" s="259"/>
      <c r="F93" s="260" t="str">
        <f t="shared" si="6"/>
        <v/>
      </c>
      <c r="G93" s="260" t="str">
        <f t="array" ref="G93">IFERROR(INDEX(productsQty, SMALL(IF(productsQty&lt;&gt;0, ROW(productsQty)-ROW('BHPC MANAGER'!$CD$10)+1), ROW(M80))), "")</f>
        <v/>
      </c>
      <c r="H93" s="261" t="str">
        <f t="array" ref="H93">IFERROR(INDEX(productsSalePrice, SMALL(IF(productsQty&lt;&gt;0, ROW(productsQty)-ROW('BHPC MANAGER'!$CD$10)+1), ROW(M80))), "")</f>
        <v/>
      </c>
      <c r="I93" s="260" t="str">
        <f t="array" ref="I93">IFERROR(INDEX(productsCartons, SMALL(IF(productsQty&lt;&gt;0, ROW(productsQty)-ROW('BHPC MANAGER'!$CD$10)+1), ROW(M80))), "")</f>
        <v/>
      </c>
      <c r="J93" s="317"/>
      <c r="K93" s="261" t="str">
        <f t="shared" si="7"/>
        <v/>
      </c>
      <c r="L93" s="312" t="str">
        <f t="shared" si="8"/>
        <v/>
      </c>
    </row>
    <row r="94" spans="1:12" ht="14.5" x14ac:dyDescent="0.35">
      <c r="A94" s="256" t="str">
        <f t="array" ref="A94">IFERROR(INDEX(productsSku, SMALL(IF(productsQty&lt;&gt;0, ROW(productsQty)-ROW('BHPC MANAGER'!$CD$10)+1), ROW(M81))), "")</f>
        <v/>
      </c>
      <c r="B94" s="257" t="str">
        <f t="array" ref="B94">IFERROR(INDEX(productsDescription, SMALL(IF(productsQty&lt;&gt;0, ROW(productsQty)-ROW('BHPC MANAGER'!$CD$10)+1), ROW(M81))), "")</f>
        <v/>
      </c>
      <c r="C94" s="258"/>
      <c r="D94" s="258"/>
      <c r="E94" s="259"/>
      <c r="F94" s="260" t="str">
        <f t="shared" si="6"/>
        <v/>
      </c>
      <c r="G94" s="260" t="str">
        <f t="array" ref="G94">IFERROR(INDEX(productsQty, SMALL(IF(productsQty&lt;&gt;0, ROW(productsQty)-ROW('BHPC MANAGER'!$CD$10)+1), ROW(M81))), "")</f>
        <v/>
      </c>
      <c r="H94" s="261" t="str">
        <f t="array" ref="H94">IFERROR(INDEX(productsSalePrice, SMALL(IF(productsQty&lt;&gt;0, ROW(productsQty)-ROW('BHPC MANAGER'!$CD$10)+1), ROW(M81))), "")</f>
        <v/>
      </c>
      <c r="I94" s="260" t="str">
        <f t="array" ref="I94">IFERROR(INDEX(productsCartons, SMALL(IF(productsQty&lt;&gt;0, ROW(productsQty)-ROW('BHPC MANAGER'!$CD$10)+1), ROW(M81))), "")</f>
        <v/>
      </c>
      <c r="J94" s="317"/>
      <c r="K94" s="261" t="str">
        <f t="shared" si="7"/>
        <v/>
      </c>
      <c r="L94" s="312" t="str">
        <f t="shared" si="8"/>
        <v/>
      </c>
    </row>
    <row r="95" spans="1:12" ht="14.5" x14ac:dyDescent="0.35">
      <c r="A95" s="256" t="str">
        <f t="array" ref="A95">IFERROR(INDEX(productsSku, SMALL(IF(productsQty&lt;&gt;0, ROW(productsQty)-ROW('BHPC MANAGER'!$CD$10)+1), ROW(M82))), "")</f>
        <v/>
      </c>
      <c r="B95" s="257" t="str">
        <f t="array" ref="B95">IFERROR(INDEX(productsDescription, SMALL(IF(productsQty&lt;&gt;0, ROW(productsQty)-ROW('BHPC MANAGER'!$CD$10)+1), ROW(M82))), "")</f>
        <v/>
      </c>
      <c r="C95" s="258"/>
      <c r="D95" s="258"/>
      <c r="E95" s="259"/>
      <c r="F95" s="260" t="str">
        <f t="shared" si="6"/>
        <v/>
      </c>
      <c r="G95" s="260" t="str">
        <f t="array" ref="G95">IFERROR(INDEX(productsQty, SMALL(IF(productsQty&lt;&gt;0, ROW(productsQty)-ROW('BHPC MANAGER'!$CD$10)+1), ROW(M82))), "")</f>
        <v/>
      </c>
      <c r="H95" s="261" t="str">
        <f t="array" ref="H95">IFERROR(INDEX(productsSalePrice, SMALL(IF(productsQty&lt;&gt;0, ROW(productsQty)-ROW('BHPC MANAGER'!$CD$10)+1), ROW(M82))), "")</f>
        <v/>
      </c>
      <c r="I95" s="260" t="str">
        <f t="array" ref="I95">IFERROR(INDEX(productsCartons, SMALL(IF(productsQty&lt;&gt;0, ROW(productsQty)-ROW('BHPC MANAGER'!$CD$10)+1), ROW(M82))), "")</f>
        <v/>
      </c>
      <c r="J95" s="317"/>
      <c r="K95" s="261" t="str">
        <f t="shared" si="7"/>
        <v/>
      </c>
      <c r="L95" s="312" t="str">
        <f t="shared" si="8"/>
        <v/>
      </c>
    </row>
    <row r="96" spans="1:12" ht="14.5" x14ac:dyDescent="0.35">
      <c r="A96" s="256" t="str">
        <f t="array" ref="A96">IFERROR(INDEX(productsSku, SMALL(IF(productsQty&lt;&gt;0, ROW(productsQty)-ROW('BHPC MANAGER'!$CD$10)+1), ROW(M83))), "")</f>
        <v/>
      </c>
      <c r="B96" s="257" t="str">
        <f t="array" ref="B96">IFERROR(INDEX(productsDescription, SMALL(IF(productsQty&lt;&gt;0, ROW(productsQty)-ROW('BHPC MANAGER'!$CD$10)+1), ROW(M83))), "")</f>
        <v/>
      </c>
      <c r="C96" s="258"/>
      <c r="D96" s="258"/>
      <c r="E96" s="259"/>
      <c r="F96" s="260" t="str">
        <f t="shared" si="6"/>
        <v/>
      </c>
      <c r="G96" s="260" t="str">
        <f t="array" ref="G96">IFERROR(INDEX(productsQty, SMALL(IF(productsQty&lt;&gt;0, ROW(productsQty)-ROW('BHPC MANAGER'!$CD$10)+1), ROW(M83))), "")</f>
        <v/>
      </c>
      <c r="H96" s="261" t="str">
        <f t="array" ref="H96">IFERROR(INDEX(productsSalePrice, SMALL(IF(productsQty&lt;&gt;0, ROW(productsQty)-ROW('BHPC MANAGER'!$CD$10)+1), ROW(M83))), "")</f>
        <v/>
      </c>
      <c r="I96" s="260" t="str">
        <f t="array" ref="I96">IFERROR(INDEX(productsCartons, SMALL(IF(productsQty&lt;&gt;0, ROW(productsQty)-ROW('BHPC MANAGER'!$CD$10)+1), ROW(M83))), "")</f>
        <v/>
      </c>
      <c r="J96" s="317"/>
      <c r="K96" s="261" t="str">
        <f t="shared" si="7"/>
        <v/>
      </c>
      <c r="L96" s="312" t="str">
        <f t="shared" si="8"/>
        <v/>
      </c>
    </row>
    <row r="97" spans="1:12" ht="14.5" x14ac:dyDescent="0.35">
      <c r="A97" s="256" t="str">
        <f t="array" ref="A97">IFERROR(INDEX(productsSku, SMALL(IF(productsQty&lt;&gt;0, ROW(productsQty)-ROW('BHPC MANAGER'!$CD$10)+1), ROW(M84))), "")</f>
        <v/>
      </c>
      <c r="B97" s="257" t="str">
        <f t="array" ref="B97">IFERROR(INDEX(productsDescription, SMALL(IF(productsQty&lt;&gt;0, ROW(productsQty)-ROW('BHPC MANAGER'!$CD$10)+1), ROW(M84))), "")</f>
        <v/>
      </c>
      <c r="C97" s="258"/>
      <c r="D97" s="258"/>
      <c r="E97" s="259"/>
      <c r="F97" s="260" t="str">
        <f t="shared" si="6"/>
        <v/>
      </c>
      <c r="G97" s="260" t="str">
        <f t="array" ref="G97">IFERROR(INDEX(productsQty, SMALL(IF(productsQty&lt;&gt;0, ROW(productsQty)-ROW('BHPC MANAGER'!$CD$10)+1), ROW(M84))), "")</f>
        <v/>
      </c>
      <c r="H97" s="261" t="str">
        <f t="array" ref="H97">IFERROR(INDEX(productsSalePrice, SMALL(IF(productsQty&lt;&gt;0, ROW(productsQty)-ROW('BHPC MANAGER'!$CD$10)+1), ROW(M84))), "")</f>
        <v/>
      </c>
      <c r="I97" s="260" t="str">
        <f t="array" ref="I97">IFERROR(INDEX(productsCartons, SMALL(IF(productsQty&lt;&gt;0, ROW(productsQty)-ROW('BHPC MANAGER'!$CD$10)+1), ROW(M84))), "")</f>
        <v/>
      </c>
      <c r="J97" s="317"/>
      <c r="K97" s="261" t="str">
        <f t="shared" si="7"/>
        <v/>
      </c>
      <c r="L97" s="312" t="str">
        <f t="shared" si="8"/>
        <v/>
      </c>
    </row>
    <row r="98" spans="1:12" ht="14.5" x14ac:dyDescent="0.35">
      <c r="A98" s="256" t="str">
        <f t="array" ref="A98">IFERROR(INDEX(productsSku, SMALL(IF(productsQty&lt;&gt;0, ROW(productsQty)-ROW('BHPC MANAGER'!$CD$10)+1), ROW(M85))), "")</f>
        <v/>
      </c>
      <c r="B98" s="257" t="str">
        <f t="array" ref="B98">IFERROR(INDEX(productsDescription, SMALL(IF(productsQty&lt;&gt;0, ROW(productsQty)-ROW('BHPC MANAGER'!$CD$10)+1), ROW(M85))), "")</f>
        <v/>
      </c>
      <c r="C98" s="258"/>
      <c r="D98" s="258"/>
      <c r="E98" s="259"/>
      <c r="F98" s="260" t="str">
        <f t="shared" si="6"/>
        <v/>
      </c>
      <c r="G98" s="260" t="str">
        <f t="array" ref="G98">IFERROR(INDEX(productsQty, SMALL(IF(productsQty&lt;&gt;0, ROW(productsQty)-ROW('BHPC MANAGER'!$CD$10)+1), ROW(M85))), "")</f>
        <v/>
      </c>
      <c r="H98" s="261" t="str">
        <f t="array" ref="H98">IFERROR(INDEX(productsSalePrice, SMALL(IF(productsQty&lt;&gt;0, ROW(productsQty)-ROW('BHPC MANAGER'!$CD$10)+1), ROW(M85))), "")</f>
        <v/>
      </c>
      <c r="I98" s="260" t="str">
        <f t="array" ref="I98">IFERROR(INDEX(productsCartons, SMALL(IF(productsQty&lt;&gt;0, ROW(productsQty)-ROW('BHPC MANAGER'!$CD$10)+1), ROW(M85))), "")</f>
        <v/>
      </c>
      <c r="J98" s="317"/>
      <c r="K98" s="261" t="str">
        <f t="shared" si="7"/>
        <v/>
      </c>
      <c r="L98" s="312" t="str">
        <f t="shared" si="8"/>
        <v/>
      </c>
    </row>
    <row r="99" spans="1:12" ht="14.5" x14ac:dyDescent="0.35">
      <c r="A99" s="256" t="str">
        <f t="array" ref="A99">IFERROR(INDEX(productsSku, SMALL(IF(productsQty&lt;&gt;0, ROW(productsQty)-ROW('BHPC MANAGER'!$CD$10)+1), ROW(M86))), "")</f>
        <v/>
      </c>
      <c r="B99" s="257" t="str">
        <f t="array" ref="B99">IFERROR(INDEX(productsDescription, SMALL(IF(productsQty&lt;&gt;0, ROW(productsQty)-ROW('BHPC MANAGER'!$CD$10)+1), ROW(M86))), "")</f>
        <v/>
      </c>
      <c r="C99" s="258"/>
      <c r="D99" s="258"/>
      <c r="E99" s="259"/>
      <c r="F99" s="260" t="str">
        <f t="shared" si="6"/>
        <v/>
      </c>
      <c r="G99" s="260" t="str">
        <f t="array" ref="G99">IFERROR(INDEX(productsQty, SMALL(IF(productsQty&lt;&gt;0, ROW(productsQty)-ROW('BHPC MANAGER'!$CD$10)+1), ROW(M86))), "")</f>
        <v/>
      </c>
      <c r="H99" s="261" t="str">
        <f t="array" ref="H99">IFERROR(INDEX(productsSalePrice, SMALL(IF(productsQty&lt;&gt;0, ROW(productsQty)-ROW('BHPC MANAGER'!$CD$10)+1), ROW(M86))), "")</f>
        <v/>
      </c>
      <c r="I99" s="260" t="str">
        <f t="array" ref="I99">IFERROR(INDEX(productsCartons, SMALL(IF(productsQty&lt;&gt;0, ROW(productsQty)-ROW('BHPC MANAGER'!$CD$10)+1), ROW(M86))), "")</f>
        <v/>
      </c>
      <c r="J99" s="317"/>
      <c r="K99" s="261" t="str">
        <f t="shared" si="7"/>
        <v/>
      </c>
      <c r="L99" s="312" t="str">
        <f t="shared" si="8"/>
        <v/>
      </c>
    </row>
    <row r="100" spans="1:12" ht="14.5" x14ac:dyDescent="0.35">
      <c r="A100" s="256" t="str">
        <f t="array" ref="A100">IFERROR(INDEX(productsSku, SMALL(IF(productsQty&lt;&gt;0, ROW(productsQty)-ROW('BHPC MANAGER'!$CD$10)+1), ROW(M87))), "")</f>
        <v/>
      </c>
      <c r="B100" s="257" t="str">
        <f t="array" ref="B100">IFERROR(INDEX(productsDescription, SMALL(IF(productsQty&lt;&gt;0, ROW(productsQty)-ROW('BHPC MANAGER'!$CD$10)+1), ROW(M87))), "")</f>
        <v/>
      </c>
      <c r="C100" s="258"/>
      <c r="D100" s="258"/>
      <c r="E100" s="259"/>
      <c r="F100" s="260" t="str">
        <f t="shared" si="6"/>
        <v/>
      </c>
      <c r="G100" s="260" t="str">
        <f t="array" ref="G100">IFERROR(INDEX(productsQty, SMALL(IF(productsQty&lt;&gt;0, ROW(productsQty)-ROW('BHPC MANAGER'!$CD$10)+1), ROW(M87))), "")</f>
        <v/>
      </c>
      <c r="H100" s="261" t="str">
        <f t="array" ref="H100">IFERROR(INDEX(productsSalePrice, SMALL(IF(productsQty&lt;&gt;0, ROW(productsQty)-ROW('BHPC MANAGER'!$CD$10)+1), ROW(M87))), "")</f>
        <v/>
      </c>
      <c r="I100" s="260" t="str">
        <f t="array" ref="I100">IFERROR(INDEX(productsCartons, SMALL(IF(productsQty&lt;&gt;0, ROW(productsQty)-ROW('BHPC MANAGER'!$CD$10)+1), ROW(M87))), "")</f>
        <v/>
      </c>
      <c r="J100" s="317"/>
      <c r="K100" s="261" t="str">
        <f t="shared" si="7"/>
        <v/>
      </c>
      <c r="L100" s="312" t="str">
        <f t="shared" si="8"/>
        <v/>
      </c>
    </row>
    <row r="101" spans="1:12" ht="14.5" x14ac:dyDescent="0.35">
      <c r="A101" s="256" t="str">
        <f t="array" ref="A101">IFERROR(INDEX(productsSku, SMALL(IF(productsQty&lt;&gt;0, ROW(productsQty)-ROW('BHPC MANAGER'!$CD$10)+1), ROW(M88))), "")</f>
        <v/>
      </c>
      <c r="B101" s="257" t="str">
        <f t="array" ref="B101">IFERROR(INDEX(productsDescription, SMALL(IF(productsQty&lt;&gt;0, ROW(productsQty)-ROW('BHPC MANAGER'!$CD$10)+1), ROW(M88))), "")</f>
        <v/>
      </c>
      <c r="C101" s="258"/>
      <c r="D101" s="258"/>
      <c r="E101" s="259"/>
      <c r="F101" s="260" t="str">
        <f t="shared" si="6"/>
        <v/>
      </c>
      <c r="G101" s="260" t="str">
        <f t="array" ref="G101">IFERROR(INDEX(productsQty, SMALL(IF(productsQty&lt;&gt;0, ROW(productsQty)-ROW('BHPC MANAGER'!$CD$10)+1), ROW(M88))), "")</f>
        <v/>
      </c>
      <c r="H101" s="261" t="str">
        <f t="array" ref="H101">IFERROR(INDEX(productsSalePrice, SMALL(IF(productsQty&lt;&gt;0, ROW(productsQty)-ROW('BHPC MANAGER'!$CD$10)+1), ROW(M88))), "")</f>
        <v/>
      </c>
      <c r="I101" s="260" t="str">
        <f t="array" ref="I101">IFERROR(INDEX(productsCartons, SMALL(IF(productsQty&lt;&gt;0, ROW(productsQty)-ROW('BHPC MANAGER'!$CD$10)+1), ROW(M88))), "")</f>
        <v/>
      </c>
      <c r="J101" s="317"/>
      <c r="K101" s="261" t="str">
        <f t="shared" si="7"/>
        <v/>
      </c>
      <c r="L101" s="312" t="str">
        <f t="shared" si="8"/>
        <v/>
      </c>
    </row>
    <row r="102" spans="1:12" ht="14.5" x14ac:dyDescent="0.35">
      <c r="A102" s="256" t="str">
        <f t="array" ref="A102">IFERROR(INDEX(productsSku, SMALL(IF(productsQty&lt;&gt;0, ROW(productsQty)-ROW('BHPC MANAGER'!$CD$10)+1), ROW(M89))), "")</f>
        <v/>
      </c>
      <c r="B102" s="257" t="str">
        <f t="array" ref="B102">IFERROR(INDEX(productsDescription, SMALL(IF(productsQty&lt;&gt;0, ROW(productsQty)-ROW('BHPC MANAGER'!$CD$10)+1), ROW(M89))), "")</f>
        <v/>
      </c>
      <c r="C102" s="258"/>
      <c r="D102" s="258"/>
      <c r="E102" s="259"/>
      <c r="F102" s="260" t="str">
        <f t="shared" si="6"/>
        <v/>
      </c>
      <c r="G102" s="260" t="str">
        <f t="array" ref="G102">IFERROR(INDEX(productsQty, SMALL(IF(productsQty&lt;&gt;0, ROW(productsQty)-ROW('BHPC MANAGER'!$CD$10)+1), ROW(M89))), "")</f>
        <v/>
      </c>
      <c r="H102" s="261" t="str">
        <f t="array" ref="H102">IFERROR(INDEX(productsSalePrice, SMALL(IF(productsQty&lt;&gt;0, ROW(productsQty)-ROW('BHPC MANAGER'!$CD$10)+1), ROW(M89))), "")</f>
        <v/>
      </c>
      <c r="I102" s="260" t="str">
        <f t="array" ref="I102">IFERROR(INDEX(productsCartons, SMALL(IF(productsQty&lt;&gt;0, ROW(productsQty)-ROW('BHPC MANAGER'!$CD$10)+1), ROW(M89))), "")</f>
        <v/>
      </c>
      <c r="J102" s="317"/>
      <c r="K102" s="261" t="str">
        <f t="shared" si="7"/>
        <v/>
      </c>
      <c r="L102" s="312" t="str">
        <f t="shared" si="8"/>
        <v/>
      </c>
    </row>
    <row r="103" spans="1:12" ht="14.5" x14ac:dyDescent="0.35">
      <c r="A103" s="256" t="str">
        <f t="array" ref="A103">IFERROR(INDEX(productsSku, SMALL(IF(productsQty&lt;&gt;0, ROW(productsQty)-ROW('BHPC MANAGER'!$CD$10)+1), ROW(M90))), "")</f>
        <v/>
      </c>
      <c r="B103" s="257" t="str">
        <f t="array" ref="B103">IFERROR(INDEX(productsDescription, SMALL(IF(productsQty&lt;&gt;0, ROW(productsQty)-ROW('BHPC MANAGER'!$CD$10)+1), ROW(M90))), "")</f>
        <v/>
      </c>
      <c r="C103" s="258"/>
      <c r="D103" s="258"/>
      <c r="E103" s="259"/>
      <c r="F103" s="260" t="str">
        <f t="shared" si="6"/>
        <v/>
      </c>
      <c r="G103" s="260" t="str">
        <f t="array" ref="G103">IFERROR(INDEX(productsQty, SMALL(IF(productsQty&lt;&gt;0, ROW(productsQty)-ROW('BHPC MANAGER'!$CD$10)+1), ROW(M90))), "")</f>
        <v/>
      </c>
      <c r="H103" s="261" t="str">
        <f t="array" ref="H103">IFERROR(INDEX(productsSalePrice, SMALL(IF(productsQty&lt;&gt;0, ROW(productsQty)-ROW('BHPC MANAGER'!$CD$10)+1), ROW(M90))), "")</f>
        <v/>
      </c>
      <c r="I103" s="260" t="str">
        <f t="array" ref="I103">IFERROR(INDEX(productsCartons, SMALL(IF(productsQty&lt;&gt;0, ROW(productsQty)-ROW('BHPC MANAGER'!$CD$10)+1), ROW(M90))), "")</f>
        <v/>
      </c>
      <c r="J103" s="317"/>
      <c r="K103" s="261" t="str">
        <f t="shared" si="7"/>
        <v/>
      </c>
      <c r="L103" s="312" t="str">
        <f t="shared" si="8"/>
        <v/>
      </c>
    </row>
    <row r="104" spans="1:12" ht="14.5" x14ac:dyDescent="0.35">
      <c r="A104" s="256" t="str">
        <f t="array" ref="A104">IFERROR(INDEX(productsSku, SMALL(IF(productsQty&lt;&gt;0, ROW(productsQty)-ROW('BHPC MANAGER'!$CD$10)+1), ROW(M91))), "")</f>
        <v/>
      </c>
      <c r="B104" s="257" t="str">
        <f t="array" ref="B104">IFERROR(INDEX(productsDescription, SMALL(IF(productsQty&lt;&gt;0, ROW(productsQty)-ROW('BHPC MANAGER'!$CD$10)+1), ROW(M91))), "")</f>
        <v/>
      </c>
      <c r="C104" s="258"/>
      <c r="D104" s="258"/>
      <c r="E104" s="259"/>
      <c r="F104" s="260" t="str">
        <f t="shared" si="6"/>
        <v/>
      </c>
      <c r="G104" s="260" t="str">
        <f t="array" ref="G104">IFERROR(INDEX(productsQty, SMALL(IF(productsQty&lt;&gt;0, ROW(productsQty)-ROW('BHPC MANAGER'!$CD$10)+1), ROW(M91))), "")</f>
        <v/>
      </c>
      <c r="H104" s="261" t="str">
        <f t="array" ref="H104">IFERROR(INDEX(productsSalePrice, SMALL(IF(productsQty&lt;&gt;0, ROW(productsQty)-ROW('BHPC MANAGER'!$CD$10)+1), ROW(M91))), "")</f>
        <v/>
      </c>
      <c r="I104" s="260" t="str">
        <f t="array" ref="I104">IFERROR(INDEX(productsCartons, SMALL(IF(productsQty&lt;&gt;0, ROW(productsQty)-ROW('BHPC MANAGER'!$CD$10)+1), ROW(M91))), "")</f>
        <v/>
      </c>
      <c r="J104" s="317"/>
      <c r="K104" s="261" t="str">
        <f t="shared" si="7"/>
        <v/>
      </c>
      <c r="L104" s="312" t="str">
        <f t="shared" si="8"/>
        <v/>
      </c>
    </row>
    <row r="105" spans="1:12" ht="14.5" x14ac:dyDescent="0.35">
      <c r="A105" s="256" t="str">
        <f t="array" ref="A105">IFERROR(INDEX(productsSku, SMALL(IF(productsQty&lt;&gt;0, ROW(productsQty)-ROW('BHPC MANAGER'!$CD$10)+1), ROW(M92))), "")</f>
        <v/>
      </c>
      <c r="B105" s="257" t="str">
        <f t="array" ref="B105">IFERROR(INDEX(productsDescription, SMALL(IF(productsQty&lt;&gt;0, ROW(productsQty)-ROW('BHPC MANAGER'!$CD$10)+1), ROW(M92))), "")</f>
        <v/>
      </c>
      <c r="C105" s="258"/>
      <c r="D105" s="258"/>
      <c r="E105" s="259"/>
      <c r="F105" s="260" t="str">
        <f t="shared" si="6"/>
        <v/>
      </c>
      <c r="G105" s="260" t="str">
        <f t="array" ref="G105">IFERROR(INDEX(productsQty, SMALL(IF(productsQty&lt;&gt;0, ROW(productsQty)-ROW('BHPC MANAGER'!$CD$10)+1), ROW(M92))), "")</f>
        <v/>
      </c>
      <c r="H105" s="261" t="str">
        <f t="array" ref="H105">IFERROR(INDEX(productsSalePrice, SMALL(IF(productsQty&lt;&gt;0, ROW(productsQty)-ROW('BHPC MANAGER'!$CD$10)+1), ROW(M92))), "")</f>
        <v/>
      </c>
      <c r="I105" s="260" t="str">
        <f t="array" ref="I105">IFERROR(INDEX(productsCartons, SMALL(IF(productsQty&lt;&gt;0, ROW(productsQty)-ROW('BHPC MANAGER'!$CD$10)+1), ROW(M92))), "")</f>
        <v/>
      </c>
      <c r="J105" s="317"/>
      <c r="K105" s="261" t="str">
        <f t="shared" si="7"/>
        <v/>
      </c>
      <c r="L105" s="312" t="str">
        <f t="shared" si="8"/>
        <v/>
      </c>
    </row>
    <row r="106" spans="1:12" ht="14.5" x14ac:dyDescent="0.35">
      <c r="A106" s="256" t="str">
        <f t="array" ref="A106">IFERROR(INDEX(productsSku, SMALL(IF(productsQty&lt;&gt;0, ROW(productsQty)-ROW('BHPC MANAGER'!$CD$10)+1), ROW(M93))), "")</f>
        <v/>
      </c>
      <c r="B106" s="257" t="str">
        <f t="array" ref="B106">IFERROR(INDEX(productsDescription, SMALL(IF(productsQty&lt;&gt;0, ROW(productsQty)-ROW('BHPC MANAGER'!$CD$10)+1), ROW(M93))), "")</f>
        <v/>
      </c>
      <c r="C106" s="258"/>
      <c r="D106" s="258"/>
      <c r="E106" s="259"/>
      <c r="F106" s="260" t="str">
        <f t="shared" si="6"/>
        <v/>
      </c>
      <c r="G106" s="260" t="str">
        <f t="array" ref="G106">IFERROR(INDEX(productsQty, SMALL(IF(productsQty&lt;&gt;0, ROW(productsQty)-ROW('BHPC MANAGER'!$CD$10)+1), ROW(M93))), "")</f>
        <v/>
      </c>
      <c r="H106" s="261" t="str">
        <f t="array" ref="H106">IFERROR(INDEX(productsSalePrice, SMALL(IF(productsQty&lt;&gt;0, ROW(productsQty)-ROW('BHPC MANAGER'!$CD$10)+1), ROW(M93))), "")</f>
        <v/>
      </c>
      <c r="I106" s="260" t="str">
        <f t="array" ref="I106">IFERROR(INDEX(productsCartons, SMALL(IF(productsQty&lt;&gt;0, ROW(productsQty)-ROW('BHPC MANAGER'!$CD$10)+1), ROW(M93))), "")</f>
        <v/>
      </c>
      <c r="J106" s="317"/>
      <c r="K106" s="261" t="str">
        <f t="shared" si="7"/>
        <v/>
      </c>
      <c r="L106" s="312" t="str">
        <f t="shared" si="8"/>
        <v/>
      </c>
    </row>
    <row r="107" spans="1:12" ht="14.5" x14ac:dyDescent="0.35">
      <c r="A107" s="256" t="str">
        <f t="array" ref="A107">IFERROR(INDEX(productsSku, SMALL(IF(productsQty&lt;&gt;0, ROW(productsQty)-ROW('BHPC MANAGER'!$CD$10)+1), ROW(M94))), "")</f>
        <v/>
      </c>
      <c r="B107" s="257" t="str">
        <f t="array" ref="B107">IFERROR(INDEX(productsDescription, SMALL(IF(productsQty&lt;&gt;0, ROW(productsQty)-ROW('BHPC MANAGER'!$CD$10)+1), ROW(M94))), "")</f>
        <v/>
      </c>
      <c r="C107" s="258"/>
      <c r="D107" s="258"/>
      <c r="E107" s="259"/>
      <c r="F107" s="260" t="str">
        <f t="shared" si="6"/>
        <v/>
      </c>
      <c r="G107" s="260" t="str">
        <f t="array" ref="G107">IFERROR(INDEX(productsQty, SMALL(IF(productsQty&lt;&gt;0, ROW(productsQty)-ROW('BHPC MANAGER'!$CD$10)+1), ROW(M94))), "")</f>
        <v/>
      </c>
      <c r="H107" s="261" t="str">
        <f t="array" ref="H107">IFERROR(INDEX(productsSalePrice, SMALL(IF(productsQty&lt;&gt;0, ROW(productsQty)-ROW('BHPC MANAGER'!$CD$10)+1), ROW(M94))), "")</f>
        <v/>
      </c>
      <c r="I107" s="260" t="str">
        <f t="array" ref="I107">IFERROR(INDEX(productsCartons, SMALL(IF(productsQty&lt;&gt;0, ROW(productsQty)-ROW('BHPC MANAGER'!$CD$10)+1), ROW(M94))), "")</f>
        <v/>
      </c>
      <c r="J107" s="317"/>
      <c r="K107" s="261" t="str">
        <f t="shared" si="7"/>
        <v/>
      </c>
      <c r="L107" s="312" t="str">
        <f t="shared" si="8"/>
        <v/>
      </c>
    </row>
    <row r="108" spans="1:12" ht="14.5" x14ac:dyDescent="0.35">
      <c r="A108" s="256" t="str">
        <f t="array" ref="A108">IFERROR(INDEX(productsSku, SMALL(IF(productsQty&lt;&gt;0, ROW(productsQty)-ROW('BHPC MANAGER'!$CD$10)+1), ROW(M95))), "")</f>
        <v/>
      </c>
      <c r="B108" s="257" t="str">
        <f t="array" ref="B108">IFERROR(INDEX(productsDescription, SMALL(IF(productsQty&lt;&gt;0, ROW(productsQty)-ROW('BHPC MANAGER'!$CD$10)+1), ROW(M95))), "")</f>
        <v/>
      </c>
      <c r="C108" s="258"/>
      <c r="D108" s="258"/>
      <c r="E108" s="259"/>
      <c r="F108" s="260" t="str">
        <f t="shared" si="6"/>
        <v/>
      </c>
      <c r="G108" s="260" t="str">
        <f t="array" ref="G108">IFERROR(INDEX(productsQty, SMALL(IF(productsQty&lt;&gt;0, ROW(productsQty)-ROW('BHPC MANAGER'!$CD$10)+1), ROW(M95))), "")</f>
        <v/>
      </c>
      <c r="H108" s="261" t="str">
        <f t="array" ref="H108">IFERROR(INDEX(productsSalePrice, SMALL(IF(productsQty&lt;&gt;0, ROW(productsQty)-ROW('BHPC MANAGER'!$CD$10)+1), ROW(M95))), "")</f>
        <v/>
      </c>
      <c r="I108" s="260" t="str">
        <f t="array" ref="I108">IFERROR(INDEX(productsCartons, SMALL(IF(productsQty&lt;&gt;0, ROW(productsQty)-ROW('BHPC MANAGER'!$CD$10)+1), ROW(M95))), "")</f>
        <v/>
      </c>
      <c r="J108" s="317"/>
      <c r="K108" s="261" t="str">
        <f t="shared" si="7"/>
        <v/>
      </c>
      <c r="L108" s="312" t="str">
        <f t="shared" si="8"/>
        <v/>
      </c>
    </row>
    <row r="109" spans="1:12" ht="14.5" x14ac:dyDescent="0.35">
      <c r="A109" s="256" t="str">
        <f t="array" ref="A109">IFERROR(INDEX(productsSku, SMALL(IF(productsQty&lt;&gt;0, ROW(productsQty)-ROW('BHPC MANAGER'!$CD$10)+1), ROW(M96))), "")</f>
        <v/>
      </c>
      <c r="B109" s="257" t="str">
        <f t="array" ref="B109">IFERROR(INDEX(productsDescription, SMALL(IF(productsQty&lt;&gt;0, ROW(productsQty)-ROW('BHPC MANAGER'!$CD$10)+1), ROW(M96))), "")</f>
        <v/>
      </c>
      <c r="C109" s="258"/>
      <c r="D109" s="258"/>
      <c r="E109" s="259"/>
      <c r="F109" s="260" t="str">
        <f t="shared" si="6"/>
        <v/>
      </c>
      <c r="G109" s="260" t="str">
        <f t="array" ref="G109">IFERROR(INDEX(productsQty, SMALL(IF(productsQty&lt;&gt;0, ROW(productsQty)-ROW('BHPC MANAGER'!$CD$10)+1), ROW(M96))), "")</f>
        <v/>
      </c>
      <c r="H109" s="261" t="str">
        <f t="array" ref="H109">IFERROR(INDEX(productsSalePrice, SMALL(IF(productsQty&lt;&gt;0, ROW(productsQty)-ROW('BHPC MANAGER'!$CD$10)+1), ROW(M96))), "")</f>
        <v/>
      </c>
      <c r="I109" s="260" t="str">
        <f t="array" ref="I109">IFERROR(INDEX(productsCartons, SMALL(IF(productsQty&lt;&gt;0, ROW(productsQty)-ROW('BHPC MANAGER'!$CD$10)+1), ROW(M96))), "")</f>
        <v/>
      </c>
      <c r="J109" s="317"/>
      <c r="K109" s="261" t="str">
        <f t="shared" si="7"/>
        <v/>
      </c>
      <c r="L109" s="312" t="str">
        <f t="shared" si="8"/>
        <v/>
      </c>
    </row>
    <row r="110" spans="1:12" ht="14.5" x14ac:dyDescent="0.35">
      <c r="A110" s="256" t="str">
        <f t="array" ref="A110">IFERROR(INDEX(productsSku, SMALL(IF(productsQty&lt;&gt;0, ROW(productsQty)-ROW('BHPC MANAGER'!$CD$10)+1), ROW(M97))), "")</f>
        <v/>
      </c>
      <c r="B110" s="257" t="str">
        <f t="array" ref="B110">IFERROR(INDEX(productsDescription, SMALL(IF(productsQty&lt;&gt;0, ROW(productsQty)-ROW('BHPC MANAGER'!$CD$10)+1), ROW(M97))), "")</f>
        <v/>
      </c>
      <c r="C110" s="258"/>
      <c r="D110" s="258"/>
      <c r="E110" s="259"/>
      <c r="F110" s="260" t="str">
        <f t="shared" si="6"/>
        <v/>
      </c>
      <c r="G110" s="260" t="str">
        <f t="array" ref="G110">IFERROR(INDEX(productsQty, SMALL(IF(productsQty&lt;&gt;0, ROW(productsQty)-ROW('BHPC MANAGER'!$CD$10)+1), ROW(M97))), "")</f>
        <v/>
      </c>
      <c r="H110" s="261" t="str">
        <f t="array" ref="H110">IFERROR(INDEX(productsSalePrice, SMALL(IF(productsQty&lt;&gt;0, ROW(productsQty)-ROW('BHPC MANAGER'!$CD$10)+1), ROW(M97))), "")</f>
        <v/>
      </c>
      <c r="I110" s="260" t="str">
        <f t="array" ref="I110">IFERROR(INDEX(productsCartons, SMALL(IF(productsQty&lt;&gt;0, ROW(productsQty)-ROW('BHPC MANAGER'!$CD$10)+1), ROW(M97))), "")</f>
        <v/>
      </c>
      <c r="J110" s="317"/>
      <c r="K110" s="261" t="str">
        <f t="shared" si="7"/>
        <v/>
      </c>
      <c r="L110" s="312" t="str">
        <f t="shared" si="8"/>
        <v/>
      </c>
    </row>
    <row r="111" spans="1:12" ht="14.5" x14ac:dyDescent="0.35">
      <c r="A111" s="256"/>
      <c r="B111" s="257"/>
      <c r="C111" s="258"/>
      <c r="D111" s="258"/>
      <c r="E111" s="259"/>
      <c r="F111" s="260"/>
      <c r="G111" s="260"/>
      <c r="H111" s="261"/>
      <c r="I111" s="260"/>
      <c r="J111" s="317"/>
      <c r="K111" s="261"/>
      <c r="L111" s="312"/>
    </row>
    <row r="112" spans="1:12" ht="14.5" x14ac:dyDescent="0.35">
      <c r="A112" s="256"/>
      <c r="B112" s="257"/>
      <c r="C112" s="258"/>
      <c r="D112" s="258"/>
      <c r="E112" s="259"/>
      <c r="F112" s="260"/>
      <c r="G112" s="260"/>
      <c r="H112" s="261"/>
      <c r="I112" s="260"/>
      <c r="J112" s="317"/>
      <c r="K112" s="261"/>
      <c r="L112" s="312"/>
    </row>
    <row r="113" spans="1:12" ht="14.5" x14ac:dyDescent="0.35">
      <c r="A113" s="256"/>
      <c r="B113" s="257"/>
      <c r="C113" s="258"/>
      <c r="D113" s="258"/>
      <c r="E113" s="259"/>
      <c r="F113" s="260"/>
      <c r="G113" s="260"/>
      <c r="H113" s="261"/>
      <c r="I113" s="260"/>
      <c r="J113" s="317"/>
      <c r="K113" s="261"/>
      <c r="L113" s="312"/>
    </row>
    <row r="114" spans="1:12" ht="14.5" x14ac:dyDescent="0.35">
      <c r="A114" s="256"/>
      <c r="B114" s="257"/>
      <c r="C114" s="258"/>
      <c r="D114" s="258"/>
      <c r="E114" s="259"/>
      <c r="F114" s="260"/>
      <c r="G114" s="260"/>
      <c r="H114" s="261"/>
      <c r="I114" s="260"/>
      <c r="J114" s="317"/>
      <c r="K114" s="261"/>
      <c r="L114" s="312"/>
    </row>
    <row r="115" spans="1:12" ht="14.5" x14ac:dyDescent="0.35">
      <c r="A115" s="256"/>
      <c r="B115" s="257"/>
      <c r="C115" s="258"/>
      <c r="D115" s="258"/>
      <c r="E115" s="259"/>
      <c r="F115" s="260"/>
      <c r="G115" s="260"/>
      <c r="H115" s="261"/>
      <c r="I115" s="260"/>
      <c r="J115" s="317"/>
      <c r="K115" s="261"/>
      <c r="L115" s="312"/>
    </row>
    <row r="116" spans="1:12" ht="14.5" x14ac:dyDescent="0.35">
      <c r="A116" s="256"/>
      <c r="B116" s="257"/>
      <c r="C116" s="258"/>
      <c r="D116" s="258"/>
      <c r="E116" s="259"/>
      <c r="F116" s="260"/>
      <c r="G116" s="260"/>
      <c r="H116" s="261"/>
      <c r="I116" s="260"/>
      <c r="J116" s="317"/>
      <c r="K116" s="261"/>
      <c r="L116" s="312"/>
    </row>
    <row r="117" spans="1:12" ht="14.5" x14ac:dyDescent="0.35">
      <c r="A117" s="256"/>
      <c r="B117" s="257"/>
      <c r="C117" s="258"/>
      <c r="D117" s="258"/>
      <c r="E117" s="259"/>
      <c r="F117" s="260"/>
      <c r="G117" s="260"/>
      <c r="H117" s="261"/>
      <c r="I117" s="260"/>
      <c r="J117" s="317"/>
      <c r="K117" s="261"/>
      <c r="L117" s="312"/>
    </row>
    <row r="118" spans="1:12" ht="14.5" x14ac:dyDescent="0.35">
      <c r="A118" s="256"/>
      <c r="B118" s="257"/>
      <c r="C118" s="258"/>
      <c r="D118" s="258"/>
      <c r="E118" s="259"/>
      <c r="F118" s="260"/>
      <c r="G118" s="260"/>
      <c r="H118" s="261"/>
      <c r="I118" s="260"/>
      <c r="J118" s="317"/>
      <c r="K118" s="261"/>
      <c r="L118" s="312"/>
    </row>
    <row r="119" spans="1:12" ht="14.5" x14ac:dyDescent="0.35">
      <c r="A119" s="256"/>
      <c r="B119" s="257"/>
      <c r="C119" s="258"/>
      <c r="D119" s="258"/>
      <c r="E119" s="259"/>
      <c r="F119" s="260"/>
      <c r="G119" s="260"/>
      <c r="H119" s="261"/>
      <c r="I119" s="260"/>
      <c r="J119" s="317"/>
      <c r="K119" s="261"/>
      <c r="L119" s="312"/>
    </row>
    <row r="120" spans="1:12" ht="14.5" x14ac:dyDescent="0.35">
      <c r="A120" s="256"/>
      <c r="B120" s="257"/>
      <c r="C120" s="258"/>
      <c r="D120" s="258"/>
      <c r="E120" s="259"/>
      <c r="F120" s="260"/>
      <c r="G120" s="260"/>
      <c r="H120" s="261"/>
      <c r="I120" s="260"/>
      <c r="J120" s="317"/>
      <c r="K120" s="261"/>
      <c r="L120" s="312"/>
    </row>
    <row r="121" spans="1:12" x14ac:dyDescent="0.35">
      <c r="A121" s="635" t="s">
        <v>1046</v>
      </c>
      <c r="B121" s="630"/>
      <c r="C121" s="630"/>
      <c r="D121" s="630"/>
      <c r="E121" s="630"/>
      <c r="F121" s="630"/>
      <c r="G121" s="631"/>
      <c r="H121" s="663" t="s">
        <v>477</v>
      </c>
      <c r="I121" s="630"/>
      <c r="J121" s="630"/>
      <c r="K121" s="664"/>
      <c r="L121" s="631"/>
    </row>
    <row r="122" spans="1:12" ht="14.5" customHeight="1" x14ac:dyDescent="0.35">
      <c r="A122" s="167"/>
      <c r="B122" s="281"/>
      <c r="C122" s="281"/>
      <c r="D122" s="281"/>
      <c r="E122" s="282"/>
      <c r="F122" s="282"/>
      <c r="G122" s="283"/>
      <c r="H122" s="682">
        <f>$E$67+SUM(K74:K120)</f>
        <v>0</v>
      </c>
      <c r="I122" s="628"/>
      <c r="J122" s="628"/>
      <c r="K122" s="628"/>
      <c r="L122" s="629"/>
    </row>
    <row r="123" spans="1:12" x14ac:dyDescent="0.35">
      <c r="A123" s="635" t="s">
        <v>478</v>
      </c>
      <c r="B123" s="631"/>
      <c r="C123" s="138" t="s">
        <v>479</v>
      </c>
      <c r="D123" s="635" t="s">
        <v>480</v>
      </c>
      <c r="E123" s="631"/>
      <c r="F123" s="635" t="s">
        <v>481</v>
      </c>
      <c r="G123" s="631"/>
      <c r="H123" s="659" t="s">
        <v>482</v>
      </c>
      <c r="I123" s="624"/>
      <c r="J123" s="624"/>
      <c r="K123" s="660"/>
      <c r="L123" s="626"/>
    </row>
    <row r="124" spans="1:12" ht="14.5" customHeight="1" x14ac:dyDescent="0.35">
      <c r="A124" s="608" t="s">
        <v>247</v>
      </c>
      <c r="B124" s="609"/>
      <c r="C124" s="612" t="s">
        <v>246</v>
      </c>
      <c r="D124" s="616">
        <f>H122</f>
        <v>0</v>
      </c>
      <c r="E124" s="615"/>
      <c r="F124" s="675">
        <f>IF(C124="022",22%,0)</f>
        <v>0</v>
      </c>
      <c r="G124" s="676"/>
      <c r="H124" s="682">
        <f>H122</f>
        <v>0</v>
      </c>
      <c r="I124" s="628"/>
      <c r="J124" s="628"/>
      <c r="K124" s="628"/>
      <c r="L124" s="629"/>
    </row>
    <row r="125" spans="1:12" x14ac:dyDescent="0.35">
      <c r="A125" s="608"/>
      <c r="B125" s="609"/>
      <c r="C125" s="612"/>
      <c r="D125" s="616"/>
      <c r="E125" s="615"/>
      <c r="F125" s="675"/>
      <c r="G125" s="676"/>
      <c r="H125" s="659" t="s">
        <v>483</v>
      </c>
      <c r="I125" s="624"/>
      <c r="J125" s="624"/>
      <c r="K125" s="660"/>
      <c r="L125" s="626"/>
    </row>
    <row r="126" spans="1:12" ht="14.5" customHeight="1" x14ac:dyDescent="0.35">
      <c r="A126" s="608"/>
      <c r="B126" s="609"/>
      <c r="C126" s="612"/>
      <c r="D126" s="616"/>
      <c r="E126" s="615"/>
      <c r="F126" s="675"/>
      <c r="G126" s="676"/>
      <c r="H126" s="682">
        <f>SEK124*F124</f>
        <v>0</v>
      </c>
      <c r="I126" s="628"/>
      <c r="J126" s="628"/>
      <c r="K126" s="628"/>
      <c r="L126" s="629"/>
    </row>
    <row r="127" spans="1:12" x14ac:dyDescent="0.35">
      <c r="A127" s="608"/>
      <c r="B127" s="609"/>
      <c r="C127" s="612"/>
      <c r="D127" s="616"/>
      <c r="E127" s="615"/>
      <c r="F127" s="675"/>
      <c r="G127" s="676"/>
      <c r="H127" s="659" t="s">
        <v>484</v>
      </c>
      <c r="I127" s="624"/>
      <c r="J127" s="624"/>
      <c r="K127" s="660"/>
      <c r="L127" s="626"/>
    </row>
    <row r="128" spans="1:12" ht="14.5" customHeight="1" x14ac:dyDescent="0.35">
      <c r="A128" s="610"/>
      <c r="B128" s="611"/>
      <c r="C128" s="613"/>
      <c r="D128" s="617"/>
      <c r="E128" s="618"/>
      <c r="F128" s="677"/>
      <c r="G128" s="678"/>
      <c r="H128" s="682">
        <f>H122+H126</f>
        <v>0</v>
      </c>
      <c r="I128" s="628"/>
      <c r="J128" s="628"/>
      <c r="K128" s="628"/>
      <c r="L128" s="629"/>
    </row>
    <row r="129" spans="1:12" x14ac:dyDescent="0.35">
      <c r="A129" s="597" t="s">
        <v>485</v>
      </c>
      <c r="B129" s="598"/>
      <c r="C129" s="598"/>
      <c r="D129" s="598"/>
      <c r="E129" s="598"/>
      <c r="F129" s="598"/>
      <c r="G129" s="598"/>
      <c r="H129" s="684"/>
      <c r="I129" s="598"/>
      <c r="J129" s="598"/>
      <c r="K129" s="684"/>
      <c r="L129" s="600"/>
    </row>
    <row r="130" spans="1:12" x14ac:dyDescent="0.35">
      <c r="A130" s="601" t="s">
        <v>486</v>
      </c>
      <c r="B130" s="602"/>
      <c r="C130" s="602"/>
      <c r="D130" s="602"/>
      <c r="E130" s="602"/>
      <c r="F130" s="602"/>
      <c r="G130" s="602"/>
      <c r="H130" s="686"/>
      <c r="I130" s="602"/>
      <c r="J130" s="602"/>
      <c r="K130" s="686"/>
      <c r="L130" s="604"/>
    </row>
    <row r="131" spans="1:12" ht="14.5" customHeight="1" x14ac:dyDescent="0.35">
      <c r="A131" s="597" t="s">
        <v>487</v>
      </c>
      <c r="B131" s="606" t="s">
        <v>488</v>
      </c>
      <c r="C131" s="606"/>
      <c r="D131" s="606"/>
      <c r="E131" s="606"/>
      <c r="F131" s="598"/>
      <c r="G131" s="598"/>
      <c r="H131" s="598"/>
      <c r="I131" s="598"/>
      <c r="J131" s="598"/>
      <c r="K131" s="598"/>
      <c r="L131" s="600"/>
    </row>
    <row r="132" spans="1:12" ht="14.5" customHeight="1" x14ac:dyDescent="0.35">
      <c r="A132" s="601"/>
      <c r="B132" s="607"/>
      <c r="C132" s="607"/>
      <c r="D132" s="607"/>
      <c r="E132" s="607"/>
      <c r="F132" s="602"/>
      <c r="G132" s="602"/>
      <c r="H132" s="602"/>
      <c r="I132" s="602"/>
      <c r="J132" s="602"/>
      <c r="K132" s="602"/>
      <c r="L132" s="604"/>
    </row>
    <row r="133" spans="1:12" x14ac:dyDescent="0.35">
      <c r="A133" s="594" t="s">
        <v>489</v>
      </c>
      <c r="B133" s="594"/>
      <c r="C133" s="594"/>
      <c r="D133" s="594"/>
      <c r="E133" s="594"/>
      <c r="F133" s="594"/>
      <c r="G133" s="594"/>
      <c r="H133" s="680"/>
      <c r="I133" s="594"/>
      <c r="J133" s="594"/>
      <c r="K133" s="680"/>
      <c r="L133" s="594"/>
    </row>
    <row r="134" spans="1:12" x14ac:dyDescent="0.35">
      <c r="A134" s="594" t="s">
        <v>490</v>
      </c>
      <c r="B134" s="594"/>
      <c r="C134" s="594"/>
      <c r="D134" s="594"/>
      <c r="E134" s="594"/>
      <c r="F134" s="594"/>
      <c r="G134" s="594"/>
      <c r="H134" s="680"/>
      <c r="I134" s="594"/>
      <c r="J134" s="594"/>
      <c r="K134" s="680"/>
      <c r="L134" s="594"/>
    </row>
    <row r="135" spans="1:12" x14ac:dyDescent="0.35">
      <c r="A135" s="594" t="s">
        <v>491</v>
      </c>
      <c r="B135" s="595"/>
      <c r="C135" s="595"/>
      <c r="D135" s="595"/>
      <c r="E135" s="595"/>
      <c r="F135" s="595"/>
      <c r="G135" s="595"/>
      <c r="H135" s="681"/>
      <c r="I135" s="595"/>
      <c r="J135" s="595"/>
      <c r="K135" s="681"/>
      <c r="L135" s="595"/>
    </row>
    <row r="136" spans="1:12" x14ac:dyDescent="0.35">
      <c r="H136" s="146"/>
      <c r="K136" s="146"/>
    </row>
    <row r="137" spans="1:12" x14ac:dyDescent="0.35">
      <c r="H137" s="146"/>
      <c r="K137" s="146"/>
    </row>
    <row r="138" spans="1:12" x14ac:dyDescent="0.35">
      <c r="H138" s="146"/>
      <c r="K138" s="146"/>
    </row>
    <row r="139" spans="1:12" x14ac:dyDescent="0.35">
      <c r="H139" s="146"/>
      <c r="K139" s="146"/>
    </row>
    <row r="140" spans="1:12" x14ac:dyDescent="0.35">
      <c r="H140" s="146"/>
      <c r="K140" s="146"/>
    </row>
    <row r="141" spans="1:12" x14ac:dyDescent="0.35">
      <c r="H141" s="146"/>
      <c r="K141" s="146"/>
    </row>
    <row r="142" spans="1:12" x14ac:dyDescent="0.35">
      <c r="H142" s="146"/>
      <c r="K142" s="146"/>
    </row>
    <row r="143" spans="1:12" x14ac:dyDescent="0.35">
      <c r="H143" s="146"/>
      <c r="K143" s="146"/>
    </row>
    <row r="144" spans="1:12" x14ac:dyDescent="0.35">
      <c r="H144" s="146"/>
      <c r="K144" s="146"/>
    </row>
    <row r="145" spans="8:11" x14ac:dyDescent="0.35">
      <c r="H145" s="146"/>
      <c r="K145" s="146"/>
    </row>
    <row r="146" spans="8:11" x14ac:dyDescent="0.35">
      <c r="H146" s="146"/>
      <c r="K146" s="146"/>
    </row>
    <row r="147" spans="8:11" x14ac:dyDescent="0.35">
      <c r="H147" s="146"/>
      <c r="K147" s="146"/>
    </row>
    <row r="148" spans="8:11" x14ac:dyDescent="0.35">
      <c r="H148" s="146"/>
      <c r="K148" s="146"/>
    </row>
    <row r="149" spans="8:11" x14ac:dyDescent="0.35">
      <c r="H149" s="146"/>
      <c r="K149" s="146"/>
    </row>
    <row r="150" spans="8:11" x14ac:dyDescent="0.35">
      <c r="H150" s="146"/>
      <c r="K150" s="146"/>
    </row>
    <row r="151" spans="8:11" x14ac:dyDescent="0.35">
      <c r="H151" s="146"/>
      <c r="K151" s="146"/>
    </row>
    <row r="152" spans="8:11" x14ac:dyDescent="0.35">
      <c r="H152" s="146"/>
      <c r="K152" s="146"/>
    </row>
    <row r="153" spans="8:11" x14ac:dyDescent="0.35">
      <c r="H153" s="146"/>
      <c r="K153" s="146"/>
    </row>
    <row r="154" spans="8:11" x14ac:dyDescent="0.35">
      <c r="H154" s="146"/>
      <c r="K154" s="146"/>
    </row>
    <row r="155" spans="8:11" x14ac:dyDescent="0.35">
      <c r="H155" s="146"/>
      <c r="K155" s="146"/>
    </row>
    <row r="156" spans="8:11" x14ac:dyDescent="0.35">
      <c r="H156" s="146"/>
      <c r="K156" s="146"/>
    </row>
    <row r="157" spans="8:11" x14ac:dyDescent="0.35">
      <c r="H157" s="146"/>
      <c r="K157" s="146"/>
    </row>
    <row r="158" spans="8:11" x14ac:dyDescent="0.35">
      <c r="H158" s="146"/>
      <c r="K158" s="146"/>
    </row>
    <row r="159" spans="8:11" x14ac:dyDescent="0.35">
      <c r="H159" s="146"/>
      <c r="K159" s="146"/>
    </row>
    <row r="160" spans="8:11" x14ac:dyDescent="0.35">
      <c r="H160" s="146"/>
      <c r="K160" s="146"/>
    </row>
    <row r="161" spans="8:11" x14ac:dyDescent="0.35">
      <c r="H161" s="146"/>
      <c r="K161" s="146"/>
    </row>
    <row r="162" spans="8:11" x14ac:dyDescent="0.35">
      <c r="H162" s="146"/>
      <c r="K162" s="146"/>
    </row>
    <row r="163" spans="8:11" x14ac:dyDescent="0.35">
      <c r="H163" s="146"/>
      <c r="K163" s="146"/>
    </row>
    <row r="164" spans="8:11" x14ac:dyDescent="0.35">
      <c r="H164" s="146"/>
      <c r="K164" s="146"/>
    </row>
    <row r="165" spans="8:11" x14ac:dyDescent="0.35">
      <c r="H165" s="146"/>
      <c r="K165" s="146"/>
    </row>
    <row r="166" spans="8:11" x14ac:dyDescent="0.35">
      <c r="H166" s="146"/>
      <c r="K166" s="146"/>
    </row>
    <row r="167" spans="8:11" x14ac:dyDescent="0.35">
      <c r="H167" s="146"/>
      <c r="K167" s="146"/>
    </row>
    <row r="168" spans="8:11" x14ac:dyDescent="0.35">
      <c r="H168" s="146"/>
      <c r="K168" s="146"/>
    </row>
    <row r="169" spans="8:11" x14ac:dyDescent="0.35">
      <c r="H169" s="146"/>
      <c r="K169" s="146"/>
    </row>
    <row r="170" spans="8:11" x14ac:dyDescent="0.35">
      <c r="H170" s="146"/>
      <c r="K170" s="146"/>
    </row>
    <row r="171" spans="8:11" x14ac:dyDescent="0.35">
      <c r="H171" s="146"/>
      <c r="K171" s="146"/>
    </row>
    <row r="172" spans="8:11" x14ac:dyDescent="0.35">
      <c r="H172" s="146"/>
      <c r="K172" s="146"/>
    </row>
    <row r="173" spans="8:11" x14ac:dyDescent="0.35">
      <c r="H173" s="146"/>
      <c r="K173" s="146"/>
    </row>
    <row r="174" spans="8:11" x14ac:dyDescent="0.35">
      <c r="H174" s="146"/>
      <c r="K174" s="146"/>
    </row>
    <row r="175" spans="8:11" x14ac:dyDescent="0.35">
      <c r="H175" s="146"/>
      <c r="K175" s="146"/>
    </row>
    <row r="176" spans="8:11" x14ac:dyDescent="0.35">
      <c r="H176" s="146"/>
      <c r="K176" s="146"/>
    </row>
    <row r="177" spans="8:11" x14ac:dyDescent="0.35">
      <c r="H177" s="146"/>
      <c r="K177" s="146"/>
    </row>
    <row r="178" spans="8:11" x14ac:dyDescent="0.35">
      <c r="H178" s="146"/>
      <c r="K178" s="146"/>
    </row>
    <row r="179" spans="8:11" x14ac:dyDescent="0.35">
      <c r="H179" s="146"/>
      <c r="K179" s="146"/>
    </row>
    <row r="180" spans="8:11" x14ac:dyDescent="0.35">
      <c r="H180" s="146"/>
      <c r="K180" s="146"/>
    </row>
    <row r="181" spans="8:11" x14ac:dyDescent="0.35">
      <c r="H181" s="146"/>
      <c r="K181" s="146"/>
    </row>
    <row r="182" spans="8:11" x14ac:dyDescent="0.35">
      <c r="H182" s="146"/>
      <c r="K182" s="146"/>
    </row>
    <row r="183" spans="8:11" x14ac:dyDescent="0.35">
      <c r="H183" s="146"/>
      <c r="K183" s="146"/>
    </row>
    <row r="184" spans="8:11" x14ac:dyDescent="0.35">
      <c r="H184" s="146"/>
      <c r="K184" s="146"/>
    </row>
    <row r="185" spans="8:11" x14ac:dyDescent="0.35">
      <c r="H185" s="146"/>
      <c r="K185" s="146"/>
    </row>
    <row r="186" spans="8:11" x14ac:dyDescent="0.35">
      <c r="H186" s="146"/>
      <c r="K186" s="146"/>
    </row>
    <row r="187" spans="8:11" x14ac:dyDescent="0.35">
      <c r="H187" s="146"/>
      <c r="K187" s="146"/>
    </row>
    <row r="188" spans="8:11" x14ac:dyDescent="0.35">
      <c r="H188" s="146"/>
      <c r="K188" s="146"/>
    </row>
    <row r="189" spans="8:11" x14ac:dyDescent="0.35">
      <c r="H189" s="146"/>
      <c r="K189" s="146"/>
    </row>
    <row r="190" spans="8:11" x14ac:dyDescent="0.35">
      <c r="H190" s="146"/>
      <c r="K190" s="146"/>
    </row>
    <row r="191" spans="8:11" x14ac:dyDescent="0.35">
      <c r="H191" s="146"/>
      <c r="K191" s="146"/>
    </row>
    <row r="192" spans="8:11" x14ac:dyDescent="0.35">
      <c r="H192" s="146"/>
      <c r="K192" s="146"/>
    </row>
    <row r="193" spans="4:11" x14ac:dyDescent="0.35">
      <c r="H193" s="146"/>
      <c r="K193" s="146"/>
    </row>
    <row r="194" spans="4:11" x14ac:dyDescent="0.35">
      <c r="H194" s="146"/>
      <c r="K194" s="146"/>
    </row>
    <row r="195" spans="4:11" x14ac:dyDescent="0.35">
      <c r="H195" s="146"/>
      <c r="K195" s="146"/>
    </row>
    <row r="196" spans="4:11" x14ac:dyDescent="0.35">
      <c r="H196" s="146"/>
      <c r="K196" s="146"/>
    </row>
    <row r="197" spans="4:11" x14ac:dyDescent="0.35">
      <c r="H197" s="146"/>
      <c r="K197" s="146"/>
    </row>
    <row r="198" spans="4:11" x14ac:dyDescent="0.35">
      <c r="H198" s="146"/>
      <c r="K198" s="146"/>
    </row>
    <row r="199" spans="4:11" x14ac:dyDescent="0.35">
      <c r="H199" s="146"/>
      <c r="K199" s="146"/>
    </row>
    <row r="200" spans="4:11" x14ac:dyDescent="0.35">
      <c r="H200" s="146"/>
      <c r="K200" s="146"/>
    </row>
    <row r="201" spans="4:11" x14ac:dyDescent="0.35">
      <c r="H201" s="146"/>
      <c r="K201" s="146"/>
    </row>
    <row r="202" spans="4:11" x14ac:dyDescent="0.35">
      <c r="H202" s="146"/>
      <c r="K202" s="146"/>
    </row>
    <row r="203" spans="4:11" x14ac:dyDescent="0.35">
      <c r="H203" s="143"/>
      <c r="K203" s="143"/>
    </row>
    <row r="204" spans="4:11" x14ac:dyDescent="0.35">
      <c r="H204" s="143"/>
      <c r="K204" s="146"/>
    </row>
    <row r="205" spans="4:11" x14ac:dyDescent="0.35">
      <c r="H205" s="143"/>
      <c r="K205" s="143"/>
    </row>
    <row r="206" spans="4:11" x14ac:dyDescent="0.35">
      <c r="D206" s="147"/>
      <c r="E206" s="146"/>
      <c r="H206" s="143"/>
      <c r="K206" s="146"/>
    </row>
    <row r="207" spans="4:11" x14ac:dyDescent="0.35">
      <c r="D207" s="147"/>
      <c r="E207" s="146"/>
      <c r="H207" s="143"/>
      <c r="K207" s="143"/>
    </row>
    <row r="208" spans="4:11" x14ac:dyDescent="0.35">
      <c r="D208" s="147"/>
      <c r="E208" s="146"/>
      <c r="H208" s="143"/>
      <c r="K208" s="146"/>
    </row>
    <row r="209" spans="4:11" x14ac:dyDescent="0.35">
      <c r="D209" s="147"/>
      <c r="E209" s="146"/>
      <c r="H209" s="143"/>
      <c r="K209" s="143"/>
    </row>
    <row r="210" spans="4:11" x14ac:dyDescent="0.35">
      <c r="D210" s="147"/>
      <c r="E210" s="146"/>
      <c r="H210" s="143"/>
      <c r="K210" s="146"/>
    </row>
    <row r="211" spans="4:11" x14ac:dyDescent="0.35">
      <c r="K211" s="143"/>
    </row>
    <row r="212" spans="4:11" x14ac:dyDescent="0.35">
      <c r="K212" s="143"/>
    </row>
    <row r="213" spans="4:11" x14ac:dyDescent="0.35">
      <c r="D213" s="144"/>
      <c r="E213" s="143"/>
      <c r="K213" s="143"/>
    </row>
    <row r="214" spans="4:11" x14ac:dyDescent="0.35">
      <c r="D214" s="144"/>
      <c r="E214" s="143"/>
      <c r="K214" s="143"/>
    </row>
    <row r="215" spans="4:11" x14ac:dyDescent="0.35">
      <c r="D215" s="144"/>
      <c r="E215" s="143"/>
      <c r="K215" s="143"/>
    </row>
    <row r="216" spans="4:11" x14ac:dyDescent="0.35">
      <c r="D216" s="144"/>
      <c r="E216" s="143"/>
      <c r="K216" s="143"/>
    </row>
    <row r="217" spans="4:11" x14ac:dyDescent="0.35">
      <c r="D217" s="144"/>
      <c r="E217" s="143"/>
      <c r="K217" s="143"/>
    </row>
    <row r="218" spans="4:11" x14ac:dyDescent="0.35">
      <c r="D218" s="144"/>
      <c r="E218" s="143"/>
      <c r="K218" s="143"/>
    </row>
  </sheetData>
  <mergeCells count="59">
    <mergeCell ref="A133:L133"/>
    <mergeCell ref="A134:L134"/>
    <mergeCell ref="A135:L135"/>
    <mergeCell ref="H67:L67"/>
    <mergeCell ref="H69:L69"/>
    <mergeCell ref="H71:L71"/>
    <mergeCell ref="H73:L73"/>
    <mergeCell ref="H122:L122"/>
    <mergeCell ref="H124:L124"/>
    <mergeCell ref="H126:L126"/>
    <mergeCell ref="A129:L129"/>
    <mergeCell ref="A130:L130"/>
    <mergeCell ref="A131:A132"/>
    <mergeCell ref="H128:L128"/>
    <mergeCell ref="A124:B128"/>
    <mergeCell ref="C124:C128"/>
    <mergeCell ref="D124:E128"/>
    <mergeCell ref="F124:G128"/>
    <mergeCell ref="H125:L125"/>
    <mergeCell ref="H127:L127"/>
    <mergeCell ref="H70:L70"/>
    <mergeCell ref="H72:L72"/>
    <mergeCell ref="H123:L123"/>
    <mergeCell ref="A121:B121"/>
    <mergeCell ref="C121:D121"/>
    <mergeCell ref="E121:G121"/>
    <mergeCell ref="H121:L121"/>
    <mergeCell ref="A123:B123"/>
    <mergeCell ref="D123:E123"/>
    <mergeCell ref="F123:G123"/>
    <mergeCell ref="E67:G67"/>
    <mergeCell ref="A68:B68"/>
    <mergeCell ref="D68:E68"/>
    <mergeCell ref="F68:G68"/>
    <mergeCell ref="A69:B73"/>
    <mergeCell ref="C69:C73"/>
    <mergeCell ref="D69:E73"/>
    <mergeCell ref="F69:G73"/>
    <mergeCell ref="A8:B8"/>
    <mergeCell ref="C8:D8"/>
    <mergeCell ref="E8:F8"/>
    <mergeCell ref="G8:I8"/>
    <mergeCell ref="K8:L8"/>
    <mergeCell ref="G9:J9"/>
    <mergeCell ref="B131:E132"/>
    <mergeCell ref="F131:L132"/>
    <mergeCell ref="A9:B9"/>
    <mergeCell ref="C9:D9"/>
    <mergeCell ref="E9:F9"/>
    <mergeCell ref="K9:L9"/>
    <mergeCell ref="H68:L68"/>
    <mergeCell ref="A10:L10"/>
    <mergeCell ref="B12:E12"/>
    <mergeCell ref="A66:B66"/>
    <mergeCell ref="C66:D66"/>
    <mergeCell ref="E66:G66"/>
    <mergeCell ref="H66:L66"/>
    <mergeCell ref="A67:B67"/>
    <mergeCell ref="C67:D67"/>
  </mergeCells>
  <dataValidations count="1">
    <dataValidation type="list" allowBlank="1" showInputMessage="1" showErrorMessage="1" sqref="K9:L9" xr:uid="{00000000-0002-0000-0A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8"/>
  <dimension ref="A1:T64"/>
  <sheetViews>
    <sheetView showGridLines="0" topLeftCell="A22" zoomScaleSheetLayoutView="100" workbookViewId="0">
      <selection activeCell="G58" sqref="G58:H58"/>
    </sheetView>
  </sheetViews>
  <sheetFormatPr defaultColWidth="10.7265625" defaultRowHeight="12.5" x14ac:dyDescent="0.35"/>
  <cols>
    <col min="1" max="1" width="8" style="124" customWidth="1"/>
    <col min="2" max="2" width="15.453125" style="124" customWidth="1"/>
    <col min="3" max="3" width="12.7265625" style="124" customWidth="1"/>
    <col min="4" max="4" width="9.54296875" style="125" customWidth="1"/>
    <col min="5" max="5" width="15.81640625" style="124" customWidth="1"/>
    <col min="6" max="6" width="3.453125" style="126" customWidth="1"/>
    <col min="7" max="7" width="7.54296875" style="124" customWidth="1"/>
    <col min="8" max="8" width="7.26953125" style="124" customWidth="1"/>
    <col min="9" max="9" width="7.26953125" style="126" customWidth="1"/>
    <col min="10" max="10" width="7.26953125" style="124" customWidth="1"/>
    <col min="11" max="11" width="13.1796875" style="124" bestFit="1" customWidth="1"/>
    <col min="12" max="12" width="9.54296875" style="124" customWidth="1"/>
    <col min="13" max="16384" width="10.7265625" style="124"/>
  </cols>
  <sheetData>
    <row r="1" spans="1:20" x14ac:dyDescent="0.35">
      <c r="A1" s="696"/>
      <c r="B1" s="696"/>
      <c r="G1" s="127"/>
      <c r="H1" s="638"/>
      <c r="I1" s="624"/>
      <c r="J1" s="624"/>
      <c r="K1" s="149"/>
      <c r="L1" s="123"/>
    </row>
    <row r="2" spans="1:20" ht="13" x14ac:dyDescent="0.35">
      <c r="G2" s="127"/>
      <c r="H2" s="128" t="s">
        <v>264</v>
      </c>
      <c r="I2" s="129"/>
      <c r="J2" s="129"/>
      <c r="K2" s="129"/>
      <c r="L2" s="127"/>
    </row>
    <row r="3" spans="1:20" ht="13" x14ac:dyDescent="0.35">
      <c r="G3" s="127"/>
      <c r="H3" s="130"/>
      <c r="I3" s="124"/>
      <c r="J3" s="129"/>
      <c r="K3" s="129"/>
      <c r="L3" s="127"/>
    </row>
    <row r="4" spans="1:20" ht="13" x14ac:dyDescent="0.35">
      <c r="G4" s="127"/>
      <c r="H4" s="130" t="s">
        <v>265</v>
      </c>
      <c r="I4" s="124"/>
      <c r="J4" s="129"/>
      <c r="K4" s="129"/>
      <c r="L4" s="127"/>
    </row>
    <row r="5" spans="1:20" ht="13" x14ac:dyDescent="0.35">
      <c r="G5" s="127"/>
      <c r="H5" s="130" t="s">
        <v>623</v>
      </c>
      <c r="I5" s="124"/>
      <c r="J5" s="129"/>
      <c r="K5" s="129"/>
      <c r="L5" s="127"/>
    </row>
    <row r="6" spans="1:20" ht="13" x14ac:dyDescent="0.35">
      <c r="G6" s="127"/>
      <c r="H6" s="130" t="s">
        <v>1191</v>
      </c>
      <c r="J6" s="129"/>
      <c r="K6" s="129"/>
      <c r="L6" s="127"/>
    </row>
    <row r="7" spans="1:20" x14ac:dyDescent="0.35">
      <c r="A7" s="132"/>
      <c r="B7" s="132"/>
      <c r="C7" s="132"/>
      <c r="D7" s="133"/>
      <c r="E7" s="132"/>
      <c r="F7" s="134"/>
      <c r="G7" s="135"/>
      <c r="H7" s="136" t="s">
        <v>1192</v>
      </c>
      <c r="I7" s="134"/>
      <c r="J7" s="132"/>
      <c r="K7" s="132"/>
      <c r="L7" s="135"/>
    </row>
    <row r="8" spans="1:20" x14ac:dyDescent="0.35">
      <c r="A8" s="638" t="s">
        <v>462</v>
      </c>
      <c r="B8" s="626"/>
      <c r="C8" s="638" t="s">
        <v>463</v>
      </c>
      <c r="D8" s="626"/>
      <c r="E8" s="168" t="s">
        <v>703</v>
      </c>
      <c r="F8" s="169"/>
      <c r="G8" s="638" t="s">
        <v>494</v>
      </c>
      <c r="H8" s="624"/>
      <c r="I8" s="624"/>
      <c r="J8" s="635"/>
      <c r="K8" s="630"/>
      <c r="L8" s="631"/>
    </row>
    <row r="9" spans="1:20" s="126" customFormat="1" x14ac:dyDescent="0.25">
      <c r="A9" s="697" t="s">
        <v>495</v>
      </c>
      <c r="B9" s="698"/>
      <c r="C9" s="699">
        <v>45488</v>
      </c>
      <c r="D9" s="700"/>
      <c r="E9" s="701" t="s">
        <v>1185</v>
      </c>
      <c r="F9" s="701"/>
      <c r="G9" s="697" t="s">
        <v>263</v>
      </c>
      <c r="H9" s="701"/>
      <c r="I9" s="701"/>
      <c r="J9" s="697"/>
      <c r="K9" s="701"/>
      <c r="L9" s="698"/>
    </row>
    <row r="10" spans="1:20" ht="27" customHeight="1" x14ac:dyDescent="0.35">
      <c r="A10" s="170" t="s">
        <v>469</v>
      </c>
      <c r="B10" s="642" t="s">
        <v>470</v>
      </c>
      <c r="C10" s="702"/>
      <c r="D10" s="702"/>
      <c r="E10" s="703"/>
      <c r="F10" s="142" t="s">
        <v>471</v>
      </c>
      <c r="G10" s="141" t="s">
        <v>472</v>
      </c>
      <c r="H10" s="141" t="s">
        <v>1114</v>
      </c>
      <c r="I10" s="170" t="s">
        <v>1115</v>
      </c>
      <c r="J10" s="141" t="s">
        <v>474</v>
      </c>
      <c r="K10" s="141" t="s">
        <v>1112</v>
      </c>
      <c r="L10" s="141" t="s">
        <v>496</v>
      </c>
    </row>
    <row r="11" spans="1:20" ht="14.5" x14ac:dyDescent="0.35">
      <c r="A11" s="171"/>
      <c r="B11" s="172" t="s">
        <v>1052</v>
      </c>
      <c r="C11" s="173"/>
      <c r="D11" s="174"/>
      <c r="E11" s="175"/>
      <c r="F11" s="176"/>
      <c r="G11" s="176"/>
      <c r="H11" s="226"/>
      <c r="I11" s="227"/>
      <c r="J11" s="177"/>
      <c r="K11" s="319"/>
      <c r="L11" s="178"/>
    </row>
    <row r="12" spans="1:20" ht="14.5" x14ac:dyDescent="0.35">
      <c r="A12" s="179">
        <f t="array" ref="A12:A21">INDEX(salesHistory[sku], SMALL(IF((salesHistory[qty]&lt;&gt;0)*(salesHistory[order_no]=77), ROW(salesHistory[qty])-MIN(ROW(salesHistory[qty]))+1), ROW(A1:A10)))</f>
        <v>0</v>
      </c>
      <c r="B12" s="171" t="e">
        <f>INDEX(bhpc_data[description],MATCH($A12,bhpc_data[sku],0))</f>
        <v>#N/A</v>
      </c>
      <c r="C12" s="180"/>
      <c r="D12" s="181"/>
      <c r="E12" s="182"/>
      <c r="F12" s="183" t="s">
        <v>924</v>
      </c>
      <c r="G12" s="184">
        <f t="array" ref="G12:G21">INDEX(salesHistory[qty], SMALL(IF((salesHistory[qty]&lt;&gt;0)*(salesHistory[order_no]=77), ROW(salesHistory[qty])-MIN(ROW(salesHistory[qty]))+1), ROW(A1:A10)))</f>
        <v>0</v>
      </c>
      <c r="H12" s="228">
        <f>G12/24*7.52</f>
        <v>0</v>
      </c>
      <c r="I12" s="229">
        <f>G12/24*8.23</f>
        <v>0</v>
      </c>
      <c r="J12" s="185">
        <f t="shared" ref="J12:J21" si="0">CEILING(G12/24,1)</f>
        <v>0</v>
      </c>
      <c r="K12" s="320">
        <f t="array" ref="K12:K21">INDEX(salesHistory[hs_code], SMALL(IF((salesHistory[qty]&lt;&gt;0)*(salesHistory[order_no]=77), ROW(salesHistory[qty])-MIN(ROW(salesHistory[qty]))+1), ROW(A1:A10)))</f>
        <v>0</v>
      </c>
      <c r="L12" s="186" t="e">
        <f>INDEX(bhpc_data[country_of_origin],MATCH($A12,bhpc_data[sku],0))</f>
        <v>#N/A</v>
      </c>
      <c r="N12" s="243"/>
      <c r="S12" s="225"/>
      <c r="T12" s="225"/>
    </row>
    <row r="13" spans="1:20" ht="14.5" x14ac:dyDescent="0.35">
      <c r="A13" s="179" t="e">
        <v>#NUM!</v>
      </c>
      <c r="B13" s="171" t="e">
        <f>INDEX(bhpc_data[description],MATCH($A13,bhpc_data[sku],0))</f>
        <v>#NUM!</v>
      </c>
      <c r="C13" s="180"/>
      <c r="D13" s="181"/>
      <c r="E13" s="182"/>
      <c r="F13" s="183" t="s">
        <v>924</v>
      </c>
      <c r="G13" s="184" t="e">
        <v>#NUM!</v>
      </c>
      <c r="H13" s="228" t="e">
        <f>G13/24*7.52</f>
        <v>#NUM!</v>
      </c>
      <c r="I13" s="229" t="e">
        <f>G13/24*8.23</f>
        <v>#NUM!</v>
      </c>
      <c r="J13" s="185" t="e">
        <f t="shared" si="0"/>
        <v>#NUM!</v>
      </c>
      <c r="K13" s="320" t="e">
        <v>#NUM!</v>
      </c>
      <c r="L13" s="186" t="e">
        <f>INDEX(bhpc_data[country_of_origin],MATCH($A13,bhpc_data[sku],0))</f>
        <v>#NUM!</v>
      </c>
      <c r="N13" s="243"/>
      <c r="S13" s="225"/>
      <c r="T13" s="225"/>
    </row>
    <row r="14" spans="1:20" ht="14.5" x14ac:dyDescent="0.35">
      <c r="A14" s="179" t="e">
        <v>#NUM!</v>
      </c>
      <c r="B14" s="171" t="e">
        <f>INDEX(bhpc_data[description],MATCH($A14,bhpc_data[sku],0))</f>
        <v>#NUM!</v>
      </c>
      <c r="C14" s="180"/>
      <c r="D14" s="181"/>
      <c r="E14" s="182"/>
      <c r="F14" s="183" t="s">
        <v>924</v>
      </c>
      <c r="G14" s="184" t="e">
        <v>#NUM!</v>
      </c>
      <c r="H14" s="228" t="e">
        <f>G14/24*7.52</f>
        <v>#NUM!</v>
      </c>
      <c r="I14" s="229" t="e">
        <f>G14/24*8.23</f>
        <v>#NUM!</v>
      </c>
      <c r="J14" s="185" t="e">
        <f t="shared" si="0"/>
        <v>#NUM!</v>
      </c>
      <c r="K14" s="320" t="e">
        <v>#NUM!</v>
      </c>
      <c r="L14" s="186" t="e">
        <f>INDEX(bhpc_data[country_of_origin],MATCH($A14,bhpc_data[sku],0))</f>
        <v>#NUM!</v>
      </c>
      <c r="N14" s="243"/>
      <c r="S14" s="225"/>
      <c r="T14" s="225"/>
    </row>
    <row r="15" spans="1:20" ht="14.5" x14ac:dyDescent="0.35">
      <c r="A15" s="179" t="e">
        <v>#NUM!</v>
      </c>
      <c r="B15" s="171" t="e">
        <f>INDEX(bhpc_data[description],MATCH($A15,bhpc_data[sku],0))</f>
        <v>#NUM!</v>
      </c>
      <c r="C15" s="180"/>
      <c r="D15" s="181"/>
      <c r="E15" s="182"/>
      <c r="F15" s="183" t="s">
        <v>924</v>
      </c>
      <c r="G15" s="184" t="e">
        <v>#NUM!</v>
      </c>
      <c r="H15" s="228" t="e">
        <f>G15/24*7.52</f>
        <v>#NUM!</v>
      </c>
      <c r="I15" s="229" t="e">
        <f>G15/24*8.23</f>
        <v>#NUM!</v>
      </c>
      <c r="J15" s="185" t="e">
        <f t="shared" si="0"/>
        <v>#NUM!</v>
      </c>
      <c r="K15" s="320" t="e">
        <v>#NUM!</v>
      </c>
      <c r="L15" s="186" t="e">
        <f>INDEX(bhpc_data[country_of_origin],MATCH($A15,bhpc_data[sku],0))</f>
        <v>#NUM!</v>
      </c>
      <c r="N15" s="243"/>
      <c r="S15" s="225"/>
      <c r="T15" s="225"/>
    </row>
    <row r="16" spans="1:20" ht="14.5" x14ac:dyDescent="0.35">
      <c r="A16" s="179" t="e">
        <v>#NUM!</v>
      </c>
      <c r="B16" s="171" t="e">
        <f>INDEX(bhpc_data[description],MATCH($A16,bhpc_data[sku],0))</f>
        <v>#NUM!</v>
      </c>
      <c r="C16" s="180"/>
      <c r="D16" s="181"/>
      <c r="E16" s="182"/>
      <c r="F16" s="183" t="s">
        <v>924</v>
      </c>
      <c r="G16" s="184" t="e">
        <v>#NUM!</v>
      </c>
      <c r="H16" s="228" t="e">
        <f>G16/24*6.87</f>
        <v>#NUM!</v>
      </c>
      <c r="I16" s="229" t="e">
        <f>G16/24*7.56</f>
        <v>#NUM!</v>
      </c>
      <c r="J16" s="185" t="e">
        <f t="shared" si="0"/>
        <v>#NUM!</v>
      </c>
      <c r="K16" s="320" t="e">
        <v>#NUM!</v>
      </c>
      <c r="L16" s="186" t="e">
        <f>INDEX(bhpc_data[country_of_origin],MATCH($A16,bhpc_data[sku],0))</f>
        <v>#NUM!</v>
      </c>
      <c r="N16" s="243"/>
      <c r="S16" s="225"/>
      <c r="T16" s="225"/>
    </row>
    <row r="17" spans="1:20" ht="14.5" x14ac:dyDescent="0.35">
      <c r="A17" s="179" t="e">
        <v>#NUM!</v>
      </c>
      <c r="B17" s="171" t="e">
        <f>INDEX(bhpc_data[description],MATCH($A17,bhpc_data[sku],0))</f>
        <v>#NUM!</v>
      </c>
      <c r="C17" s="180"/>
      <c r="D17" s="181"/>
      <c r="E17" s="182"/>
      <c r="F17" s="183" t="s">
        <v>924</v>
      </c>
      <c r="G17" s="184" t="e">
        <v>#NUM!</v>
      </c>
      <c r="H17" s="228" t="e">
        <f>G17/24*6.87</f>
        <v>#NUM!</v>
      </c>
      <c r="I17" s="229" t="e">
        <f>G17/24*7.56</f>
        <v>#NUM!</v>
      </c>
      <c r="J17" s="185" t="e">
        <f t="shared" si="0"/>
        <v>#NUM!</v>
      </c>
      <c r="K17" s="320" t="e">
        <v>#NUM!</v>
      </c>
      <c r="L17" s="186" t="e">
        <f>INDEX(bhpc_data[country_of_origin],MATCH($A17,bhpc_data[sku],0))</f>
        <v>#NUM!</v>
      </c>
      <c r="N17" s="243"/>
      <c r="S17" s="225"/>
      <c r="T17" s="225"/>
    </row>
    <row r="18" spans="1:20" ht="14.5" x14ac:dyDescent="0.35">
      <c r="A18" s="179" t="e">
        <v>#NUM!</v>
      </c>
      <c r="B18" s="171" t="e">
        <f>INDEX(bhpc_data[description],MATCH($A18,bhpc_data[sku],0))</f>
        <v>#NUM!</v>
      </c>
      <c r="C18" s="180"/>
      <c r="D18" s="181"/>
      <c r="E18" s="182"/>
      <c r="F18" s="183" t="s">
        <v>924</v>
      </c>
      <c r="G18" s="184" t="e">
        <v>#NUM!</v>
      </c>
      <c r="H18" s="228" t="e">
        <f>G18/24*6.87</f>
        <v>#NUM!</v>
      </c>
      <c r="I18" s="229" t="e">
        <f>G18/24*7.56</f>
        <v>#NUM!</v>
      </c>
      <c r="J18" s="185" t="e">
        <f t="shared" si="0"/>
        <v>#NUM!</v>
      </c>
      <c r="K18" s="320" t="e">
        <v>#NUM!</v>
      </c>
      <c r="L18" s="186" t="e">
        <f>INDEX(bhpc_data[country_of_origin],MATCH($A18,bhpc_data[sku],0))</f>
        <v>#NUM!</v>
      </c>
      <c r="N18" s="243"/>
      <c r="S18" s="225"/>
      <c r="T18" s="225"/>
    </row>
    <row r="19" spans="1:20" ht="14.5" x14ac:dyDescent="0.35">
      <c r="A19" s="179" t="e">
        <v>#NUM!</v>
      </c>
      <c r="B19" s="171" t="e">
        <f>INDEX(bhpc_data[description],MATCH($A19,bhpc_data[sku],0))</f>
        <v>#NUM!</v>
      </c>
      <c r="C19" s="180"/>
      <c r="D19" s="181"/>
      <c r="E19" s="182"/>
      <c r="F19" s="183" t="s">
        <v>924</v>
      </c>
      <c r="G19" s="184" t="e">
        <v>#NUM!</v>
      </c>
      <c r="H19" s="228" t="e">
        <f>G19/24*9.48</f>
        <v>#NUM!</v>
      </c>
      <c r="I19" s="229" t="e">
        <f>G19/24*9.9</f>
        <v>#NUM!</v>
      </c>
      <c r="J19" s="185" t="e">
        <f t="shared" si="0"/>
        <v>#NUM!</v>
      </c>
      <c r="K19" s="320" t="e">
        <v>#NUM!</v>
      </c>
      <c r="L19" s="186" t="e">
        <f>INDEX(bhpc_data[country_of_origin],MATCH($A19,bhpc_data[sku],0))</f>
        <v>#NUM!</v>
      </c>
      <c r="N19" s="243"/>
      <c r="S19" s="225"/>
      <c r="T19" s="225"/>
    </row>
    <row r="20" spans="1:20" ht="14.5" x14ac:dyDescent="0.35">
      <c r="A20" s="179" t="e">
        <v>#NUM!</v>
      </c>
      <c r="B20" s="171" t="e">
        <f>INDEX(bhpc_data[description],MATCH($A20,bhpc_data[sku],0))</f>
        <v>#NUM!</v>
      </c>
      <c r="C20" s="180"/>
      <c r="D20" s="181"/>
      <c r="E20" s="182"/>
      <c r="F20" s="183" t="s">
        <v>924</v>
      </c>
      <c r="G20" s="184" t="e">
        <v>#NUM!</v>
      </c>
      <c r="H20" s="228" t="e">
        <f>G20/24*9.48</f>
        <v>#NUM!</v>
      </c>
      <c r="I20" s="229" t="e">
        <f>G20/24*9.9</f>
        <v>#NUM!</v>
      </c>
      <c r="J20" s="185" t="e">
        <f t="shared" si="0"/>
        <v>#NUM!</v>
      </c>
      <c r="K20" s="320" t="e">
        <v>#NUM!</v>
      </c>
      <c r="L20" s="186" t="e">
        <f>INDEX(bhpc_data[country_of_origin],MATCH($A20,bhpc_data[sku],0))</f>
        <v>#NUM!</v>
      </c>
      <c r="N20" s="243"/>
      <c r="S20" s="225"/>
      <c r="T20" s="225"/>
    </row>
    <row r="21" spans="1:20" ht="14.5" x14ac:dyDescent="0.35">
      <c r="A21" s="179" t="e">
        <v>#NUM!</v>
      </c>
      <c r="B21" s="171" t="e">
        <f>INDEX(bhpc_data[description],MATCH($A21,bhpc_data[sku],0))</f>
        <v>#NUM!</v>
      </c>
      <c r="C21" s="180"/>
      <c r="D21" s="181"/>
      <c r="E21" s="182"/>
      <c r="F21" s="183" t="s">
        <v>924</v>
      </c>
      <c r="G21" s="184" t="e">
        <v>#NUM!</v>
      </c>
      <c r="H21" s="228" t="e">
        <f>G21/24*9.12</f>
        <v>#NUM!</v>
      </c>
      <c r="I21" s="229" t="e">
        <f>G21/24*9.5</f>
        <v>#NUM!</v>
      </c>
      <c r="J21" s="185" t="e">
        <f t="shared" si="0"/>
        <v>#NUM!</v>
      </c>
      <c r="K21" s="320" t="e">
        <v>#NUM!</v>
      </c>
      <c r="L21" s="186" t="e">
        <f>INDEX(bhpc_data[country_of_origin],MATCH($A21,bhpc_data[sku],0))</f>
        <v>#NUM!</v>
      </c>
      <c r="N21" s="243"/>
      <c r="S21" s="225"/>
      <c r="T21" s="225"/>
    </row>
    <row r="22" spans="1:20" ht="14.5" x14ac:dyDescent="0.35">
      <c r="A22" s="179"/>
      <c r="B22" s="171"/>
      <c r="C22" s="180"/>
      <c r="D22" s="181"/>
      <c r="E22" s="182"/>
      <c r="F22" s="183"/>
      <c r="G22" s="184"/>
      <c r="H22" s="228"/>
      <c r="I22" s="229"/>
      <c r="J22" s="185"/>
      <c r="K22" s="320"/>
      <c r="L22" s="186"/>
      <c r="N22" s="243"/>
      <c r="S22" s="225"/>
      <c r="T22" s="225"/>
    </row>
    <row r="23" spans="1:20" ht="14.5" x14ac:dyDescent="0.35">
      <c r="A23" s="179"/>
      <c r="B23" s="171"/>
      <c r="C23" s="180"/>
      <c r="D23" s="181"/>
      <c r="E23" s="182"/>
      <c r="F23" s="183"/>
      <c r="G23" s="184"/>
      <c r="H23" s="228"/>
      <c r="I23" s="229"/>
      <c r="J23" s="185"/>
      <c r="K23" s="320"/>
      <c r="L23" s="186"/>
      <c r="N23" s="243"/>
      <c r="S23" s="225"/>
      <c r="T23" s="225"/>
    </row>
    <row r="24" spans="1:20" ht="14.5" x14ac:dyDescent="0.35">
      <c r="A24" s="179"/>
      <c r="B24" s="171"/>
      <c r="C24" s="180"/>
      <c r="D24" s="181"/>
      <c r="E24" s="182"/>
      <c r="F24" s="183"/>
      <c r="G24" s="184"/>
      <c r="H24" s="228"/>
      <c r="I24" s="229"/>
      <c r="J24" s="185"/>
      <c r="K24" s="320"/>
      <c r="L24" s="186"/>
      <c r="S24" s="225"/>
      <c r="T24" s="225"/>
    </row>
    <row r="25" spans="1:20" ht="14.5" x14ac:dyDescent="0.35">
      <c r="A25" s="179"/>
      <c r="B25" s="171"/>
      <c r="C25" s="180"/>
      <c r="D25" s="181"/>
      <c r="E25" s="182"/>
      <c r="F25" s="183"/>
      <c r="G25" s="184"/>
      <c r="H25" s="228"/>
      <c r="I25" s="229"/>
      <c r="J25" s="185"/>
      <c r="K25" s="320"/>
      <c r="L25" s="186"/>
      <c r="S25" s="225"/>
      <c r="T25" s="225"/>
    </row>
    <row r="26" spans="1:20" ht="14.5" x14ac:dyDescent="0.35">
      <c r="A26" s="179"/>
      <c r="B26" s="171"/>
      <c r="C26" s="180"/>
      <c r="D26" s="181"/>
      <c r="E26" s="182"/>
      <c r="F26" s="183"/>
      <c r="G26" s="184"/>
      <c r="H26" s="228"/>
      <c r="I26" s="229"/>
      <c r="J26" s="185"/>
      <c r="K26" s="320"/>
      <c r="L26" s="186"/>
      <c r="S26" s="225"/>
      <c r="T26" s="225"/>
    </row>
    <row r="27" spans="1:20" ht="14.5" x14ac:dyDescent="0.35">
      <c r="A27" s="179"/>
      <c r="B27" s="171"/>
      <c r="C27" s="180"/>
      <c r="D27" s="181"/>
      <c r="E27" s="182"/>
      <c r="F27" s="183"/>
      <c r="G27" s="184"/>
      <c r="H27" s="228"/>
      <c r="I27" s="229"/>
      <c r="J27" s="185"/>
      <c r="K27" s="320"/>
      <c r="L27" s="186"/>
      <c r="S27" s="225"/>
      <c r="T27" s="225"/>
    </row>
    <row r="28" spans="1:20" ht="14.5" x14ac:dyDescent="0.35">
      <c r="A28" s="179"/>
      <c r="B28" s="171"/>
      <c r="C28" s="180"/>
      <c r="D28" s="181"/>
      <c r="E28" s="182"/>
      <c r="F28" s="183"/>
      <c r="G28" s="184"/>
      <c r="H28" s="228"/>
      <c r="I28" s="229"/>
      <c r="J28" s="185"/>
      <c r="K28" s="320"/>
      <c r="L28" s="186"/>
      <c r="S28" s="225"/>
      <c r="T28" s="225"/>
    </row>
    <row r="29" spans="1:20" ht="14.5" x14ac:dyDescent="0.35">
      <c r="A29" s="179"/>
      <c r="B29" s="171"/>
      <c r="C29" s="180"/>
      <c r="D29" s="181"/>
      <c r="E29" s="182"/>
      <c r="F29" s="183"/>
      <c r="G29" s="184"/>
      <c r="H29" s="228"/>
      <c r="I29" s="229"/>
      <c r="J29" s="185"/>
      <c r="K29" s="320"/>
      <c r="L29" s="186"/>
      <c r="S29" s="225"/>
      <c r="T29" s="225"/>
    </row>
    <row r="30" spans="1:20" ht="14.5" x14ac:dyDescent="0.35">
      <c r="A30" s="179"/>
      <c r="B30" s="171"/>
      <c r="C30" s="180"/>
      <c r="D30" s="181"/>
      <c r="E30" s="182"/>
      <c r="F30" s="183"/>
      <c r="G30" s="184"/>
      <c r="H30" s="228"/>
      <c r="I30" s="229"/>
      <c r="J30" s="185"/>
      <c r="K30" s="320"/>
      <c r="L30" s="186"/>
      <c r="S30" s="225"/>
      <c r="T30" s="225"/>
    </row>
    <row r="31" spans="1:20" ht="14.5" x14ac:dyDescent="0.35">
      <c r="A31" s="179"/>
      <c r="B31" s="171"/>
      <c r="C31" s="180"/>
      <c r="D31" s="181"/>
      <c r="E31" s="182"/>
      <c r="F31" s="183"/>
      <c r="G31" s="184"/>
      <c r="H31" s="228"/>
      <c r="I31" s="229"/>
      <c r="J31" s="185"/>
      <c r="K31" s="320"/>
      <c r="L31" s="186"/>
      <c r="S31" s="225"/>
      <c r="T31" s="225"/>
    </row>
    <row r="32" spans="1:20" ht="14.5" x14ac:dyDescent="0.35">
      <c r="A32" s="179"/>
      <c r="B32" s="171"/>
      <c r="C32" s="180"/>
      <c r="D32" s="181"/>
      <c r="E32" s="182"/>
      <c r="F32" s="183"/>
      <c r="G32" s="184"/>
      <c r="H32" s="228"/>
      <c r="I32" s="229"/>
      <c r="J32" s="185"/>
      <c r="K32" s="320"/>
      <c r="L32" s="186"/>
      <c r="S32" s="225"/>
      <c r="T32" s="225"/>
    </row>
    <row r="33" spans="1:20" ht="14.5" x14ac:dyDescent="0.35">
      <c r="A33" s="179"/>
      <c r="B33" s="171"/>
      <c r="C33" s="180"/>
      <c r="D33" s="181"/>
      <c r="E33" s="182"/>
      <c r="F33" s="183"/>
      <c r="G33" s="184"/>
      <c r="H33" s="228"/>
      <c r="I33" s="229"/>
      <c r="J33" s="185"/>
      <c r="K33" s="320"/>
      <c r="L33" s="186"/>
      <c r="S33" s="225"/>
      <c r="T33" s="225"/>
    </row>
    <row r="34" spans="1:20" ht="14.5" x14ac:dyDescent="0.35">
      <c r="A34" s="179"/>
      <c r="B34" s="171"/>
      <c r="C34" s="180"/>
      <c r="D34" s="181"/>
      <c r="E34" s="182"/>
      <c r="F34" s="183"/>
      <c r="G34" s="184"/>
      <c r="H34" s="228"/>
      <c r="I34" s="229"/>
      <c r="J34" s="185"/>
      <c r="K34" s="320"/>
      <c r="L34" s="186"/>
      <c r="S34" s="225"/>
      <c r="T34" s="225"/>
    </row>
    <row r="35" spans="1:20" ht="14.5" x14ac:dyDescent="0.35">
      <c r="A35" s="179"/>
      <c r="B35" s="171"/>
      <c r="C35" s="180"/>
      <c r="D35" s="181"/>
      <c r="E35" s="182"/>
      <c r="F35" s="183"/>
      <c r="G35" s="184"/>
      <c r="H35" s="228"/>
      <c r="I35" s="229"/>
      <c r="J35" s="185"/>
      <c r="K35" s="320"/>
      <c r="L35" s="186"/>
      <c r="S35" s="225"/>
      <c r="T35" s="225"/>
    </row>
    <row r="36" spans="1:20" ht="14.5" x14ac:dyDescent="0.35">
      <c r="A36" s="179"/>
      <c r="B36" s="171"/>
      <c r="C36" s="180"/>
      <c r="D36" s="181"/>
      <c r="E36" s="182"/>
      <c r="F36" s="183"/>
      <c r="G36" s="184"/>
      <c r="H36" s="228"/>
      <c r="I36" s="229"/>
      <c r="J36" s="185"/>
      <c r="K36" s="320"/>
      <c r="L36" s="186"/>
      <c r="S36" s="225"/>
      <c r="T36" s="225"/>
    </row>
    <row r="37" spans="1:20" ht="14.5" x14ac:dyDescent="0.35">
      <c r="A37" s="179"/>
      <c r="B37" s="171"/>
      <c r="C37" s="180"/>
      <c r="D37" s="181"/>
      <c r="E37" s="182"/>
      <c r="F37" s="183"/>
      <c r="G37" s="184"/>
      <c r="H37" s="228"/>
      <c r="I37" s="229"/>
      <c r="J37" s="185"/>
      <c r="K37" s="320"/>
      <c r="L37" s="186"/>
      <c r="S37" s="225"/>
      <c r="T37" s="225"/>
    </row>
    <row r="38" spans="1:20" ht="14.5" x14ac:dyDescent="0.35">
      <c r="A38" s="179"/>
      <c r="B38" s="171"/>
      <c r="C38" s="180"/>
      <c r="D38" s="181"/>
      <c r="E38" s="182"/>
      <c r="F38" s="183"/>
      <c r="G38" s="184"/>
      <c r="H38" s="228"/>
      <c r="I38" s="229"/>
      <c r="J38" s="185"/>
      <c r="K38" s="320"/>
      <c r="L38" s="186"/>
    </row>
    <row r="39" spans="1:20" ht="14.5" x14ac:dyDescent="0.35">
      <c r="A39" s="179"/>
      <c r="B39" s="171"/>
      <c r="C39" s="180"/>
      <c r="D39" s="181"/>
      <c r="E39" s="182"/>
      <c r="F39" s="183"/>
      <c r="G39" s="184"/>
      <c r="H39" s="228"/>
      <c r="I39" s="229"/>
      <c r="J39" s="185"/>
      <c r="K39" s="320"/>
      <c r="L39" s="186"/>
    </row>
    <row r="40" spans="1:20" ht="14.5" x14ac:dyDescent="0.35">
      <c r="A40" s="179"/>
      <c r="B40" s="171"/>
      <c r="C40" s="180"/>
      <c r="D40" s="181"/>
      <c r="E40" s="182"/>
      <c r="F40" s="183"/>
      <c r="G40" s="184"/>
      <c r="H40" s="228"/>
      <c r="I40" s="229"/>
      <c r="J40" s="185"/>
      <c r="K40" s="320"/>
      <c r="L40" s="186"/>
    </row>
    <row r="41" spans="1:20" ht="14.5" x14ac:dyDescent="0.35">
      <c r="A41" s="179"/>
      <c r="B41" s="171"/>
      <c r="C41" s="180"/>
      <c r="D41" s="181"/>
      <c r="E41" s="182"/>
      <c r="F41" s="183"/>
      <c r="G41" s="184"/>
      <c r="H41" s="228"/>
      <c r="I41" s="229"/>
      <c r="J41" s="185"/>
      <c r="K41" s="320"/>
      <c r="L41" s="186"/>
    </row>
    <row r="42" spans="1:20" ht="14.5" x14ac:dyDescent="0.35">
      <c r="A42" s="179"/>
      <c r="B42" s="171"/>
      <c r="C42" s="180"/>
      <c r="D42" s="181"/>
      <c r="E42" s="182"/>
      <c r="F42" s="183"/>
      <c r="G42" s="184"/>
      <c r="H42" s="228"/>
      <c r="I42" s="229"/>
      <c r="J42" s="185"/>
      <c r="K42" s="320"/>
      <c r="L42" s="186"/>
    </row>
    <row r="43" spans="1:20" ht="14.5" x14ac:dyDescent="0.35">
      <c r="A43" s="179"/>
      <c r="B43" s="171"/>
      <c r="C43" s="180"/>
      <c r="D43" s="181"/>
      <c r="E43" s="182"/>
      <c r="F43" s="183"/>
      <c r="G43" s="184"/>
      <c r="H43" s="228"/>
      <c r="I43" s="229"/>
      <c r="J43" s="185"/>
      <c r="K43" s="320"/>
      <c r="L43" s="186"/>
    </row>
    <row r="44" spans="1:20" ht="14.5" x14ac:dyDescent="0.35">
      <c r="A44" s="179"/>
      <c r="B44" s="171"/>
      <c r="C44" s="180"/>
      <c r="D44" s="181"/>
      <c r="E44" s="182"/>
      <c r="F44" s="183"/>
      <c r="G44" s="184"/>
      <c r="H44" s="228"/>
      <c r="I44" s="229"/>
      <c r="J44" s="185"/>
      <c r="K44" s="320"/>
      <c r="L44" s="186"/>
    </row>
    <row r="45" spans="1:20" ht="14.5" x14ac:dyDescent="0.35">
      <c r="A45" s="179"/>
      <c r="B45" s="171"/>
      <c r="C45" s="180"/>
      <c r="D45" s="181"/>
      <c r="E45" s="182"/>
      <c r="F45" s="183"/>
      <c r="G45" s="184"/>
      <c r="H45" s="228"/>
      <c r="I45" s="229"/>
      <c r="J45" s="185"/>
      <c r="K45" s="320"/>
      <c r="L45" s="186"/>
    </row>
    <row r="46" spans="1:20" ht="14.5" x14ac:dyDescent="0.35">
      <c r="A46" s="179"/>
      <c r="B46" s="171"/>
      <c r="C46" s="180"/>
      <c r="D46" s="181"/>
      <c r="E46" s="182"/>
      <c r="F46" s="183"/>
      <c r="G46" s="184"/>
      <c r="H46" s="228"/>
      <c r="I46" s="229"/>
      <c r="J46" s="185"/>
      <c r="K46" s="320"/>
      <c r="L46" s="186"/>
    </row>
    <row r="47" spans="1:20" ht="14.5" x14ac:dyDescent="0.35">
      <c r="A47" s="179"/>
      <c r="B47" s="171"/>
      <c r="C47" s="180"/>
      <c r="D47" s="181"/>
      <c r="E47" s="182"/>
      <c r="F47" s="183"/>
      <c r="G47" s="184"/>
      <c r="H47" s="228"/>
      <c r="I47" s="229"/>
      <c r="J47" s="185"/>
      <c r="K47" s="320"/>
      <c r="L47" s="186"/>
    </row>
    <row r="48" spans="1:20" ht="14.5" x14ac:dyDescent="0.35">
      <c r="A48" s="179"/>
      <c r="B48" s="171"/>
      <c r="C48" s="180"/>
      <c r="D48" s="181"/>
      <c r="E48" s="182"/>
      <c r="F48" s="183"/>
      <c r="G48" s="184"/>
      <c r="H48" s="228"/>
      <c r="I48" s="229"/>
      <c r="J48" s="185"/>
      <c r="K48" s="320"/>
      <c r="L48" s="186"/>
    </row>
    <row r="49" spans="1:15" ht="14.5" x14ac:dyDescent="0.35">
      <c r="A49" s="179"/>
      <c r="B49" s="171"/>
      <c r="C49" s="180"/>
      <c r="D49" s="181"/>
      <c r="E49" s="182"/>
      <c r="F49" s="183"/>
      <c r="G49" s="184"/>
      <c r="H49" s="228"/>
      <c r="I49" s="229"/>
      <c r="J49" s="185"/>
      <c r="K49" s="320"/>
      <c r="L49" s="186"/>
    </row>
    <row r="50" spans="1:15" ht="14.5" x14ac:dyDescent="0.35">
      <c r="A50" s="179"/>
      <c r="B50" s="171"/>
      <c r="C50" s="180"/>
      <c r="D50" s="181"/>
      <c r="E50" s="182"/>
      <c r="F50" s="183"/>
      <c r="G50" s="184"/>
      <c r="H50" s="228"/>
      <c r="I50" s="229"/>
      <c r="J50" s="185"/>
      <c r="K50" s="320"/>
      <c r="L50" s="186"/>
    </row>
    <row r="51" spans="1:15" ht="14.5" x14ac:dyDescent="0.35">
      <c r="A51" s="179"/>
      <c r="B51" s="171"/>
      <c r="C51" s="180"/>
      <c r="D51" s="181"/>
      <c r="E51" s="182"/>
      <c r="F51" s="183"/>
      <c r="G51" s="184"/>
      <c r="H51" s="228"/>
      <c r="I51" s="229"/>
      <c r="J51" s="185"/>
      <c r="K51" s="320"/>
      <c r="L51" s="186"/>
    </row>
    <row r="52" spans="1:15" ht="14.5" x14ac:dyDescent="0.35">
      <c r="A52" s="179"/>
      <c r="B52" s="171"/>
      <c r="C52" s="180"/>
      <c r="D52" s="181"/>
      <c r="E52" s="182"/>
      <c r="F52" s="183"/>
      <c r="G52" s="184"/>
      <c r="H52" s="228"/>
      <c r="I52" s="229"/>
      <c r="J52" s="185"/>
      <c r="K52" s="320"/>
      <c r="L52" s="186"/>
    </row>
    <row r="53" spans="1:15" ht="14.5" x14ac:dyDescent="0.35">
      <c r="A53" s="179"/>
      <c r="B53" s="171"/>
      <c r="C53" s="180"/>
      <c r="D53" s="181"/>
      <c r="E53" s="182"/>
      <c r="F53" s="183"/>
      <c r="G53" s="184"/>
      <c r="H53" s="228"/>
      <c r="I53" s="229"/>
      <c r="J53" s="185"/>
      <c r="K53" s="320"/>
      <c r="L53" s="186"/>
    </row>
    <row r="54" spans="1:15" ht="14.5" x14ac:dyDescent="0.35">
      <c r="A54" s="179"/>
      <c r="B54" s="171"/>
      <c r="C54" s="180"/>
      <c r="D54" s="181"/>
      <c r="E54" s="182"/>
      <c r="F54" s="183"/>
      <c r="G54" s="184"/>
      <c r="H54" s="228"/>
      <c r="I54" s="229"/>
      <c r="J54" s="185"/>
      <c r="K54" s="320"/>
      <c r="L54" s="186"/>
    </row>
    <row r="55" spans="1:15" x14ac:dyDescent="0.35">
      <c r="A55" s="187"/>
      <c r="B55" s="188"/>
      <c r="C55" s="168"/>
      <c r="D55" s="189"/>
      <c r="E55" s="168"/>
      <c r="F55" s="190"/>
      <c r="G55" s="187" t="s">
        <v>497</v>
      </c>
      <c r="H55" s="188"/>
      <c r="I55" s="187" t="s">
        <v>498</v>
      </c>
      <c r="J55" s="188"/>
      <c r="K55" s="188"/>
      <c r="L55" s="191"/>
    </row>
    <row r="56" spans="1:15" ht="15" customHeight="1" x14ac:dyDescent="0.35">
      <c r="A56" s="192"/>
      <c r="B56" s="193"/>
      <c r="C56" s="193"/>
      <c r="D56" s="194"/>
      <c r="E56" s="193"/>
      <c r="F56" s="135"/>
      <c r="G56" s="704"/>
      <c r="H56" s="706"/>
      <c r="I56" s="704"/>
      <c r="J56" s="705"/>
      <c r="K56" s="705"/>
      <c r="L56" s="706"/>
    </row>
    <row r="57" spans="1:15" s="139" customFormat="1" x14ac:dyDescent="0.35">
      <c r="A57" s="195" t="s">
        <v>499</v>
      </c>
      <c r="B57" s="196"/>
      <c r="C57" s="197" t="s">
        <v>500</v>
      </c>
      <c r="D57" s="198"/>
      <c r="E57" s="199" t="s">
        <v>501</v>
      </c>
      <c r="F57" s="200"/>
      <c r="G57" s="199" t="s">
        <v>502</v>
      </c>
      <c r="H57" s="168"/>
      <c r="I57" s="199" t="s">
        <v>503</v>
      </c>
      <c r="J57" s="168"/>
      <c r="K57" s="168"/>
      <c r="L57" s="201"/>
      <c r="N57" s="124"/>
      <c r="O57" s="124"/>
    </row>
    <row r="58" spans="1:15" ht="15" customHeight="1" x14ac:dyDescent="0.35">
      <c r="A58" s="709" t="e">
        <f>SUM($G$11:$G$54)</f>
        <v>#NUM!</v>
      </c>
      <c r="B58" s="710"/>
      <c r="C58" s="709" t="e">
        <f>SUM($J$11:$J$54)</f>
        <v>#NUM!</v>
      </c>
      <c r="D58" s="710"/>
      <c r="E58" s="704">
        <v>0</v>
      </c>
      <c r="F58" s="706"/>
      <c r="G58" s="704" t="s">
        <v>1162</v>
      </c>
      <c r="H58" s="706"/>
      <c r="I58" s="704"/>
      <c r="J58" s="705"/>
      <c r="K58" s="705"/>
      <c r="L58" s="706"/>
    </row>
    <row r="59" spans="1:15" s="139" customFormat="1" x14ac:dyDescent="0.35">
      <c r="A59" s="187" t="s">
        <v>504</v>
      </c>
      <c r="B59" s="191"/>
      <c r="C59" s="199" t="s">
        <v>505</v>
      </c>
      <c r="D59" s="202"/>
      <c r="E59" s="197" t="s">
        <v>506</v>
      </c>
      <c r="G59" s="199" t="s">
        <v>507</v>
      </c>
      <c r="H59" s="168"/>
      <c r="I59" s="168"/>
      <c r="J59" s="188"/>
      <c r="K59" s="188"/>
      <c r="L59" s="191"/>
      <c r="N59" s="124"/>
      <c r="O59" s="124"/>
    </row>
    <row r="60" spans="1:15" ht="15" customHeight="1" x14ac:dyDescent="0.35">
      <c r="A60" s="707" t="e">
        <f>ROUND(SUM(H11:$H$54),1)</f>
        <v>#NUM!</v>
      </c>
      <c r="B60" s="708"/>
      <c r="C60" s="707" t="e">
        <f>ROUND(SUM($I$11:$I$54),1)</f>
        <v>#NUM!</v>
      </c>
      <c r="D60" s="708"/>
      <c r="E60" s="707" t="e">
        <f>C60+E58*IF(G58="80x120",25,20)</f>
        <v>#NUM!</v>
      </c>
      <c r="F60" s="708"/>
      <c r="G60" s="203"/>
      <c r="H60" s="204"/>
      <c r="I60" s="204"/>
      <c r="J60" s="204"/>
      <c r="K60" s="204"/>
      <c r="L60" s="205"/>
    </row>
    <row r="61" spans="1:15" ht="14.15" customHeight="1" x14ac:dyDescent="0.35">
      <c r="A61" s="199" t="s">
        <v>508</v>
      </c>
      <c r="B61" s="168"/>
      <c r="C61" s="168"/>
      <c r="D61" s="168"/>
      <c r="E61" s="206"/>
      <c r="F61" s="123"/>
      <c r="G61" s="207"/>
      <c r="H61" s="208"/>
      <c r="I61" s="208"/>
      <c r="J61" s="209"/>
      <c r="K61" s="209"/>
      <c r="L61" s="210"/>
    </row>
    <row r="62" spans="1:15" ht="14.15" customHeight="1" x14ac:dyDescent="0.35">
      <c r="A62" s="211"/>
      <c r="B62" s="212"/>
      <c r="C62" s="204"/>
      <c r="D62" s="204"/>
      <c r="E62" s="204"/>
      <c r="F62" s="127"/>
      <c r="G62" s="207"/>
      <c r="H62" s="208"/>
      <c r="I62" s="208"/>
      <c r="J62" s="208"/>
      <c r="K62" s="208"/>
      <c r="L62" s="210"/>
    </row>
    <row r="63" spans="1:15" ht="14.15" customHeight="1" x14ac:dyDescent="0.35">
      <c r="A63" s="211"/>
      <c r="B63" s="204"/>
      <c r="C63" s="204"/>
      <c r="D63" s="213"/>
      <c r="E63" s="204"/>
      <c r="F63" s="127"/>
      <c r="G63" s="207"/>
      <c r="H63" s="208"/>
      <c r="I63" s="208"/>
      <c r="J63" s="208"/>
      <c r="K63" s="208"/>
      <c r="L63" s="210"/>
    </row>
    <row r="64" spans="1:15" ht="14.15" customHeight="1" x14ac:dyDescent="0.35">
      <c r="A64" s="192"/>
      <c r="B64" s="193"/>
      <c r="C64" s="193"/>
      <c r="D64" s="194"/>
      <c r="E64" s="193"/>
      <c r="F64" s="135"/>
      <c r="G64" s="214"/>
      <c r="H64" s="215"/>
      <c r="I64" s="215"/>
      <c r="J64" s="215"/>
      <c r="K64" s="215"/>
      <c r="L64" s="216"/>
    </row>
  </sheetData>
  <mergeCells count="22">
    <mergeCell ref="B10:E10"/>
    <mergeCell ref="I58:L58"/>
    <mergeCell ref="I56:L56"/>
    <mergeCell ref="G56:H56"/>
    <mergeCell ref="A60:B60"/>
    <mergeCell ref="G58:H58"/>
    <mergeCell ref="C60:D60"/>
    <mergeCell ref="E60:F60"/>
    <mergeCell ref="E58:F58"/>
    <mergeCell ref="C58:D58"/>
    <mergeCell ref="A58:B58"/>
    <mergeCell ref="A9:B9"/>
    <mergeCell ref="C9:D9"/>
    <mergeCell ref="E9:F9"/>
    <mergeCell ref="G9:I9"/>
    <mergeCell ref="J9:L9"/>
    <mergeCell ref="A1:B1"/>
    <mergeCell ref="H1:J1"/>
    <mergeCell ref="A8:B8"/>
    <mergeCell ref="C8:D8"/>
    <mergeCell ref="G8:I8"/>
    <mergeCell ref="J8:L8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6"/>
  <dimension ref="A1:O118"/>
  <sheetViews>
    <sheetView showGridLines="0" zoomScaleSheetLayoutView="100" workbookViewId="0">
      <selection activeCell="B109" sqref="B109"/>
    </sheetView>
  </sheetViews>
  <sheetFormatPr defaultColWidth="10.7265625" defaultRowHeight="12.5" x14ac:dyDescent="0.35"/>
  <cols>
    <col min="1" max="1" width="7.7265625" style="124" customWidth="1"/>
    <col min="2" max="2" width="15.453125" style="124" customWidth="1"/>
    <col min="3" max="3" width="12.7265625" style="124" customWidth="1"/>
    <col min="4" max="4" width="9.54296875" style="125" customWidth="1"/>
    <col min="5" max="5" width="15.54296875" style="124" customWidth="1"/>
    <col min="6" max="6" width="3.453125" style="126" customWidth="1"/>
    <col min="7" max="8" width="7.54296875" style="124" customWidth="1"/>
    <col min="9" max="9" width="7.54296875" style="126" customWidth="1"/>
    <col min="10" max="10" width="7.54296875" style="124" customWidth="1"/>
    <col min="11" max="11" width="13.1796875" style="124" customWidth="1"/>
    <col min="12" max="12" width="9.54296875" style="124" customWidth="1"/>
    <col min="13" max="16384" width="10.7265625" style="124"/>
  </cols>
  <sheetData>
    <row r="1" spans="1:12" x14ac:dyDescent="0.35">
      <c r="A1" s="696"/>
      <c r="B1" s="696"/>
      <c r="G1" s="127"/>
      <c r="H1" s="638"/>
      <c r="I1" s="624"/>
      <c r="J1" s="624"/>
      <c r="K1" s="149"/>
      <c r="L1" s="123"/>
    </row>
    <row r="2" spans="1:12" ht="13" x14ac:dyDescent="0.35">
      <c r="G2" s="127"/>
      <c r="H2" s="128" t="s">
        <v>617</v>
      </c>
      <c r="I2" s="129"/>
      <c r="J2" s="129"/>
      <c r="K2" s="129"/>
      <c r="L2" s="127"/>
    </row>
    <row r="3" spans="1:12" ht="13" x14ac:dyDescent="0.35">
      <c r="G3" s="127"/>
      <c r="H3" s="130"/>
      <c r="I3" s="124"/>
      <c r="J3" s="129"/>
      <c r="K3" s="129"/>
      <c r="L3" s="127"/>
    </row>
    <row r="4" spans="1:12" ht="13" x14ac:dyDescent="0.35">
      <c r="G4" s="127"/>
      <c r="H4" s="130" t="s">
        <v>618</v>
      </c>
      <c r="I4" s="124"/>
      <c r="J4" s="129"/>
      <c r="K4" s="129"/>
      <c r="L4" s="127"/>
    </row>
    <row r="5" spans="1:12" ht="13" x14ac:dyDescent="0.35">
      <c r="G5" s="127"/>
      <c r="H5" s="130" t="s">
        <v>619</v>
      </c>
      <c r="I5" s="124"/>
      <c r="J5" s="129"/>
      <c r="K5" s="129"/>
      <c r="L5" s="127"/>
    </row>
    <row r="6" spans="1:12" ht="13" x14ac:dyDescent="0.35">
      <c r="G6" s="127"/>
      <c r="H6" s="130" t="s">
        <v>616</v>
      </c>
      <c r="J6" s="129"/>
      <c r="K6" s="129"/>
      <c r="L6" s="127"/>
    </row>
    <row r="7" spans="1:12" x14ac:dyDescent="0.35">
      <c r="A7" s="132"/>
      <c r="B7" s="132"/>
      <c r="C7" s="132"/>
      <c r="D7" s="133"/>
      <c r="E7" s="132"/>
      <c r="F7" s="134"/>
      <c r="G7" s="135"/>
      <c r="H7" s="136"/>
      <c r="I7" s="134"/>
      <c r="J7" s="132"/>
      <c r="K7" s="132"/>
      <c r="L7" s="135"/>
    </row>
    <row r="8" spans="1:12" x14ac:dyDescent="0.35">
      <c r="A8" s="638" t="s">
        <v>462</v>
      </c>
      <c r="B8" s="626"/>
      <c r="C8" s="638" t="s">
        <v>463</v>
      </c>
      <c r="D8" s="626"/>
      <c r="E8" s="168" t="s">
        <v>703</v>
      </c>
      <c r="F8" s="169"/>
      <c r="G8" s="638" t="s">
        <v>494</v>
      </c>
      <c r="H8" s="624"/>
      <c r="I8" s="624"/>
      <c r="J8" s="635"/>
      <c r="K8" s="630"/>
      <c r="L8" s="631"/>
    </row>
    <row r="9" spans="1:12" s="126" customFormat="1" x14ac:dyDescent="0.25">
      <c r="A9" s="697" t="s">
        <v>495</v>
      </c>
      <c r="B9" s="698"/>
      <c r="C9" s="699">
        <v>45486</v>
      </c>
      <c r="D9" s="700"/>
      <c r="E9" s="701" t="s">
        <v>717</v>
      </c>
      <c r="F9" s="701"/>
      <c r="G9" s="697" t="s">
        <v>616</v>
      </c>
      <c r="H9" s="701"/>
      <c r="I9" s="701"/>
      <c r="J9" s="697"/>
      <c r="K9" s="701"/>
      <c r="L9" s="698"/>
    </row>
    <row r="10" spans="1:12" ht="29.5" customHeight="1" x14ac:dyDescent="0.35">
      <c r="A10" s="170" t="s">
        <v>469</v>
      </c>
      <c r="B10" s="642" t="s">
        <v>470</v>
      </c>
      <c r="C10" s="702"/>
      <c r="D10" s="702"/>
      <c r="E10" s="703"/>
      <c r="F10" s="142" t="s">
        <v>471</v>
      </c>
      <c r="G10" s="141" t="s">
        <v>472</v>
      </c>
      <c r="H10" s="141" t="s">
        <v>1114</v>
      </c>
      <c r="I10" s="170" t="s">
        <v>1115</v>
      </c>
      <c r="J10" s="141" t="s">
        <v>474</v>
      </c>
      <c r="K10" s="141" t="s">
        <v>1112</v>
      </c>
      <c r="L10" s="141" t="s">
        <v>496</v>
      </c>
    </row>
    <row r="11" spans="1:12" ht="14.5" x14ac:dyDescent="0.35">
      <c r="A11" s="171"/>
      <c r="B11" s="171"/>
      <c r="C11" s="173"/>
      <c r="D11" s="174"/>
      <c r="E11" s="175"/>
      <c r="F11" s="176"/>
      <c r="G11" s="176"/>
      <c r="H11" s="226"/>
      <c r="I11" s="227"/>
      <c r="J11" s="177"/>
      <c r="K11" s="319"/>
      <c r="L11" s="178"/>
    </row>
    <row r="12" spans="1:12" ht="14.5" x14ac:dyDescent="0.35">
      <c r="A12" s="179">
        <f t="array" ref="A12:A37">INDEX(salesHistory[sku], SMALL(IF((salesHistory[qty]&lt;&gt;0)*(salesHistory[order_no]=9), ROW(salesHistory[qty])-MIN(ROW(salesHistory[qty]))+1), ROW(A1:A26)))</f>
        <v>0</v>
      </c>
      <c r="B12" s="171" t="e">
        <f>INDEX(bhpc_data[description],MATCH($A12,bhpc_data[sku],0))</f>
        <v>#N/A</v>
      </c>
      <c r="C12" s="180"/>
      <c r="D12" s="181"/>
      <c r="E12" s="182"/>
      <c r="F12" s="183" t="s">
        <v>924</v>
      </c>
      <c r="G12" s="184">
        <f t="array" ref="G12:G37">INDEX(salesHistory[qty], SMALL(IF((salesHistory[qty]&lt;&gt;0)*(salesHistory[order_no]=9), ROW(salesHistory[qty])-MIN(ROW(salesHistory[qty]))+1), ROW(A1:A26)))</f>
        <v>0</v>
      </c>
      <c r="H12" s="228">
        <f>G12/12*5.04</f>
        <v>0</v>
      </c>
      <c r="I12" s="229">
        <f>G12/12*5.79</f>
        <v>0</v>
      </c>
      <c r="J12" s="185">
        <f t="shared" ref="J12:J19" si="0">CEILING(G12/12,1)</f>
        <v>0</v>
      </c>
      <c r="K12" s="320">
        <f t="array" ref="K12:K37">INDEX(salesHistory[hs_code], SMALL(IF((salesHistory[qty]&lt;&gt;0)*(salesHistory[order_no]=9), ROW(salesHistory[qty])-MIN(ROW(salesHistory[qty]))+1), ROW(A1:A26)))</f>
        <v>0</v>
      </c>
      <c r="L12" s="186" t="e">
        <f>INDEX(bhpc_data[country_of_origin],MATCH($A12,bhpc_data[sku],0))</f>
        <v>#N/A</v>
      </c>
    </row>
    <row r="13" spans="1:12" ht="14.5" x14ac:dyDescent="0.35">
      <c r="A13" s="179" t="e">
        <v>#NUM!</v>
      </c>
      <c r="B13" s="171" t="e">
        <f>INDEX(bhpc_data[description],MATCH($A13,bhpc_data[sku],0))</f>
        <v>#NUM!</v>
      </c>
      <c r="C13" s="180"/>
      <c r="D13" s="181"/>
      <c r="E13" s="182"/>
      <c r="F13" s="183" t="s">
        <v>924</v>
      </c>
      <c r="G13" s="184" t="e">
        <v>#NUM!</v>
      </c>
      <c r="H13" s="228" t="e">
        <f>G13/12*5.04</f>
        <v>#NUM!</v>
      </c>
      <c r="I13" s="229" t="e">
        <f>G13/12*5.79</f>
        <v>#NUM!</v>
      </c>
      <c r="J13" s="185" t="e">
        <f t="shared" si="0"/>
        <v>#NUM!</v>
      </c>
      <c r="K13" s="320" t="e">
        <v>#NUM!</v>
      </c>
      <c r="L13" s="186" t="e">
        <f>INDEX(bhpc_data[country_of_origin],MATCH($A13,bhpc_data[sku],0))</f>
        <v>#NUM!</v>
      </c>
    </row>
    <row r="14" spans="1:12" ht="14.5" x14ac:dyDescent="0.35">
      <c r="A14" s="179" t="e">
        <v>#NUM!</v>
      </c>
      <c r="B14" s="171" t="e">
        <f>INDEX(bhpc_data[description],MATCH($A14,bhpc_data[sku],0))</f>
        <v>#NUM!</v>
      </c>
      <c r="C14" s="180"/>
      <c r="D14" s="181"/>
      <c r="E14" s="182"/>
      <c r="F14" s="183" t="s">
        <v>924</v>
      </c>
      <c r="G14" s="184" t="e">
        <v>#NUM!</v>
      </c>
      <c r="H14" s="228" t="e">
        <f>G14/12*5.04</f>
        <v>#NUM!</v>
      </c>
      <c r="I14" s="229" t="e">
        <f>G14/12*5.79</f>
        <v>#NUM!</v>
      </c>
      <c r="J14" s="185" t="e">
        <f t="shared" si="0"/>
        <v>#NUM!</v>
      </c>
      <c r="K14" s="320" t="e">
        <v>#NUM!</v>
      </c>
      <c r="L14" s="186" t="e">
        <f>INDEX(bhpc_data[country_of_origin],MATCH($A14,bhpc_data[sku],0))</f>
        <v>#NUM!</v>
      </c>
    </row>
    <row r="15" spans="1:12" ht="14.5" x14ac:dyDescent="0.35">
      <c r="A15" s="179" t="e">
        <v>#NUM!</v>
      </c>
      <c r="B15" s="171" t="e">
        <f>INDEX(bhpc_data[description],MATCH($A15,bhpc_data[sku],0))</f>
        <v>#NUM!</v>
      </c>
      <c r="C15" s="180"/>
      <c r="D15" s="181"/>
      <c r="E15" s="182"/>
      <c r="F15" s="183" t="s">
        <v>924</v>
      </c>
      <c r="G15" s="184" t="e">
        <v>#NUM!</v>
      </c>
      <c r="H15" s="228" t="e">
        <f>G15/12*4.78</f>
        <v>#NUM!</v>
      </c>
      <c r="I15" s="229" t="e">
        <f>G15/12*5.25</f>
        <v>#NUM!</v>
      </c>
      <c r="J15" s="185" t="e">
        <f t="shared" si="0"/>
        <v>#NUM!</v>
      </c>
      <c r="K15" s="320" t="e">
        <v>#NUM!</v>
      </c>
      <c r="L15" s="186" t="e">
        <f>INDEX(bhpc_data[country_of_origin],MATCH($A15,bhpc_data[sku],0))</f>
        <v>#NUM!</v>
      </c>
    </row>
    <row r="16" spans="1:12" ht="14.5" x14ac:dyDescent="0.35">
      <c r="A16" s="179" t="e">
        <v>#NUM!</v>
      </c>
      <c r="B16" s="171" t="e">
        <f>INDEX(bhpc_data[description],MATCH($A16,bhpc_data[sku],0))</f>
        <v>#NUM!</v>
      </c>
      <c r="C16" s="180"/>
      <c r="D16" s="181"/>
      <c r="E16" s="182"/>
      <c r="F16" s="183" t="s">
        <v>924</v>
      </c>
      <c r="G16" s="184" t="e">
        <v>#NUM!</v>
      </c>
      <c r="H16" s="228" t="e">
        <f>G16/12*4.78</f>
        <v>#NUM!</v>
      </c>
      <c r="I16" s="229" t="e">
        <f>G16/12*5.25</f>
        <v>#NUM!</v>
      </c>
      <c r="J16" s="185" t="e">
        <f t="shared" si="0"/>
        <v>#NUM!</v>
      </c>
      <c r="K16" s="320" t="e">
        <v>#NUM!</v>
      </c>
      <c r="L16" s="186" t="e">
        <f>INDEX(bhpc_data[country_of_origin],MATCH($A16,bhpc_data[sku],0))</f>
        <v>#NUM!</v>
      </c>
    </row>
    <row r="17" spans="1:12" ht="14.5" x14ac:dyDescent="0.35">
      <c r="A17" s="179" t="e">
        <v>#NUM!</v>
      </c>
      <c r="B17" s="171" t="e">
        <f>INDEX(bhpc_data[description],MATCH($A17,bhpc_data[sku],0))</f>
        <v>#NUM!</v>
      </c>
      <c r="C17" s="180"/>
      <c r="D17" s="181"/>
      <c r="E17" s="182"/>
      <c r="F17" s="183" t="s">
        <v>924</v>
      </c>
      <c r="G17" s="184" t="e">
        <v>#NUM!</v>
      </c>
      <c r="H17" s="228" t="e">
        <f>G17/12*4.78</f>
        <v>#NUM!</v>
      </c>
      <c r="I17" s="229" t="e">
        <f>G17/12*5.25</f>
        <v>#NUM!</v>
      </c>
      <c r="J17" s="185" t="e">
        <f t="shared" si="0"/>
        <v>#NUM!</v>
      </c>
      <c r="K17" s="320" t="e">
        <v>#NUM!</v>
      </c>
      <c r="L17" s="186" t="e">
        <f>INDEX(bhpc_data[country_of_origin],MATCH($A17,bhpc_data[sku],0))</f>
        <v>#NUM!</v>
      </c>
    </row>
    <row r="18" spans="1:12" ht="14.5" x14ac:dyDescent="0.35">
      <c r="A18" s="179" t="e">
        <v>#NUM!</v>
      </c>
      <c r="B18" s="171" t="e">
        <f>INDEX(bhpc_data[description],MATCH($A18,bhpc_data[sku],0))</f>
        <v>#NUM!</v>
      </c>
      <c r="C18" s="180"/>
      <c r="D18" s="181"/>
      <c r="E18" s="182"/>
      <c r="F18" s="183" t="s">
        <v>924</v>
      </c>
      <c r="G18" s="184" t="e">
        <v>#NUM!</v>
      </c>
      <c r="H18" s="228" t="e">
        <f>G18/12*4.78</f>
        <v>#NUM!</v>
      </c>
      <c r="I18" s="229" t="e">
        <f>G18/12*5.25</f>
        <v>#NUM!</v>
      </c>
      <c r="J18" s="185" t="e">
        <f t="shared" si="0"/>
        <v>#NUM!</v>
      </c>
      <c r="K18" s="320" t="e">
        <v>#NUM!</v>
      </c>
      <c r="L18" s="186" t="e">
        <f>INDEX(bhpc_data[country_of_origin],MATCH($A18,bhpc_data[sku],0))</f>
        <v>#NUM!</v>
      </c>
    </row>
    <row r="19" spans="1:12" ht="14.5" x14ac:dyDescent="0.35">
      <c r="A19" s="179" t="e">
        <v>#NUM!</v>
      </c>
      <c r="B19" s="171" t="e">
        <f>INDEX(bhpc_data[description],MATCH($A19,bhpc_data[sku],0))</f>
        <v>#NUM!</v>
      </c>
      <c r="C19" s="180"/>
      <c r="D19" s="181"/>
      <c r="E19" s="182"/>
      <c r="F19" s="183" t="s">
        <v>924</v>
      </c>
      <c r="G19" s="184" t="e">
        <v>#NUM!</v>
      </c>
      <c r="H19" s="228" t="e">
        <f>G19/12*6.17</f>
        <v>#NUM!</v>
      </c>
      <c r="I19" s="229" t="e">
        <f>G19/12*6.77</f>
        <v>#NUM!</v>
      </c>
      <c r="J19" s="185" t="e">
        <f t="shared" si="0"/>
        <v>#NUM!</v>
      </c>
      <c r="K19" s="320" t="e">
        <v>#NUM!</v>
      </c>
      <c r="L19" s="186" t="e">
        <f>INDEX(bhpc_data[country_of_origin],MATCH($A19,bhpc_data[sku],0))</f>
        <v>#NUM!</v>
      </c>
    </row>
    <row r="20" spans="1:12" ht="14.5" x14ac:dyDescent="0.35">
      <c r="A20" s="179" t="e">
        <v>#NUM!</v>
      </c>
      <c r="B20" s="171" t="e">
        <f>INDEX(bhpc_data[description],MATCH($A20,bhpc_data[sku],0))</f>
        <v>#NUM!</v>
      </c>
      <c r="C20" s="180"/>
      <c r="D20" s="181"/>
      <c r="E20" s="182"/>
      <c r="F20" s="183" t="s">
        <v>924</v>
      </c>
      <c r="G20" s="184" t="e">
        <v>#NUM!</v>
      </c>
      <c r="H20" s="228" t="e">
        <f>G20/24*7.52</f>
        <v>#NUM!</v>
      </c>
      <c r="I20" s="229" t="e">
        <f>G20/24*8.23</f>
        <v>#NUM!</v>
      </c>
      <c r="J20" s="185" t="e">
        <f t="shared" ref="J20:J37" si="1">CEILING(G20/24,1)</f>
        <v>#NUM!</v>
      </c>
      <c r="K20" s="320" t="e">
        <v>#NUM!</v>
      </c>
      <c r="L20" s="186" t="e">
        <f>INDEX(bhpc_data[country_of_origin],MATCH($A20,bhpc_data[sku],0))</f>
        <v>#NUM!</v>
      </c>
    </row>
    <row r="21" spans="1:12" ht="14.5" x14ac:dyDescent="0.35">
      <c r="A21" s="179" t="e">
        <v>#NUM!</v>
      </c>
      <c r="B21" s="171" t="e">
        <f>INDEX(bhpc_data[description],MATCH($A21,bhpc_data[sku],0))</f>
        <v>#NUM!</v>
      </c>
      <c r="C21" s="180"/>
      <c r="D21" s="181"/>
      <c r="E21" s="182"/>
      <c r="F21" s="183" t="s">
        <v>924</v>
      </c>
      <c r="G21" s="184" t="e">
        <v>#NUM!</v>
      </c>
      <c r="H21" s="228" t="e">
        <f>G21/24*7.52</f>
        <v>#NUM!</v>
      </c>
      <c r="I21" s="229" t="e">
        <f>G21/24*8.23</f>
        <v>#NUM!</v>
      </c>
      <c r="J21" s="185" t="e">
        <f t="shared" si="1"/>
        <v>#NUM!</v>
      </c>
      <c r="K21" s="320" t="e">
        <v>#NUM!</v>
      </c>
      <c r="L21" s="186" t="e">
        <f>INDEX(bhpc_data[country_of_origin],MATCH($A21,bhpc_data[sku],0))</f>
        <v>#NUM!</v>
      </c>
    </row>
    <row r="22" spans="1:12" ht="14.5" x14ac:dyDescent="0.35">
      <c r="A22" s="179" t="e">
        <v>#NUM!</v>
      </c>
      <c r="B22" s="171" t="e">
        <f>INDEX(bhpc_data[description],MATCH($A22,bhpc_data[sku],0))</f>
        <v>#NUM!</v>
      </c>
      <c r="C22" s="180"/>
      <c r="D22" s="181"/>
      <c r="E22" s="182"/>
      <c r="F22" s="183" t="s">
        <v>924</v>
      </c>
      <c r="G22" s="184" t="e">
        <v>#NUM!</v>
      </c>
      <c r="H22" s="228" t="e">
        <f>G22/24*7.52</f>
        <v>#NUM!</v>
      </c>
      <c r="I22" s="229" t="e">
        <f>G22/24*8.23</f>
        <v>#NUM!</v>
      </c>
      <c r="J22" s="185" t="e">
        <f t="shared" si="1"/>
        <v>#NUM!</v>
      </c>
      <c r="K22" s="320" t="e">
        <v>#NUM!</v>
      </c>
      <c r="L22" s="186" t="e">
        <f>INDEX(bhpc_data[country_of_origin],MATCH($A22,bhpc_data[sku],0))</f>
        <v>#NUM!</v>
      </c>
    </row>
    <row r="23" spans="1:12" ht="14.5" x14ac:dyDescent="0.35">
      <c r="A23" s="179" t="e">
        <v>#NUM!</v>
      </c>
      <c r="B23" s="171" t="e">
        <f>INDEX(bhpc_data[description],MATCH($A23,bhpc_data[sku],0))</f>
        <v>#NUM!</v>
      </c>
      <c r="C23" s="180"/>
      <c r="D23" s="181"/>
      <c r="E23" s="182"/>
      <c r="F23" s="183" t="s">
        <v>924</v>
      </c>
      <c r="G23" s="184" t="e">
        <v>#NUM!</v>
      </c>
      <c r="H23" s="228" t="e">
        <f>G23/24*7.52</f>
        <v>#NUM!</v>
      </c>
      <c r="I23" s="229" t="e">
        <f>G23/24*8.23</f>
        <v>#NUM!</v>
      </c>
      <c r="J23" s="185" t="e">
        <f t="shared" si="1"/>
        <v>#NUM!</v>
      </c>
      <c r="K23" s="320" t="e">
        <v>#NUM!</v>
      </c>
      <c r="L23" s="186" t="e">
        <f>INDEX(bhpc_data[country_of_origin],MATCH($A23,bhpc_data[sku],0))</f>
        <v>#NUM!</v>
      </c>
    </row>
    <row r="24" spans="1:12" ht="14.5" x14ac:dyDescent="0.35">
      <c r="A24" s="179" t="e">
        <v>#NUM!</v>
      </c>
      <c r="B24" s="171" t="e">
        <f>INDEX(bhpc_data[description],MATCH($A24,bhpc_data[sku],0))</f>
        <v>#NUM!</v>
      </c>
      <c r="C24" s="180"/>
      <c r="D24" s="181"/>
      <c r="E24" s="182"/>
      <c r="F24" s="183" t="s">
        <v>924</v>
      </c>
      <c r="G24" s="184" t="e">
        <v>#NUM!</v>
      </c>
      <c r="H24" s="228" t="e">
        <f>G24/24*6.87</f>
        <v>#NUM!</v>
      </c>
      <c r="I24" s="229" t="e">
        <f>G24/24*7.56</f>
        <v>#NUM!</v>
      </c>
      <c r="J24" s="185" t="e">
        <f t="shared" si="1"/>
        <v>#NUM!</v>
      </c>
      <c r="K24" s="320" t="e">
        <v>#NUM!</v>
      </c>
      <c r="L24" s="186" t="e">
        <f>INDEX(bhpc_data[country_of_origin],MATCH($A24,bhpc_data[sku],0))</f>
        <v>#NUM!</v>
      </c>
    </row>
    <row r="25" spans="1:12" ht="14.5" x14ac:dyDescent="0.35">
      <c r="A25" s="179" t="e">
        <v>#NUM!</v>
      </c>
      <c r="B25" s="171" t="e">
        <f>INDEX(bhpc_data[description],MATCH($A25,bhpc_data[sku],0))</f>
        <v>#NUM!</v>
      </c>
      <c r="C25" s="180"/>
      <c r="D25" s="181"/>
      <c r="E25" s="182"/>
      <c r="F25" s="183" t="s">
        <v>924</v>
      </c>
      <c r="G25" s="184" t="e">
        <v>#NUM!</v>
      </c>
      <c r="H25" s="228" t="e">
        <f>G25/24*6.87</f>
        <v>#NUM!</v>
      </c>
      <c r="I25" s="229" t="e">
        <f>G25/24*7.56</f>
        <v>#NUM!</v>
      </c>
      <c r="J25" s="185" t="e">
        <f t="shared" si="1"/>
        <v>#NUM!</v>
      </c>
      <c r="K25" s="320" t="e">
        <v>#NUM!</v>
      </c>
      <c r="L25" s="186" t="e">
        <f>INDEX(bhpc_data[country_of_origin],MATCH($A25,bhpc_data[sku],0))</f>
        <v>#NUM!</v>
      </c>
    </row>
    <row r="26" spans="1:12" ht="14.5" x14ac:dyDescent="0.35">
      <c r="A26" s="179" t="e">
        <v>#NUM!</v>
      </c>
      <c r="B26" s="171" t="e">
        <f>INDEX(bhpc_data[description],MATCH($A26,bhpc_data[sku],0))</f>
        <v>#NUM!</v>
      </c>
      <c r="C26" s="180"/>
      <c r="D26" s="181"/>
      <c r="E26" s="182"/>
      <c r="F26" s="183" t="s">
        <v>924</v>
      </c>
      <c r="G26" s="184" t="e">
        <v>#NUM!</v>
      </c>
      <c r="H26" s="228" t="e">
        <f>G26/24*6.87</f>
        <v>#NUM!</v>
      </c>
      <c r="I26" s="229" t="e">
        <f>G26/24*7.56</f>
        <v>#NUM!</v>
      </c>
      <c r="J26" s="185" t="e">
        <f t="shared" si="1"/>
        <v>#NUM!</v>
      </c>
      <c r="K26" s="320" t="e">
        <v>#NUM!</v>
      </c>
      <c r="L26" s="186" t="e">
        <f>INDEX(bhpc_data[country_of_origin],MATCH($A26,bhpc_data[sku],0))</f>
        <v>#NUM!</v>
      </c>
    </row>
    <row r="27" spans="1:12" ht="14.5" x14ac:dyDescent="0.35">
      <c r="A27" s="179" t="e">
        <v>#NUM!</v>
      </c>
      <c r="B27" s="171" t="e">
        <f>INDEX(bhpc_data[description],MATCH($A27,bhpc_data[sku],0))</f>
        <v>#NUM!</v>
      </c>
      <c r="C27" s="180"/>
      <c r="D27" s="181"/>
      <c r="E27" s="182"/>
      <c r="F27" s="183" t="s">
        <v>924</v>
      </c>
      <c r="G27" s="184" t="e">
        <v>#NUM!</v>
      </c>
      <c r="H27" s="228" t="e">
        <f>G27/24*6.87</f>
        <v>#NUM!</v>
      </c>
      <c r="I27" s="229" t="e">
        <f>G27/24*7.56</f>
        <v>#NUM!</v>
      </c>
      <c r="J27" s="185" t="e">
        <f t="shared" si="1"/>
        <v>#NUM!</v>
      </c>
      <c r="K27" s="320" t="e">
        <v>#NUM!</v>
      </c>
      <c r="L27" s="186" t="e">
        <f>INDEX(bhpc_data[country_of_origin],MATCH($A27,bhpc_data[sku],0))</f>
        <v>#NUM!</v>
      </c>
    </row>
    <row r="28" spans="1:12" ht="14.5" x14ac:dyDescent="0.35">
      <c r="A28" s="179" t="e">
        <v>#NUM!</v>
      </c>
      <c r="B28" s="171" t="e">
        <f>INDEX(bhpc_data[description],MATCH($A28,bhpc_data[sku],0))</f>
        <v>#NUM!</v>
      </c>
      <c r="C28" s="180"/>
      <c r="D28" s="181"/>
      <c r="E28" s="182"/>
      <c r="F28" s="183" t="s">
        <v>924</v>
      </c>
      <c r="G28" s="184" t="e">
        <v>#NUM!</v>
      </c>
      <c r="H28" s="228" t="e">
        <f>G28/24*9.48</f>
        <v>#NUM!</v>
      </c>
      <c r="I28" s="229" t="e">
        <f>G28/24*9.9</f>
        <v>#NUM!</v>
      </c>
      <c r="J28" s="185" t="e">
        <f t="shared" si="1"/>
        <v>#NUM!</v>
      </c>
      <c r="K28" s="320" t="e">
        <v>#NUM!</v>
      </c>
      <c r="L28" s="186" t="e">
        <f>INDEX(bhpc_data[country_of_origin],MATCH($A28,bhpc_data[sku],0))</f>
        <v>#NUM!</v>
      </c>
    </row>
    <row r="29" spans="1:12" ht="14.5" x14ac:dyDescent="0.35">
      <c r="A29" s="179" t="e">
        <v>#NUM!</v>
      </c>
      <c r="B29" s="171" t="e">
        <f>INDEX(bhpc_data[description],MATCH($A29,bhpc_data[sku],0))</f>
        <v>#NUM!</v>
      </c>
      <c r="C29" s="180"/>
      <c r="D29" s="181"/>
      <c r="E29" s="182"/>
      <c r="F29" s="183" t="s">
        <v>924</v>
      </c>
      <c r="G29" s="184" t="e">
        <v>#NUM!</v>
      </c>
      <c r="H29" s="228" t="e">
        <f>G29/24*9.48</f>
        <v>#NUM!</v>
      </c>
      <c r="I29" s="229" t="e">
        <f>G29/24*9.9</f>
        <v>#NUM!</v>
      </c>
      <c r="J29" s="185" t="e">
        <f t="shared" si="1"/>
        <v>#NUM!</v>
      </c>
      <c r="K29" s="320" t="e">
        <v>#NUM!</v>
      </c>
      <c r="L29" s="186" t="e">
        <f>INDEX(bhpc_data[country_of_origin],MATCH($A29,bhpc_data[sku],0))</f>
        <v>#NUM!</v>
      </c>
    </row>
    <row r="30" spans="1:12" ht="14.5" x14ac:dyDescent="0.35">
      <c r="A30" s="179" t="e">
        <v>#NUM!</v>
      </c>
      <c r="B30" s="171" t="e">
        <f>INDEX(bhpc_data[description],MATCH($A30,bhpc_data[sku],0))</f>
        <v>#NUM!</v>
      </c>
      <c r="C30" s="180"/>
      <c r="D30" s="181"/>
      <c r="E30" s="182"/>
      <c r="F30" s="183" t="s">
        <v>924</v>
      </c>
      <c r="G30" s="184" t="e">
        <v>#NUM!</v>
      </c>
      <c r="H30" s="228" t="e">
        <f>G30/24*9.12</f>
        <v>#NUM!</v>
      </c>
      <c r="I30" s="229" t="e">
        <f>G30/24*9.5</f>
        <v>#NUM!</v>
      </c>
      <c r="J30" s="185" t="e">
        <f t="shared" si="1"/>
        <v>#NUM!</v>
      </c>
      <c r="K30" s="320" t="e">
        <v>#NUM!</v>
      </c>
      <c r="L30" s="186" t="e">
        <f>INDEX(bhpc_data[country_of_origin],MATCH($A30,bhpc_data[sku],0))</f>
        <v>#NUM!</v>
      </c>
    </row>
    <row r="31" spans="1:12" ht="14.5" x14ac:dyDescent="0.35">
      <c r="A31" s="179" t="e">
        <v>#NUM!</v>
      </c>
      <c r="B31" s="171" t="e">
        <f>INDEX(bhpc_data[description],MATCH($A31,bhpc_data[sku],0))</f>
        <v>#NUM!</v>
      </c>
      <c r="C31" s="180"/>
      <c r="D31" s="181"/>
      <c r="E31" s="182"/>
      <c r="F31" s="183" t="s">
        <v>924</v>
      </c>
      <c r="G31" s="184" t="e">
        <v>#NUM!</v>
      </c>
      <c r="H31" s="228" t="e">
        <f>G31/24*9.12</f>
        <v>#NUM!</v>
      </c>
      <c r="I31" s="229" t="e">
        <f>G31/24*9.5</f>
        <v>#NUM!</v>
      </c>
      <c r="J31" s="185" t="e">
        <f t="shared" si="1"/>
        <v>#NUM!</v>
      </c>
      <c r="K31" s="320" t="e">
        <v>#NUM!</v>
      </c>
      <c r="L31" s="186" t="e">
        <f>INDEX(bhpc_data[country_of_origin],MATCH($A31,bhpc_data[sku],0))</f>
        <v>#NUM!</v>
      </c>
    </row>
    <row r="32" spans="1:12" ht="14.5" x14ac:dyDescent="0.35">
      <c r="A32" s="179" t="e">
        <v>#NUM!</v>
      </c>
      <c r="B32" s="171" t="e">
        <f>INDEX(bhpc_data[description],MATCH($A32,bhpc_data[sku],0))</f>
        <v>#NUM!</v>
      </c>
      <c r="C32" s="180"/>
      <c r="D32" s="181"/>
      <c r="E32" s="182"/>
      <c r="F32" s="183" t="s">
        <v>924</v>
      </c>
      <c r="G32" s="184" t="e">
        <v>#NUM!</v>
      </c>
      <c r="H32" s="228" t="e">
        <f>G32/24*9.12</f>
        <v>#NUM!</v>
      </c>
      <c r="I32" s="229" t="e">
        <f>G32/24*9.5</f>
        <v>#NUM!</v>
      </c>
      <c r="J32" s="185" t="e">
        <f t="shared" si="1"/>
        <v>#NUM!</v>
      </c>
      <c r="K32" s="320" t="e">
        <v>#NUM!</v>
      </c>
      <c r="L32" s="186" t="e">
        <f>INDEX(bhpc_data[country_of_origin],MATCH($A32,bhpc_data[sku],0))</f>
        <v>#NUM!</v>
      </c>
    </row>
    <row r="33" spans="1:12" ht="14.5" x14ac:dyDescent="0.35">
      <c r="A33" s="179" t="e">
        <v>#NUM!</v>
      </c>
      <c r="B33" s="171" t="e">
        <f>INDEX(bhpc_data[description],MATCH($A33,bhpc_data[sku],0))</f>
        <v>#NUM!</v>
      </c>
      <c r="C33" s="180"/>
      <c r="D33" s="181"/>
      <c r="E33" s="182"/>
      <c r="F33" s="183" t="s">
        <v>924</v>
      </c>
      <c r="G33" s="184" t="e">
        <v>#NUM!</v>
      </c>
      <c r="H33" s="228" t="e">
        <f>G33/24*9.12</f>
        <v>#NUM!</v>
      </c>
      <c r="I33" s="229" t="e">
        <f>G33/24*9.5</f>
        <v>#NUM!</v>
      </c>
      <c r="J33" s="185" t="e">
        <f t="shared" si="1"/>
        <v>#NUM!</v>
      </c>
      <c r="K33" s="320" t="e">
        <v>#NUM!</v>
      </c>
      <c r="L33" s="186" t="e">
        <f>INDEX(bhpc_data[country_of_origin],MATCH($A33,bhpc_data[sku],0))</f>
        <v>#NUM!</v>
      </c>
    </row>
    <row r="34" spans="1:12" ht="14.5" x14ac:dyDescent="0.35">
      <c r="A34" s="179" t="e">
        <v>#NUM!</v>
      </c>
      <c r="B34" s="171" t="e">
        <f>INDEX(bhpc_data[description],MATCH($A34,bhpc_data[sku],0))</f>
        <v>#NUM!</v>
      </c>
      <c r="C34" s="180"/>
      <c r="D34" s="181"/>
      <c r="E34" s="182"/>
      <c r="F34" s="183" t="s">
        <v>924</v>
      </c>
      <c r="G34" s="184" t="e">
        <v>#NUM!</v>
      </c>
      <c r="H34" s="228" t="e">
        <f>G34/24*6.35</f>
        <v>#NUM!</v>
      </c>
      <c r="I34" s="229" t="e">
        <f>G34/24*7</f>
        <v>#NUM!</v>
      </c>
      <c r="J34" s="185" t="e">
        <f t="shared" si="1"/>
        <v>#NUM!</v>
      </c>
      <c r="K34" s="320" t="e">
        <v>#NUM!</v>
      </c>
      <c r="L34" s="186" t="e">
        <f>INDEX(bhpc_data[country_of_origin],MATCH($A34,bhpc_data[sku],0))</f>
        <v>#NUM!</v>
      </c>
    </row>
    <row r="35" spans="1:12" ht="14.5" x14ac:dyDescent="0.35">
      <c r="A35" s="179" t="e">
        <v>#NUM!</v>
      </c>
      <c r="B35" s="171" t="e">
        <f>INDEX(bhpc_data[description],MATCH($A35,bhpc_data[sku],0))</f>
        <v>#NUM!</v>
      </c>
      <c r="C35" s="180"/>
      <c r="D35" s="181"/>
      <c r="E35" s="182"/>
      <c r="F35" s="183" t="s">
        <v>924</v>
      </c>
      <c r="G35" s="184" t="e">
        <v>#NUM!</v>
      </c>
      <c r="H35" s="228" t="e">
        <f>G35/24*6.35</f>
        <v>#NUM!</v>
      </c>
      <c r="I35" s="229" t="e">
        <f>G35/24*7</f>
        <v>#NUM!</v>
      </c>
      <c r="J35" s="185" t="e">
        <f t="shared" si="1"/>
        <v>#NUM!</v>
      </c>
      <c r="K35" s="320" t="e">
        <v>#NUM!</v>
      </c>
      <c r="L35" s="186" t="e">
        <f>INDEX(bhpc_data[country_of_origin],MATCH($A35,bhpc_data[sku],0))</f>
        <v>#NUM!</v>
      </c>
    </row>
    <row r="36" spans="1:12" ht="14.5" x14ac:dyDescent="0.35">
      <c r="A36" s="179" t="e">
        <v>#NUM!</v>
      </c>
      <c r="B36" s="171" t="e">
        <f>INDEX(bhpc_data[description],MATCH($A36,bhpc_data[sku],0))</f>
        <v>#NUM!</v>
      </c>
      <c r="C36" s="180"/>
      <c r="D36" s="181"/>
      <c r="E36" s="182"/>
      <c r="F36" s="183" t="s">
        <v>924</v>
      </c>
      <c r="G36" s="184" t="e">
        <v>#NUM!</v>
      </c>
      <c r="H36" s="228" t="e">
        <f>G36/24*6.35</f>
        <v>#NUM!</v>
      </c>
      <c r="I36" s="229" t="e">
        <f>G36/24*7</f>
        <v>#NUM!</v>
      </c>
      <c r="J36" s="185" t="e">
        <f t="shared" si="1"/>
        <v>#NUM!</v>
      </c>
      <c r="K36" s="320" t="e">
        <v>#NUM!</v>
      </c>
      <c r="L36" s="186" t="e">
        <f>INDEX(bhpc_data[country_of_origin],MATCH($A36,bhpc_data[sku],0))</f>
        <v>#NUM!</v>
      </c>
    </row>
    <row r="37" spans="1:12" ht="14.5" x14ac:dyDescent="0.35">
      <c r="A37" s="179" t="e">
        <v>#NUM!</v>
      </c>
      <c r="B37" s="171" t="e">
        <f>INDEX(bhpc_data[description],MATCH($A37,bhpc_data[sku],0))</f>
        <v>#NUM!</v>
      </c>
      <c r="C37" s="180"/>
      <c r="D37" s="181"/>
      <c r="E37" s="182"/>
      <c r="F37" s="183" t="s">
        <v>924</v>
      </c>
      <c r="G37" s="184" t="e">
        <v>#NUM!</v>
      </c>
      <c r="H37" s="228" t="e">
        <f>G37/24*6.35</f>
        <v>#NUM!</v>
      </c>
      <c r="I37" s="229" t="e">
        <f>G37/24*7</f>
        <v>#NUM!</v>
      </c>
      <c r="J37" s="185" t="e">
        <f t="shared" si="1"/>
        <v>#NUM!</v>
      </c>
      <c r="K37" s="320" t="e">
        <v>#NUM!</v>
      </c>
      <c r="L37" s="186" t="e">
        <f>INDEX(bhpc_data[country_of_origin],MATCH($A37,bhpc_data[sku],0))</f>
        <v>#NUM!</v>
      </c>
    </row>
    <row r="38" spans="1:12" ht="14.5" x14ac:dyDescent="0.35">
      <c r="A38" s="179"/>
      <c r="B38" s="171"/>
      <c r="C38" s="180"/>
      <c r="D38" s="181"/>
      <c r="E38" s="182"/>
      <c r="F38" s="183"/>
      <c r="G38" s="184"/>
      <c r="H38" s="228"/>
      <c r="I38" s="229"/>
      <c r="J38" s="185"/>
      <c r="K38" s="320"/>
      <c r="L38" s="186"/>
    </row>
    <row r="39" spans="1:12" ht="14.5" x14ac:dyDescent="0.35">
      <c r="A39" s="179"/>
      <c r="B39" s="171"/>
      <c r="C39" s="180"/>
      <c r="D39" s="181"/>
      <c r="E39" s="182"/>
      <c r="F39" s="183"/>
      <c r="G39" s="184"/>
      <c r="H39" s="228"/>
      <c r="I39" s="229"/>
      <c r="J39" s="185"/>
      <c r="K39" s="320"/>
      <c r="L39" s="186"/>
    </row>
    <row r="40" spans="1:12" ht="14.5" x14ac:dyDescent="0.35">
      <c r="A40" s="179"/>
      <c r="B40" s="171"/>
      <c r="C40" s="180"/>
      <c r="D40" s="181"/>
      <c r="E40" s="182"/>
      <c r="F40" s="183"/>
      <c r="G40" s="184"/>
      <c r="H40" s="228"/>
      <c r="I40" s="229"/>
      <c r="J40" s="185"/>
      <c r="K40" s="320"/>
      <c r="L40" s="186"/>
    </row>
    <row r="41" spans="1:12" ht="14.5" x14ac:dyDescent="0.35">
      <c r="A41" s="179"/>
      <c r="B41" s="171"/>
      <c r="C41" s="180"/>
      <c r="D41" s="181"/>
      <c r="E41" s="182"/>
      <c r="F41" s="183"/>
      <c r="G41" s="184"/>
      <c r="H41" s="228"/>
      <c r="I41" s="229"/>
      <c r="J41" s="185"/>
      <c r="K41" s="320"/>
      <c r="L41" s="186"/>
    </row>
    <row r="42" spans="1:12" ht="14.5" x14ac:dyDescent="0.35">
      <c r="A42" s="179"/>
      <c r="B42" s="171"/>
      <c r="C42" s="180"/>
      <c r="D42" s="181"/>
      <c r="E42" s="182"/>
      <c r="F42" s="183"/>
      <c r="G42" s="184"/>
      <c r="H42" s="228"/>
      <c r="I42" s="229"/>
      <c r="J42" s="185"/>
      <c r="K42" s="320"/>
      <c r="L42" s="186"/>
    </row>
    <row r="43" spans="1:12" ht="14.5" x14ac:dyDescent="0.35">
      <c r="A43" s="179"/>
      <c r="B43" s="171"/>
      <c r="C43" s="180"/>
      <c r="D43" s="181"/>
      <c r="E43" s="182"/>
      <c r="F43" s="183"/>
      <c r="G43" s="184"/>
      <c r="H43" s="228"/>
      <c r="I43" s="229"/>
      <c r="J43" s="185"/>
      <c r="K43" s="320"/>
      <c r="L43" s="186"/>
    </row>
    <row r="44" spans="1:12" ht="14.5" x14ac:dyDescent="0.35">
      <c r="A44" s="179"/>
      <c r="B44" s="171"/>
      <c r="C44" s="180"/>
      <c r="D44" s="181"/>
      <c r="E44" s="182"/>
      <c r="F44" s="183"/>
      <c r="G44" s="184"/>
      <c r="H44" s="228"/>
      <c r="I44" s="229"/>
      <c r="J44" s="185"/>
      <c r="K44" s="320"/>
      <c r="L44" s="186"/>
    </row>
    <row r="45" spans="1:12" ht="14.5" x14ac:dyDescent="0.35">
      <c r="A45" s="179"/>
      <c r="B45" s="171"/>
      <c r="C45" s="180"/>
      <c r="D45" s="181"/>
      <c r="E45" s="182"/>
      <c r="F45" s="183"/>
      <c r="G45" s="184"/>
      <c r="H45" s="228"/>
      <c r="I45" s="229"/>
      <c r="J45" s="185"/>
      <c r="K45" s="320"/>
      <c r="L45" s="186"/>
    </row>
    <row r="46" spans="1:12" ht="14.5" x14ac:dyDescent="0.35">
      <c r="A46" s="179"/>
      <c r="B46" s="171"/>
      <c r="C46" s="180"/>
      <c r="D46" s="181"/>
      <c r="E46" s="182"/>
      <c r="F46" s="183"/>
      <c r="G46" s="184"/>
      <c r="H46" s="228"/>
      <c r="I46" s="229"/>
      <c r="J46" s="185"/>
      <c r="K46" s="320"/>
      <c r="L46" s="186"/>
    </row>
    <row r="47" spans="1:12" ht="14.5" x14ac:dyDescent="0.35">
      <c r="A47" s="179"/>
      <c r="B47" s="171"/>
      <c r="C47" s="180"/>
      <c r="D47" s="181"/>
      <c r="E47" s="182"/>
      <c r="F47" s="183"/>
      <c r="G47" s="184"/>
      <c r="H47" s="228"/>
      <c r="I47" s="229"/>
      <c r="J47" s="185"/>
      <c r="K47" s="320"/>
      <c r="L47" s="186"/>
    </row>
    <row r="48" spans="1:12" ht="14.5" x14ac:dyDescent="0.35">
      <c r="A48" s="179"/>
      <c r="B48" s="171"/>
      <c r="C48" s="180"/>
      <c r="D48" s="181"/>
      <c r="E48" s="182"/>
      <c r="F48" s="183"/>
      <c r="G48" s="184"/>
      <c r="H48" s="228"/>
      <c r="I48" s="229"/>
      <c r="J48" s="185"/>
      <c r="K48" s="320"/>
      <c r="L48" s="186"/>
    </row>
    <row r="49" spans="1:15" ht="14.5" x14ac:dyDescent="0.35">
      <c r="A49" s="179"/>
      <c r="B49" s="171"/>
      <c r="C49" s="180"/>
      <c r="D49" s="181"/>
      <c r="E49" s="182"/>
      <c r="F49" s="183"/>
      <c r="G49" s="184"/>
      <c r="H49" s="228"/>
      <c r="I49" s="229"/>
      <c r="J49" s="185"/>
      <c r="K49" s="320"/>
      <c r="L49" s="186"/>
    </row>
    <row r="50" spans="1:15" ht="14.5" x14ac:dyDescent="0.35">
      <c r="A50" s="179"/>
      <c r="B50" s="171"/>
      <c r="C50" s="180"/>
      <c r="D50" s="181"/>
      <c r="E50" s="182"/>
      <c r="F50" s="183"/>
      <c r="G50" s="184"/>
      <c r="H50" s="228"/>
      <c r="I50" s="229"/>
      <c r="J50" s="185"/>
      <c r="K50" s="320"/>
      <c r="L50" s="186"/>
    </row>
    <row r="51" spans="1:15" ht="14.5" x14ac:dyDescent="0.35">
      <c r="A51" s="179"/>
      <c r="B51" s="171"/>
      <c r="C51" s="180"/>
      <c r="D51" s="181"/>
      <c r="E51" s="182"/>
      <c r="F51" s="183"/>
      <c r="G51" s="184"/>
      <c r="H51" s="228"/>
      <c r="I51" s="229"/>
      <c r="J51" s="185"/>
      <c r="K51" s="320"/>
      <c r="L51" s="186"/>
    </row>
    <row r="52" spans="1:15" ht="14.5" x14ac:dyDescent="0.35">
      <c r="A52" s="179"/>
      <c r="B52" s="171"/>
      <c r="C52" s="180"/>
      <c r="D52" s="181"/>
      <c r="E52" s="182"/>
      <c r="F52" s="183"/>
      <c r="G52" s="184"/>
      <c r="H52" s="228"/>
      <c r="I52" s="229"/>
      <c r="J52" s="185"/>
      <c r="K52" s="320"/>
      <c r="L52" s="186"/>
    </row>
    <row r="53" spans="1:15" ht="14.5" x14ac:dyDescent="0.35">
      <c r="A53" s="179"/>
      <c r="B53" s="171"/>
      <c r="C53" s="180"/>
      <c r="D53" s="181"/>
      <c r="E53" s="182"/>
      <c r="F53" s="183"/>
      <c r="G53" s="184"/>
      <c r="H53" s="228"/>
      <c r="I53" s="229"/>
      <c r="J53" s="185"/>
      <c r="K53" s="320"/>
      <c r="L53" s="186"/>
    </row>
    <row r="54" spans="1:15" ht="14.5" x14ac:dyDescent="0.35">
      <c r="A54" s="179"/>
      <c r="B54" s="171"/>
      <c r="C54" s="180"/>
      <c r="D54" s="181"/>
      <c r="E54" s="182"/>
      <c r="F54" s="183"/>
      <c r="G54" s="184"/>
      <c r="H54" s="228"/>
      <c r="I54" s="229"/>
      <c r="J54" s="185"/>
      <c r="K54" s="320"/>
      <c r="L54" s="186"/>
    </row>
    <row r="55" spans="1:15" ht="12" customHeight="1" x14ac:dyDescent="0.35">
      <c r="A55" s="187"/>
      <c r="B55" s="188"/>
      <c r="C55" s="168"/>
      <c r="D55" s="189"/>
      <c r="E55" s="168"/>
      <c r="F55" s="190"/>
      <c r="G55" s="187"/>
      <c r="H55" s="188"/>
      <c r="I55" s="187"/>
      <c r="J55" s="188"/>
      <c r="K55" s="188"/>
      <c r="L55" s="191"/>
    </row>
    <row r="56" spans="1:15" ht="14.5" customHeight="1" x14ac:dyDescent="0.35">
      <c r="A56" s="192"/>
      <c r="B56" s="193"/>
      <c r="C56" s="193"/>
      <c r="D56" s="194"/>
      <c r="E56" s="193"/>
      <c r="F56" s="135"/>
      <c r="G56" s="704"/>
      <c r="H56" s="706"/>
      <c r="I56" s="704"/>
      <c r="J56" s="705"/>
      <c r="K56" s="705"/>
      <c r="L56" s="706"/>
    </row>
    <row r="57" spans="1:15" s="139" customFormat="1" ht="12" customHeight="1" x14ac:dyDescent="0.35">
      <c r="A57" s="195" t="s">
        <v>704</v>
      </c>
      <c r="B57" s="196"/>
      <c r="C57" s="197" t="s">
        <v>705</v>
      </c>
      <c r="D57" s="198"/>
      <c r="E57" s="713"/>
      <c r="F57" s="714"/>
      <c r="G57" s="199"/>
      <c r="H57" s="168"/>
      <c r="I57" s="199"/>
      <c r="J57" s="168"/>
      <c r="K57" s="168"/>
      <c r="L57" s="201"/>
      <c r="N57" s="124"/>
      <c r="O57" s="124"/>
    </row>
    <row r="58" spans="1:15" ht="14.5" customHeight="1" x14ac:dyDescent="0.35">
      <c r="A58" s="709" t="e">
        <f>SUM(G11:G54)</f>
        <v>#NUM!</v>
      </c>
      <c r="B58" s="710"/>
      <c r="C58" s="709" t="e">
        <f>SUM(J11:J54)</f>
        <v>#NUM!</v>
      </c>
      <c r="D58" s="710"/>
      <c r="E58" s="704"/>
      <c r="F58" s="706"/>
      <c r="G58" s="704"/>
      <c r="H58" s="706"/>
      <c r="I58" s="704"/>
      <c r="J58" s="705"/>
      <c r="K58" s="705"/>
      <c r="L58" s="706"/>
    </row>
    <row r="59" spans="1:15" s="139" customFormat="1" ht="12" customHeight="1" x14ac:dyDescent="0.35">
      <c r="A59" s="187" t="s">
        <v>706</v>
      </c>
      <c r="B59" s="191"/>
      <c r="C59" s="199" t="s">
        <v>707</v>
      </c>
      <c r="D59" s="202"/>
      <c r="E59" s="197"/>
      <c r="G59" s="199"/>
      <c r="H59" s="168"/>
      <c r="I59" s="168"/>
      <c r="J59" s="188"/>
      <c r="K59" s="188"/>
      <c r="L59" s="191"/>
      <c r="N59" s="124"/>
      <c r="O59" s="124"/>
    </row>
    <row r="60" spans="1:15" ht="14.5" customHeight="1" x14ac:dyDescent="0.35">
      <c r="A60" s="707" t="e">
        <f>ROUND(SUM(H11:H54),1)</f>
        <v>#NUM!</v>
      </c>
      <c r="B60" s="708"/>
      <c r="C60" s="707" t="e">
        <f>ROUND(SUM(I11:I54),1)</f>
        <v>#NUM!</v>
      </c>
      <c r="D60" s="708"/>
      <c r="E60" s="711"/>
      <c r="F60" s="712"/>
      <c r="G60" s="203"/>
      <c r="H60" s="204"/>
      <c r="I60" s="204"/>
      <c r="J60" s="204"/>
      <c r="K60" s="204"/>
      <c r="L60" s="205"/>
    </row>
    <row r="61" spans="1:15" ht="12" customHeight="1" x14ac:dyDescent="0.35">
      <c r="A61" s="199" t="s">
        <v>508</v>
      </c>
      <c r="B61" s="168"/>
      <c r="C61" s="168"/>
      <c r="D61" s="168"/>
      <c r="E61" s="206"/>
      <c r="F61" s="123"/>
      <c r="G61" s="207"/>
      <c r="H61" s="208"/>
      <c r="I61" s="208"/>
      <c r="J61" s="209"/>
      <c r="K61" s="209"/>
      <c r="L61" s="210"/>
    </row>
    <row r="62" spans="1:15" ht="14.5" customHeight="1" x14ac:dyDescent="0.35">
      <c r="A62" s="211"/>
      <c r="B62" s="212"/>
      <c r="C62" s="204"/>
      <c r="D62" s="204"/>
      <c r="E62" s="204"/>
      <c r="F62" s="127"/>
      <c r="G62" s="207"/>
      <c r="H62" s="208"/>
      <c r="I62" s="208"/>
      <c r="J62" s="208"/>
      <c r="K62" s="208"/>
      <c r="L62" s="210"/>
    </row>
    <row r="63" spans="1:15" ht="14.5" customHeight="1" x14ac:dyDescent="0.35">
      <c r="A63" s="211"/>
      <c r="B63" s="204"/>
      <c r="C63" s="204"/>
      <c r="D63" s="213"/>
      <c r="E63" s="204"/>
      <c r="F63" s="127"/>
      <c r="G63" s="207"/>
      <c r="H63" s="208"/>
      <c r="I63" s="208"/>
      <c r="J63" s="208"/>
      <c r="K63" s="208"/>
      <c r="L63" s="210"/>
    </row>
    <row r="64" spans="1:15" ht="14.5" customHeight="1" x14ac:dyDescent="0.35">
      <c r="A64" s="192"/>
      <c r="B64" s="193"/>
      <c r="C64" s="193"/>
      <c r="D64" s="194"/>
      <c r="E64" s="193"/>
      <c r="F64" s="135"/>
      <c r="G64" s="214"/>
      <c r="H64" s="215"/>
      <c r="I64" s="215"/>
      <c r="J64" s="215"/>
      <c r="K64" s="215"/>
      <c r="L64" s="216"/>
    </row>
    <row r="65" spans="1:12" ht="14.5" x14ac:dyDescent="0.35">
      <c r="A65" s="171"/>
      <c r="B65" s="172" t="s">
        <v>493</v>
      </c>
      <c r="C65" s="173"/>
      <c r="D65" s="174"/>
      <c r="E65" s="175"/>
      <c r="F65" s="176"/>
      <c r="G65" s="176"/>
      <c r="H65" s="226"/>
      <c r="I65" s="227"/>
      <c r="J65" s="177"/>
      <c r="K65" s="319"/>
      <c r="L65" s="178"/>
    </row>
    <row r="66" spans="1:12" ht="14.5" x14ac:dyDescent="0.35">
      <c r="A66" s="179">
        <f t="array" ref="A66:A79">INDEX(salesHistory[sku], SMALL(IF((salesHistory[foc_qty]&lt;&gt;0)*(salesHistory[order_no]=9), ROW(salesHistory[qty])-MIN(ROW(salesHistory[qty]))+1), ROW(A1:A14)))</f>
        <v>0</v>
      </c>
      <c r="B66" s="171" t="e">
        <f>INDEX(bhpc_data[description],MATCH($A66,bhpc_data[sku],0))</f>
        <v>#N/A</v>
      </c>
      <c r="C66" s="180"/>
      <c r="D66" s="181"/>
      <c r="E66" s="182"/>
      <c r="F66" s="183" t="s">
        <v>924</v>
      </c>
      <c r="G66" s="184">
        <f t="array" ref="G66:G79">INDEX(salesHistory[foc_qty], SMALL(IF((salesHistory[foc_qty]&lt;&gt;0)*(salesHistory[order_no]=9), ROW(salesHistory[qty])-MIN(ROW(salesHistory[qty]))+1), ROW(A1:A14)))</f>
        <v>0</v>
      </c>
      <c r="H66" s="228">
        <f>G66/24*7.52</f>
        <v>0</v>
      </c>
      <c r="I66" s="229">
        <f>G66/24*8.23</f>
        <v>0</v>
      </c>
      <c r="J66" s="185">
        <f t="shared" ref="J66:J79" si="2">CEILING(G66/24,1)</f>
        <v>0</v>
      </c>
      <c r="K66" s="320">
        <f t="array" ref="K66:K79">INDEX(salesHistory[hs_code], SMALL(IF((salesHistory[foc_qty]&lt;&gt;0)*(salesHistory[order_no]=9), ROW(salesHistory[qty])-MIN(ROW(salesHistory[qty]))+1), ROW(A1:A14)))</f>
        <v>0</v>
      </c>
      <c r="L66" s="186" t="e">
        <f>INDEX(bhpc_data[country_of_origin],MATCH($A66,bhpc_data[sku],0))</f>
        <v>#N/A</v>
      </c>
    </row>
    <row r="67" spans="1:12" ht="14.5" x14ac:dyDescent="0.35">
      <c r="A67" s="179" t="e">
        <v>#NUM!</v>
      </c>
      <c r="B67" s="171" t="e">
        <f>INDEX(bhpc_data[description],MATCH($A67,bhpc_data[sku],0))</f>
        <v>#NUM!</v>
      </c>
      <c r="C67" s="180"/>
      <c r="D67" s="181"/>
      <c r="E67" s="182"/>
      <c r="F67" s="183" t="s">
        <v>924</v>
      </c>
      <c r="G67" s="184" t="e">
        <v>#NUM!</v>
      </c>
      <c r="H67" s="228" t="e">
        <f>G67/24*7.52</f>
        <v>#NUM!</v>
      </c>
      <c r="I67" s="229" t="e">
        <f>G67/24*8.23</f>
        <v>#NUM!</v>
      </c>
      <c r="J67" s="185" t="e">
        <f t="shared" si="2"/>
        <v>#NUM!</v>
      </c>
      <c r="K67" s="320" t="e">
        <v>#NUM!</v>
      </c>
      <c r="L67" s="186" t="e">
        <f>INDEX(bhpc_data[country_of_origin],MATCH($A67,bhpc_data[sku],0))</f>
        <v>#NUM!</v>
      </c>
    </row>
    <row r="68" spans="1:12" ht="14.5" x14ac:dyDescent="0.35">
      <c r="A68" s="179" t="e">
        <v>#NUM!</v>
      </c>
      <c r="B68" s="171" t="e">
        <f>INDEX(bhpc_data[description],MATCH($A68,bhpc_data[sku],0))</f>
        <v>#NUM!</v>
      </c>
      <c r="C68" s="180"/>
      <c r="D68" s="181"/>
      <c r="E68" s="182"/>
      <c r="F68" s="183" t="s">
        <v>924</v>
      </c>
      <c r="G68" s="184" t="e">
        <v>#NUM!</v>
      </c>
      <c r="H68" s="228" t="e">
        <f>G68/24*7.52</f>
        <v>#NUM!</v>
      </c>
      <c r="I68" s="229" t="e">
        <f>G68/24*8.23</f>
        <v>#NUM!</v>
      </c>
      <c r="J68" s="185" t="e">
        <f t="shared" si="2"/>
        <v>#NUM!</v>
      </c>
      <c r="K68" s="320" t="e">
        <v>#NUM!</v>
      </c>
      <c r="L68" s="186" t="e">
        <f>INDEX(bhpc_data[country_of_origin],MATCH($A68,bhpc_data[sku],0))</f>
        <v>#NUM!</v>
      </c>
    </row>
    <row r="69" spans="1:12" ht="14.5" x14ac:dyDescent="0.35">
      <c r="A69" s="179" t="e">
        <v>#NUM!</v>
      </c>
      <c r="B69" s="171" t="e">
        <f>INDEX(bhpc_data[description],MATCH($A69,bhpc_data[sku],0))</f>
        <v>#NUM!</v>
      </c>
      <c r="C69" s="180"/>
      <c r="D69" s="181"/>
      <c r="E69" s="182"/>
      <c r="F69" s="183" t="s">
        <v>924</v>
      </c>
      <c r="G69" s="184" t="e">
        <v>#NUM!</v>
      </c>
      <c r="H69" s="228" t="e">
        <f>G69/24*7.52</f>
        <v>#NUM!</v>
      </c>
      <c r="I69" s="229" t="e">
        <f>G69/24*8.23</f>
        <v>#NUM!</v>
      </c>
      <c r="J69" s="185" t="e">
        <f t="shared" si="2"/>
        <v>#NUM!</v>
      </c>
      <c r="K69" s="320" t="e">
        <v>#NUM!</v>
      </c>
      <c r="L69" s="186" t="e">
        <f>INDEX(bhpc_data[country_of_origin],MATCH($A69,bhpc_data[sku],0))</f>
        <v>#NUM!</v>
      </c>
    </row>
    <row r="70" spans="1:12" ht="14.5" x14ac:dyDescent="0.35">
      <c r="A70" s="179" t="e">
        <v>#NUM!</v>
      </c>
      <c r="B70" s="171" t="e">
        <f>INDEX(bhpc_data[description],MATCH($A70,bhpc_data[sku],0))</f>
        <v>#NUM!</v>
      </c>
      <c r="C70" s="180"/>
      <c r="D70" s="181"/>
      <c r="E70" s="182"/>
      <c r="F70" s="183" t="s">
        <v>924</v>
      </c>
      <c r="G70" s="184" t="e">
        <v>#NUM!</v>
      </c>
      <c r="H70" s="228" t="e">
        <f>G70/24*6.87</f>
        <v>#NUM!</v>
      </c>
      <c r="I70" s="229" t="e">
        <f>G70/24*7.56</f>
        <v>#NUM!</v>
      </c>
      <c r="J70" s="185" t="e">
        <f t="shared" si="2"/>
        <v>#NUM!</v>
      </c>
      <c r="K70" s="320" t="e">
        <v>#NUM!</v>
      </c>
      <c r="L70" s="186" t="e">
        <f>INDEX(bhpc_data[country_of_origin],MATCH($A70,bhpc_data[sku],0))</f>
        <v>#NUM!</v>
      </c>
    </row>
    <row r="71" spans="1:12" ht="14.5" x14ac:dyDescent="0.35">
      <c r="A71" s="179" t="e">
        <v>#NUM!</v>
      </c>
      <c r="B71" s="171" t="e">
        <f>INDEX(bhpc_data[description],MATCH($A71,bhpc_data[sku],0))</f>
        <v>#NUM!</v>
      </c>
      <c r="C71" s="180"/>
      <c r="D71" s="181"/>
      <c r="E71" s="182"/>
      <c r="F71" s="183" t="s">
        <v>924</v>
      </c>
      <c r="G71" s="184" t="e">
        <v>#NUM!</v>
      </c>
      <c r="H71" s="228" t="e">
        <f>G71/24*6.87</f>
        <v>#NUM!</v>
      </c>
      <c r="I71" s="229" t="e">
        <f>G71/24*7.56</f>
        <v>#NUM!</v>
      </c>
      <c r="J71" s="185" t="e">
        <f t="shared" si="2"/>
        <v>#NUM!</v>
      </c>
      <c r="K71" s="320" t="e">
        <v>#NUM!</v>
      </c>
      <c r="L71" s="186" t="e">
        <f>INDEX(bhpc_data[country_of_origin],MATCH($A71,bhpc_data[sku],0))</f>
        <v>#NUM!</v>
      </c>
    </row>
    <row r="72" spans="1:12" ht="14.5" x14ac:dyDescent="0.35">
      <c r="A72" s="179" t="e">
        <v>#NUM!</v>
      </c>
      <c r="B72" s="171" t="e">
        <f>INDEX(bhpc_data[description],MATCH($A72,bhpc_data[sku],0))</f>
        <v>#NUM!</v>
      </c>
      <c r="C72" s="180"/>
      <c r="D72" s="181"/>
      <c r="E72" s="182"/>
      <c r="F72" s="183" t="s">
        <v>924</v>
      </c>
      <c r="G72" s="184" t="e">
        <v>#NUM!</v>
      </c>
      <c r="H72" s="228" t="e">
        <f>G72/24*6.87</f>
        <v>#NUM!</v>
      </c>
      <c r="I72" s="229" t="e">
        <f>G72/24*7.56</f>
        <v>#NUM!</v>
      </c>
      <c r="J72" s="185" t="e">
        <f t="shared" si="2"/>
        <v>#NUM!</v>
      </c>
      <c r="K72" s="320" t="e">
        <v>#NUM!</v>
      </c>
      <c r="L72" s="186" t="e">
        <f>INDEX(bhpc_data[country_of_origin],MATCH($A72,bhpc_data[sku],0))</f>
        <v>#NUM!</v>
      </c>
    </row>
    <row r="73" spans="1:12" ht="14.5" x14ac:dyDescent="0.35">
      <c r="A73" s="179" t="e">
        <v>#NUM!</v>
      </c>
      <c r="B73" s="171" t="e">
        <f>INDEX(bhpc_data[description],MATCH($A73,bhpc_data[sku],0))</f>
        <v>#NUM!</v>
      </c>
      <c r="C73" s="180"/>
      <c r="D73" s="181"/>
      <c r="E73" s="182"/>
      <c r="F73" s="183" t="s">
        <v>924</v>
      </c>
      <c r="G73" s="184" t="e">
        <v>#NUM!</v>
      </c>
      <c r="H73" s="228" t="e">
        <f>G73/24*6.87</f>
        <v>#NUM!</v>
      </c>
      <c r="I73" s="229" t="e">
        <f>G73/24*7.56</f>
        <v>#NUM!</v>
      </c>
      <c r="J73" s="185" t="e">
        <f t="shared" si="2"/>
        <v>#NUM!</v>
      </c>
      <c r="K73" s="320" t="e">
        <v>#NUM!</v>
      </c>
      <c r="L73" s="186" t="e">
        <f>INDEX(bhpc_data[country_of_origin],MATCH($A73,bhpc_data[sku],0))</f>
        <v>#NUM!</v>
      </c>
    </row>
    <row r="74" spans="1:12" ht="14.5" x14ac:dyDescent="0.35">
      <c r="A74" s="179" t="e">
        <v>#NUM!</v>
      </c>
      <c r="B74" s="171" t="e">
        <f>INDEX(bhpc_data[description],MATCH($A74,bhpc_data[sku],0))</f>
        <v>#NUM!</v>
      </c>
      <c r="C74" s="180"/>
      <c r="D74" s="181"/>
      <c r="E74" s="182"/>
      <c r="F74" s="183" t="s">
        <v>924</v>
      </c>
      <c r="G74" s="184" t="e">
        <v>#NUM!</v>
      </c>
      <c r="H74" s="228" t="e">
        <f>G74/24*9.48</f>
        <v>#NUM!</v>
      </c>
      <c r="I74" s="229" t="e">
        <f>G74/24*9.9</f>
        <v>#NUM!</v>
      </c>
      <c r="J74" s="185" t="e">
        <f t="shared" si="2"/>
        <v>#NUM!</v>
      </c>
      <c r="K74" s="320" t="e">
        <v>#NUM!</v>
      </c>
      <c r="L74" s="186" t="e">
        <f>INDEX(bhpc_data[country_of_origin],MATCH($A74,bhpc_data[sku],0))</f>
        <v>#NUM!</v>
      </c>
    </row>
    <row r="75" spans="1:12" ht="14.5" x14ac:dyDescent="0.35">
      <c r="A75" s="179" t="e">
        <v>#NUM!</v>
      </c>
      <c r="B75" s="171" t="e">
        <f>INDEX(bhpc_data[description],MATCH($A75,bhpc_data[sku],0))</f>
        <v>#NUM!</v>
      </c>
      <c r="C75" s="180"/>
      <c r="D75" s="181"/>
      <c r="E75" s="182"/>
      <c r="F75" s="183" t="s">
        <v>924</v>
      </c>
      <c r="G75" s="184" t="e">
        <v>#NUM!</v>
      </c>
      <c r="H75" s="228" t="e">
        <f>G75/24*9.48</f>
        <v>#NUM!</v>
      </c>
      <c r="I75" s="229" t="e">
        <f>G75/24*9.9</f>
        <v>#NUM!</v>
      </c>
      <c r="J75" s="185" t="e">
        <f t="shared" si="2"/>
        <v>#NUM!</v>
      </c>
      <c r="K75" s="320" t="e">
        <v>#NUM!</v>
      </c>
      <c r="L75" s="186" t="e">
        <f>INDEX(bhpc_data[country_of_origin],MATCH($A75,bhpc_data[sku],0))</f>
        <v>#NUM!</v>
      </c>
    </row>
    <row r="76" spans="1:12" ht="14.5" x14ac:dyDescent="0.35">
      <c r="A76" s="179" t="e">
        <v>#NUM!</v>
      </c>
      <c r="B76" s="171" t="e">
        <f>INDEX(bhpc_data[description],MATCH($A76,bhpc_data[sku],0))</f>
        <v>#NUM!</v>
      </c>
      <c r="C76" s="180"/>
      <c r="D76" s="181"/>
      <c r="E76" s="182"/>
      <c r="F76" s="183" t="s">
        <v>924</v>
      </c>
      <c r="G76" s="184" t="e">
        <v>#NUM!</v>
      </c>
      <c r="H76" s="228" t="e">
        <f>G76/24*9.12</f>
        <v>#NUM!</v>
      </c>
      <c r="I76" s="229" t="e">
        <f>G76/24*9.5</f>
        <v>#NUM!</v>
      </c>
      <c r="J76" s="185" t="e">
        <f t="shared" si="2"/>
        <v>#NUM!</v>
      </c>
      <c r="K76" s="320" t="e">
        <v>#NUM!</v>
      </c>
      <c r="L76" s="186" t="e">
        <f>INDEX(bhpc_data[country_of_origin],MATCH($A76,bhpc_data[sku],0))</f>
        <v>#NUM!</v>
      </c>
    </row>
    <row r="77" spans="1:12" ht="14.5" x14ac:dyDescent="0.35">
      <c r="A77" s="179" t="e">
        <v>#NUM!</v>
      </c>
      <c r="B77" s="171" t="e">
        <f>INDEX(bhpc_data[description],MATCH($A77,bhpc_data[sku],0))</f>
        <v>#NUM!</v>
      </c>
      <c r="C77" s="180"/>
      <c r="D77" s="181"/>
      <c r="E77" s="182"/>
      <c r="F77" s="183" t="s">
        <v>924</v>
      </c>
      <c r="G77" s="184" t="e">
        <v>#NUM!</v>
      </c>
      <c r="H77" s="228" t="e">
        <f>G77/24*9.12</f>
        <v>#NUM!</v>
      </c>
      <c r="I77" s="229" t="e">
        <f>G77/24*9.5</f>
        <v>#NUM!</v>
      </c>
      <c r="J77" s="185" t="e">
        <f t="shared" si="2"/>
        <v>#NUM!</v>
      </c>
      <c r="K77" s="320" t="e">
        <v>#NUM!</v>
      </c>
      <c r="L77" s="186" t="e">
        <f>INDEX(bhpc_data[country_of_origin],MATCH($A77,bhpc_data[sku],0))</f>
        <v>#NUM!</v>
      </c>
    </row>
    <row r="78" spans="1:12" ht="14.5" x14ac:dyDescent="0.35">
      <c r="A78" s="179" t="e">
        <v>#NUM!</v>
      </c>
      <c r="B78" s="171" t="e">
        <f>INDEX(bhpc_data[description],MATCH($A78,bhpc_data[sku],0))</f>
        <v>#NUM!</v>
      </c>
      <c r="C78" s="180"/>
      <c r="D78" s="181"/>
      <c r="E78" s="182"/>
      <c r="F78" s="183" t="s">
        <v>924</v>
      </c>
      <c r="G78" s="184" t="e">
        <v>#NUM!</v>
      </c>
      <c r="H78" s="228" t="e">
        <f>G78/24*9.12</f>
        <v>#NUM!</v>
      </c>
      <c r="I78" s="229" t="e">
        <f>G78/24*9.5</f>
        <v>#NUM!</v>
      </c>
      <c r="J78" s="185" t="e">
        <f t="shared" si="2"/>
        <v>#NUM!</v>
      </c>
      <c r="K78" s="320" t="e">
        <v>#NUM!</v>
      </c>
      <c r="L78" s="186" t="e">
        <f>INDEX(bhpc_data[country_of_origin],MATCH($A78,bhpc_data[sku],0))</f>
        <v>#NUM!</v>
      </c>
    </row>
    <row r="79" spans="1:12" ht="14.5" x14ac:dyDescent="0.35">
      <c r="A79" s="179" t="e">
        <v>#NUM!</v>
      </c>
      <c r="B79" s="171" t="e">
        <f>INDEX(bhpc_data[description],MATCH($A79,bhpc_data[sku],0))</f>
        <v>#NUM!</v>
      </c>
      <c r="C79" s="180"/>
      <c r="D79" s="181"/>
      <c r="E79" s="182"/>
      <c r="F79" s="183" t="s">
        <v>924</v>
      </c>
      <c r="G79" s="184" t="e">
        <v>#NUM!</v>
      </c>
      <c r="H79" s="228" t="e">
        <f>G79/24*9.12</f>
        <v>#NUM!</v>
      </c>
      <c r="I79" s="229" t="e">
        <f>G79/24*9.5</f>
        <v>#NUM!</v>
      </c>
      <c r="J79" s="185" t="e">
        <f t="shared" si="2"/>
        <v>#NUM!</v>
      </c>
      <c r="K79" s="320" t="e">
        <v>#NUM!</v>
      </c>
      <c r="L79" s="186" t="e">
        <f>INDEX(bhpc_data[country_of_origin],MATCH($A79,bhpc_data[sku],0))</f>
        <v>#NUM!</v>
      </c>
    </row>
    <row r="80" spans="1:12" ht="14.5" x14ac:dyDescent="0.35">
      <c r="A80" s="179"/>
      <c r="B80" s="171"/>
      <c r="C80" s="180"/>
      <c r="D80" s="181"/>
      <c r="E80" s="182"/>
      <c r="F80" s="183"/>
      <c r="G80" s="184"/>
      <c r="H80" s="228"/>
      <c r="I80" s="229"/>
      <c r="J80" s="185"/>
      <c r="K80" s="320"/>
      <c r="L80" s="186"/>
    </row>
    <row r="81" spans="1:12" ht="14.5" x14ac:dyDescent="0.35">
      <c r="A81" s="179"/>
      <c r="B81" s="171"/>
      <c r="C81" s="180"/>
      <c r="D81" s="181"/>
      <c r="E81" s="182"/>
      <c r="F81" s="183"/>
      <c r="G81" s="184"/>
      <c r="H81" s="228"/>
      <c r="I81" s="229"/>
      <c r="J81" s="185"/>
      <c r="K81" s="320"/>
      <c r="L81" s="186"/>
    </row>
    <row r="82" spans="1:12" ht="14.5" x14ac:dyDescent="0.35">
      <c r="A82" s="179"/>
      <c r="B82" s="171"/>
      <c r="C82" s="180"/>
      <c r="D82" s="181"/>
      <c r="E82" s="182"/>
      <c r="F82" s="183"/>
      <c r="G82" s="184"/>
      <c r="H82" s="228"/>
      <c r="I82" s="229"/>
      <c r="J82" s="185"/>
      <c r="K82" s="320"/>
      <c r="L82" s="186"/>
    </row>
    <row r="83" spans="1:12" ht="14.5" x14ac:dyDescent="0.35">
      <c r="A83" s="179"/>
      <c r="B83" s="171"/>
      <c r="C83" s="180"/>
      <c r="D83" s="181"/>
      <c r="E83" s="182"/>
      <c r="F83" s="183"/>
      <c r="G83" s="184"/>
      <c r="H83" s="228"/>
      <c r="I83" s="229"/>
      <c r="J83" s="185"/>
      <c r="K83" s="320"/>
      <c r="L83" s="186"/>
    </row>
    <row r="84" spans="1:12" ht="14.5" x14ac:dyDescent="0.35">
      <c r="A84" s="179"/>
      <c r="B84" s="171"/>
      <c r="C84" s="180"/>
      <c r="D84" s="181"/>
      <c r="E84" s="182"/>
      <c r="F84" s="183"/>
      <c r="G84" s="184"/>
      <c r="H84" s="228"/>
      <c r="I84" s="229"/>
      <c r="J84" s="185"/>
      <c r="K84" s="320"/>
      <c r="L84" s="186"/>
    </row>
    <row r="85" spans="1:12" ht="14.5" x14ac:dyDescent="0.35">
      <c r="A85" s="179"/>
      <c r="B85" s="171"/>
      <c r="C85" s="180"/>
      <c r="D85" s="181"/>
      <c r="E85" s="182"/>
      <c r="F85" s="183"/>
      <c r="G85" s="184"/>
      <c r="H85" s="228"/>
      <c r="I85" s="229"/>
      <c r="J85" s="185"/>
      <c r="K85" s="320"/>
      <c r="L85" s="186"/>
    </row>
    <row r="86" spans="1:12" ht="14.5" x14ac:dyDescent="0.35">
      <c r="A86" s="179"/>
      <c r="B86" s="171"/>
      <c r="C86" s="180"/>
      <c r="D86" s="181"/>
      <c r="E86" s="182"/>
      <c r="F86" s="183"/>
      <c r="G86" s="184"/>
      <c r="H86" s="228"/>
      <c r="I86" s="229"/>
      <c r="J86" s="185"/>
      <c r="K86" s="320"/>
      <c r="L86" s="186"/>
    </row>
    <row r="87" spans="1:12" ht="14.5" x14ac:dyDescent="0.35">
      <c r="A87" s="179"/>
      <c r="B87" s="171"/>
      <c r="C87" s="180"/>
      <c r="D87" s="181"/>
      <c r="E87" s="182"/>
      <c r="F87" s="183"/>
      <c r="G87" s="184"/>
      <c r="H87" s="228"/>
      <c r="I87" s="229"/>
      <c r="J87" s="185"/>
      <c r="K87" s="320"/>
      <c r="L87" s="186"/>
    </row>
    <row r="88" spans="1:12" ht="14.5" x14ac:dyDescent="0.35">
      <c r="A88" s="179"/>
      <c r="B88" s="171"/>
      <c r="C88" s="180"/>
      <c r="D88" s="181"/>
      <c r="E88" s="182"/>
      <c r="F88" s="183"/>
      <c r="G88" s="184"/>
      <c r="H88" s="228"/>
      <c r="I88" s="229"/>
      <c r="J88" s="185"/>
      <c r="K88" s="320"/>
      <c r="L88" s="186"/>
    </row>
    <row r="89" spans="1:12" ht="14.5" x14ac:dyDescent="0.35">
      <c r="A89" s="179"/>
      <c r="B89" s="171"/>
      <c r="C89" s="180"/>
      <c r="D89" s="181"/>
      <c r="E89" s="182"/>
      <c r="F89" s="183"/>
      <c r="G89" s="184"/>
      <c r="H89" s="228"/>
      <c r="I89" s="229"/>
      <c r="J89" s="185"/>
      <c r="K89" s="320"/>
      <c r="L89" s="186"/>
    </row>
    <row r="90" spans="1:12" ht="14.5" x14ac:dyDescent="0.35">
      <c r="A90" s="179"/>
      <c r="B90" s="171"/>
      <c r="C90" s="180"/>
      <c r="D90" s="181"/>
      <c r="E90" s="182"/>
      <c r="F90" s="183"/>
      <c r="G90" s="184"/>
      <c r="H90" s="228"/>
      <c r="I90" s="229"/>
      <c r="J90" s="185"/>
      <c r="K90" s="320"/>
      <c r="L90" s="186"/>
    </row>
    <row r="91" spans="1:12" ht="14.5" x14ac:dyDescent="0.35">
      <c r="A91" s="179"/>
      <c r="B91" s="171"/>
      <c r="C91" s="180"/>
      <c r="D91" s="181"/>
      <c r="E91" s="182"/>
      <c r="F91" s="183"/>
      <c r="G91" s="184"/>
      <c r="H91" s="228"/>
      <c r="I91" s="229"/>
      <c r="J91" s="185"/>
      <c r="K91" s="320"/>
      <c r="L91" s="186"/>
    </row>
    <row r="92" spans="1:12" ht="14.5" x14ac:dyDescent="0.35">
      <c r="A92" s="179"/>
      <c r="B92" s="171"/>
      <c r="C92" s="180"/>
      <c r="D92" s="181"/>
      <c r="E92" s="182"/>
      <c r="F92" s="183"/>
      <c r="G92" s="184"/>
      <c r="H92" s="228"/>
      <c r="I92" s="229"/>
      <c r="J92" s="185"/>
      <c r="K92" s="320"/>
      <c r="L92" s="186"/>
    </row>
    <row r="93" spans="1:12" ht="14.5" x14ac:dyDescent="0.35">
      <c r="A93" s="179"/>
      <c r="B93" s="171"/>
      <c r="C93" s="180"/>
      <c r="D93" s="181"/>
      <c r="E93" s="182"/>
      <c r="F93" s="183"/>
      <c r="G93" s="184"/>
      <c r="H93" s="228"/>
      <c r="I93" s="229"/>
      <c r="J93" s="185"/>
      <c r="K93" s="320"/>
      <c r="L93" s="186"/>
    </row>
    <row r="94" spans="1:12" ht="14.5" x14ac:dyDescent="0.35">
      <c r="A94" s="179"/>
      <c r="B94" s="171"/>
      <c r="C94" s="180"/>
      <c r="D94" s="181"/>
      <c r="E94" s="182"/>
      <c r="F94" s="183"/>
      <c r="G94" s="184"/>
      <c r="H94" s="228"/>
      <c r="I94" s="229"/>
      <c r="J94" s="185"/>
      <c r="K94" s="320"/>
      <c r="L94" s="186"/>
    </row>
    <row r="95" spans="1:12" ht="14.5" x14ac:dyDescent="0.35">
      <c r="A95" s="179"/>
      <c r="B95" s="171"/>
      <c r="C95" s="180"/>
      <c r="D95" s="181"/>
      <c r="E95" s="182"/>
      <c r="F95" s="183"/>
      <c r="G95" s="184"/>
      <c r="H95" s="228"/>
      <c r="I95" s="229"/>
      <c r="J95" s="185"/>
      <c r="K95" s="320"/>
      <c r="L95" s="186"/>
    </row>
    <row r="96" spans="1:12" ht="14.5" x14ac:dyDescent="0.35">
      <c r="A96" s="179"/>
      <c r="B96" s="171"/>
      <c r="C96" s="180"/>
      <c r="D96" s="181"/>
      <c r="E96" s="182"/>
      <c r="F96" s="183"/>
      <c r="G96" s="184"/>
      <c r="H96" s="228"/>
      <c r="I96" s="229"/>
      <c r="J96" s="185"/>
      <c r="K96" s="320"/>
      <c r="L96" s="186"/>
    </row>
    <row r="97" spans="1:12" ht="14.5" x14ac:dyDescent="0.35">
      <c r="A97" s="179"/>
      <c r="B97" s="171"/>
      <c r="C97" s="180"/>
      <c r="D97" s="181"/>
      <c r="E97" s="182"/>
      <c r="F97" s="183"/>
      <c r="G97" s="184"/>
      <c r="H97" s="228"/>
      <c r="I97" s="229"/>
      <c r="J97" s="185"/>
      <c r="K97" s="320"/>
      <c r="L97" s="186"/>
    </row>
    <row r="98" spans="1:12" ht="14.5" x14ac:dyDescent="0.35">
      <c r="A98" s="179"/>
      <c r="B98" s="171"/>
      <c r="C98" s="180"/>
      <c r="D98" s="181"/>
      <c r="E98" s="182"/>
      <c r="F98" s="183"/>
      <c r="G98" s="184"/>
      <c r="H98" s="228"/>
      <c r="I98" s="229"/>
      <c r="J98" s="185"/>
      <c r="K98" s="320"/>
      <c r="L98" s="186"/>
    </row>
    <row r="99" spans="1:12" ht="14.5" x14ac:dyDescent="0.35">
      <c r="A99" s="179"/>
      <c r="B99" s="171"/>
      <c r="C99" s="180"/>
      <c r="D99" s="181"/>
      <c r="E99" s="182"/>
      <c r="F99" s="183"/>
      <c r="G99" s="184"/>
      <c r="H99" s="228"/>
      <c r="I99" s="229"/>
      <c r="J99" s="185"/>
      <c r="K99" s="320"/>
      <c r="L99" s="186"/>
    </row>
    <row r="100" spans="1:12" ht="14.5" x14ac:dyDescent="0.35">
      <c r="A100" s="179"/>
      <c r="B100" s="171"/>
      <c r="C100" s="180"/>
      <c r="D100" s="181"/>
      <c r="E100" s="182"/>
      <c r="F100" s="183"/>
      <c r="G100" s="184"/>
      <c r="H100" s="228"/>
      <c r="I100" s="229"/>
      <c r="J100" s="185"/>
      <c r="K100" s="320"/>
      <c r="L100" s="186"/>
    </row>
    <row r="101" spans="1:12" ht="14.5" x14ac:dyDescent="0.35">
      <c r="A101" s="179"/>
      <c r="B101" s="171"/>
      <c r="C101" s="180"/>
      <c r="D101" s="181"/>
      <c r="E101" s="182"/>
      <c r="F101" s="183"/>
      <c r="G101" s="184"/>
      <c r="H101" s="228"/>
      <c r="I101" s="229"/>
      <c r="J101" s="185"/>
      <c r="K101" s="320"/>
      <c r="L101" s="186"/>
    </row>
    <row r="102" spans="1:12" ht="14.5" x14ac:dyDescent="0.35">
      <c r="A102" s="179"/>
      <c r="B102" s="171"/>
      <c r="C102" s="180"/>
      <c r="D102" s="181"/>
      <c r="E102" s="182"/>
      <c r="F102" s="183"/>
      <c r="G102" s="184"/>
      <c r="H102" s="228"/>
      <c r="I102" s="229"/>
      <c r="J102" s="185"/>
      <c r="K102" s="320"/>
      <c r="L102" s="186"/>
    </row>
    <row r="103" spans="1:12" ht="14.5" x14ac:dyDescent="0.35">
      <c r="A103" s="179"/>
      <c r="B103" s="171"/>
      <c r="C103" s="180"/>
      <c r="D103" s="181"/>
      <c r="E103" s="182"/>
      <c r="F103" s="183"/>
      <c r="G103" s="184"/>
      <c r="H103" s="228"/>
      <c r="I103" s="229"/>
      <c r="J103" s="185"/>
      <c r="K103" s="320"/>
      <c r="L103" s="186"/>
    </row>
    <row r="104" spans="1:12" ht="14.5" x14ac:dyDescent="0.35">
      <c r="A104" s="179"/>
      <c r="B104" s="171"/>
      <c r="C104" s="180"/>
      <c r="D104" s="181"/>
      <c r="E104" s="182"/>
      <c r="F104" s="183"/>
      <c r="G104" s="184"/>
      <c r="H104" s="228"/>
      <c r="I104" s="229"/>
      <c r="J104" s="185"/>
      <c r="K104" s="320"/>
      <c r="L104" s="186"/>
    </row>
    <row r="105" spans="1:12" ht="14.5" x14ac:dyDescent="0.35">
      <c r="A105" s="179"/>
      <c r="B105" s="171"/>
      <c r="C105" s="180"/>
      <c r="D105" s="181"/>
      <c r="E105" s="182"/>
      <c r="F105" s="183"/>
      <c r="G105" s="184"/>
      <c r="H105" s="228"/>
      <c r="I105" s="229"/>
      <c r="J105" s="185"/>
      <c r="K105" s="320"/>
      <c r="L105" s="186"/>
    </row>
    <row r="106" spans="1:12" ht="14.5" x14ac:dyDescent="0.35">
      <c r="A106" s="179"/>
      <c r="B106" s="171"/>
      <c r="C106" s="180"/>
      <c r="D106" s="181"/>
      <c r="E106" s="182"/>
      <c r="F106" s="183"/>
      <c r="G106" s="184"/>
      <c r="H106" s="228"/>
      <c r="I106" s="229"/>
      <c r="J106" s="185"/>
      <c r="K106" s="320"/>
      <c r="L106" s="186"/>
    </row>
    <row r="107" spans="1:12" ht="14.5" x14ac:dyDescent="0.35">
      <c r="A107" s="179"/>
      <c r="B107" s="171"/>
      <c r="C107" s="180"/>
      <c r="D107" s="181"/>
      <c r="E107" s="182"/>
      <c r="F107" s="183"/>
      <c r="G107" s="184"/>
      <c r="H107" s="228"/>
      <c r="I107" s="229"/>
      <c r="J107" s="185"/>
      <c r="K107" s="320"/>
      <c r="L107" s="186"/>
    </row>
    <row r="108" spans="1:12" ht="14.5" x14ac:dyDescent="0.35">
      <c r="A108" s="179"/>
      <c r="B108" s="171"/>
      <c r="C108" s="180"/>
      <c r="D108" s="181"/>
      <c r="E108" s="182"/>
      <c r="F108" s="183"/>
      <c r="G108" s="184"/>
      <c r="H108" s="228"/>
      <c r="I108" s="229"/>
      <c r="J108" s="185"/>
      <c r="K108" s="320"/>
      <c r="L108" s="186"/>
    </row>
    <row r="109" spans="1:12" x14ac:dyDescent="0.35">
      <c r="A109" s="187"/>
      <c r="B109" s="188"/>
      <c r="C109" s="168"/>
      <c r="D109" s="189"/>
      <c r="E109" s="168"/>
      <c r="F109" s="190"/>
      <c r="G109" s="187" t="s">
        <v>497</v>
      </c>
      <c r="H109" s="188"/>
      <c r="I109" s="187" t="s">
        <v>498</v>
      </c>
      <c r="J109" s="188"/>
      <c r="K109" s="188"/>
      <c r="L109" s="191"/>
    </row>
    <row r="110" spans="1:12" x14ac:dyDescent="0.35">
      <c r="A110" s="192"/>
      <c r="B110" s="193"/>
      <c r="C110" s="193"/>
      <c r="D110" s="194"/>
      <c r="E110" s="193"/>
      <c r="F110" s="135"/>
      <c r="G110" s="704"/>
      <c r="H110" s="706"/>
      <c r="I110" s="704"/>
      <c r="J110" s="705"/>
      <c r="K110" s="705"/>
      <c r="L110" s="706"/>
    </row>
    <row r="111" spans="1:12" x14ac:dyDescent="0.35">
      <c r="A111" s="195" t="s">
        <v>499</v>
      </c>
      <c r="B111" s="196"/>
      <c r="C111" s="197" t="s">
        <v>500</v>
      </c>
      <c r="D111" s="198"/>
      <c r="E111" s="199" t="s">
        <v>501</v>
      </c>
      <c r="F111" s="200"/>
      <c r="G111" s="199" t="s">
        <v>502</v>
      </c>
      <c r="H111" s="168"/>
      <c r="I111" s="199" t="s">
        <v>503</v>
      </c>
      <c r="J111" s="168"/>
      <c r="K111" s="168"/>
      <c r="L111" s="201"/>
    </row>
    <row r="112" spans="1:12" x14ac:dyDescent="0.35">
      <c r="A112" s="709" t="e">
        <f>A58+SUM($G$65:$G$108)</f>
        <v>#NUM!</v>
      </c>
      <c r="B112" s="710"/>
      <c r="C112" s="709" t="e">
        <f>C58+SUM($J$65:$J$108)</f>
        <v>#NUM!</v>
      </c>
      <c r="D112" s="710"/>
      <c r="E112" s="704">
        <v>0</v>
      </c>
      <c r="F112" s="706"/>
      <c r="G112" s="704" t="s">
        <v>1162</v>
      </c>
      <c r="H112" s="706"/>
      <c r="I112" s="704"/>
      <c r="J112" s="705"/>
      <c r="K112" s="705"/>
      <c r="L112" s="706"/>
    </row>
    <row r="113" spans="1:12" x14ac:dyDescent="0.35">
      <c r="A113" s="187" t="s">
        <v>504</v>
      </c>
      <c r="B113" s="191"/>
      <c r="C113" s="199" t="s">
        <v>505</v>
      </c>
      <c r="D113" s="202"/>
      <c r="E113" s="197" t="s">
        <v>506</v>
      </c>
      <c r="F113" s="139"/>
      <c r="G113" s="199" t="s">
        <v>507</v>
      </c>
      <c r="H113" s="168"/>
      <c r="I113" s="168"/>
      <c r="J113" s="188"/>
      <c r="K113" s="188"/>
      <c r="L113" s="191"/>
    </row>
    <row r="114" spans="1:12" x14ac:dyDescent="0.35">
      <c r="A114" s="707" t="e">
        <f>A60+ROUND(SUM(H$65:$H108),1)</f>
        <v>#NUM!</v>
      </c>
      <c r="B114" s="708"/>
      <c r="C114" s="707" t="e">
        <f>C60+ROUND(SUM($I$65:$I$108),1)</f>
        <v>#NUM!</v>
      </c>
      <c r="D114" s="708"/>
      <c r="E114" s="707" t="e">
        <f>C114+E112*IF(G112="80x120",25,20)</f>
        <v>#NUM!</v>
      </c>
      <c r="F114" s="708"/>
      <c r="G114" s="203"/>
      <c r="H114" s="204"/>
      <c r="I114" s="204"/>
      <c r="J114" s="204"/>
      <c r="K114" s="204"/>
      <c r="L114" s="205"/>
    </row>
    <row r="115" spans="1:12" ht="15.5" x14ac:dyDescent="0.35">
      <c r="A115" s="199" t="s">
        <v>508</v>
      </c>
      <c r="B115" s="168"/>
      <c r="C115" s="168"/>
      <c r="D115" s="168"/>
      <c r="E115" s="206"/>
      <c r="F115" s="123"/>
      <c r="G115" s="207"/>
      <c r="H115" s="208"/>
      <c r="I115" s="208"/>
      <c r="J115" s="209"/>
      <c r="K115" s="209"/>
      <c r="L115" s="210"/>
    </row>
    <row r="116" spans="1:12" ht="15.5" x14ac:dyDescent="0.35">
      <c r="A116" s="211"/>
      <c r="B116" s="212"/>
      <c r="C116" s="204"/>
      <c r="D116" s="204"/>
      <c r="E116" s="204"/>
      <c r="F116" s="127"/>
      <c r="G116" s="207"/>
      <c r="H116" s="208"/>
      <c r="I116" s="208"/>
      <c r="J116" s="208"/>
      <c r="K116" s="208"/>
      <c r="L116" s="210"/>
    </row>
    <row r="117" spans="1:12" ht="15.5" x14ac:dyDescent="0.35">
      <c r="A117" s="211"/>
      <c r="B117" s="204"/>
      <c r="C117" s="204"/>
      <c r="D117" s="213"/>
      <c r="E117" s="204"/>
      <c r="F117" s="127"/>
      <c r="G117" s="207"/>
      <c r="H117" s="208"/>
      <c r="I117" s="208"/>
      <c r="J117" s="208"/>
      <c r="K117" s="208"/>
      <c r="L117" s="210"/>
    </row>
    <row r="118" spans="1:12" ht="15.5" x14ac:dyDescent="0.35">
      <c r="A118" s="192"/>
      <c r="B118" s="193"/>
      <c r="C118" s="193"/>
      <c r="D118" s="194"/>
      <c r="E118" s="193"/>
      <c r="F118" s="135"/>
      <c r="G118" s="214"/>
      <c r="H118" s="215"/>
      <c r="I118" s="215"/>
      <c r="J118" s="215"/>
      <c r="K118" s="215"/>
      <c r="L118" s="216"/>
    </row>
  </sheetData>
  <mergeCells count="33">
    <mergeCell ref="B10:E10"/>
    <mergeCell ref="A1:B1"/>
    <mergeCell ref="H1:J1"/>
    <mergeCell ref="A8:B8"/>
    <mergeCell ref="C8:D8"/>
    <mergeCell ref="G8:I8"/>
    <mergeCell ref="J8:L8"/>
    <mergeCell ref="A9:B9"/>
    <mergeCell ref="C9:D9"/>
    <mergeCell ref="E9:F9"/>
    <mergeCell ref="G9:I9"/>
    <mergeCell ref="J9:L9"/>
    <mergeCell ref="G56:H56"/>
    <mergeCell ref="I56:L56"/>
    <mergeCell ref="A58:B58"/>
    <mergeCell ref="C58:D58"/>
    <mergeCell ref="E58:F58"/>
    <mergeCell ref="G58:H58"/>
    <mergeCell ref="I58:L58"/>
    <mergeCell ref="E57:F57"/>
    <mergeCell ref="G110:H110"/>
    <mergeCell ref="I110:L110"/>
    <mergeCell ref="A112:B112"/>
    <mergeCell ref="C112:D112"/>
    <mergeCell ref="E112:F112"/>
    <mergeCell ref="G112:H112"/>
    <mergeCell ref="I112:L112"/>
    <mergeCell ref="A114:B114"/>
    <mergeCell ref="C114:D114"/>
    <mergeCell ref="E114:F114"/>
    <mergeCell ref="A60:B60"/>
    <mergeCell ref="C60:D60"/>
    <mergeCell ref="E60:F60"/>
  </mergeCells>
  <dataValidations count="1">
    <dataValidation type="list" allowBlank="1" showInputMessage="1" showErrorMessage="1" sqref="G58:H58" xr:uid="{00000000-0002-0000-0C00-000000000000}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5"/>
  <dimension ref="A1:I12"/>
  <sheetViews>
    <sheetView workbookViewId="0">
      <pane ySplit="1" topLeftCell="A2" activePane="bottomLeft" state="frozen"/>
      <selection activeCell="B7" sqref="B7"/>
      <selection pane="bottomLeft" activeCell="C21" sqref="C21"/>
    </sheetView>
  </sheetViews>
  <sheetFormatPr defaultRowHeight="14.5" x14ac:dyDescent="0.35"/>
  <cols>
    <col min="1" max="2" width="23.453125" customWidth="1"/>
    <col min="3" max="3" width="37.7265625" bestFit="1" customWidth="1"/>
    <col min="4" max="6" width="26.81640625" customWidth="1"/>
    <col min="7" max="7" width="21.453125" style="114" customWidth="1"/>
    <col min="8" max="8" width="22.54296875" style="114" customWidth="1"/>
    <col min="9" max="9" width="23.1796875" style="114" customWidth="1"/>
  </cols>
  <sheetData>
    <row r="1" spans="1:9" s="3" customFormat="1" x14ac:dyDescent="0.35">
      <c r="A1" s="3" t="s">
        <v>993</v>
      </c>
      <c r="B1" s="3" t="s">
        <v>994</v>
      </c>
      <c r="C1" s="3" t="s">
        <v>988</v>
      </c>
      <c r="D1" s="3" t="s">
        <v>989</v>
      </c>
      <c r="E1" s="3" t="s">
        <v>990</v>
      </c>
      <c r="F1" s="3" t="s">
        <v>991</v>
      </c>
      <c r="G1" s="53" t="s">
        <v>987</v>
      </c>
      <c r="H1" s="53" t="s">
        <v>1004</v>
      </c>
      <c r="I1" s="53" t="s">
        <v>1010</v>
      </c>
    </row>
    <row r="2" spans="1:9" x14ac:dyDescent="0.35">
      <c r="A2" t="s">
        <v>992</v>
      </c>
      <c r="B2" t="s">
        <v>1012</v>
      </c>
      <c r="C2" t="s">
        <v>1020</v>
      </c>
      <c r="D2" t="s">
        <v>1021</v>
      </c>
      <c r="G2" s="114" t="s">
        <v>1013</v>
      </c>
    </row>
    <row r="3" spans="1:9" x14ac:dyDescent="0.35">
      <c r="A3" t="s">
        <v>817</v>
      </c>
      <c r="B3" t="s">
        <v>1039</v>
      </c>
    </row>
    <row r="4" spans="1:9" x14ac:dyDescent="0.35">
      <c r="A4" t="s">
        <v>983</v>
      </c>
      <c r="B4" t="s">
        <v>995</v>
      </c>
      <c r="C4" t="s">
        <v>996</v>
      </c>
      <c r="D4" t="s">
        <v>997</v>
      </c>
    </row>
    <row r="5" spans="1:9" x14ac:dyDescent="0.35">
      <c r="A5" t="s">
        <v>998</v>
      </c>
      <c r="B5" t="s">
        <v>998</v>
      </c>
      <c r="C5" t="s">
        <v>1002</v>
      </c>
      <c r="D5" t="s">
        <v>1003</v>
      </c>
      <c r="G5" s="114" t="s">
        <v>1008</v>
      </c>
      <c r="H5" s="114" t="s">
        <v>1005</v>
      </c>
    </row>
    <row r="6" spans="1:9" x14ac:dyDescent="0.35">
      <c r="A6" t="s">
        <v>999</v>
      </c>
      <c r="B6" t="s">
        <v>1006</v>
      </c>
      <c r="C6" t="s">
        <v>1000</v>
      </c>
      <c r="D6" t="s">
        <v>1001</v>
      </c>
      <c r="G6" s="114" t="s">
        <v>1009</v>
      </c>
      <c r="H6" s="114" t="s">
        <v>1007</v>
      </c>
      <c r="I6" s="114" t="s">
        <v>1011</v>
      </c>
    </row>
    <row r="7" spans="1:9" x14ac:dyDescent="0.35">
      <c r="A7" t="s">
        <v>1018</v>
      </c>
      <c r="B7" t="s">
        <v>1038</v>
      </c>
    </row>
    <row r="8" spans="1:9" x14ac:dyDescent="0.35">
      <c r="A8" t="s">
        <v>1019</v>
      </c>
      <c r="B8" t="s">
        <v>1040</v>
      </c>
    </row>
    <row r="9" spans="1:9" x14ac:dyDescent="0.35">
      <c r="A9" t="s">
        <v>1022</v>
      </c>
      <c r="B9" t="s">
        <v>1023</v>
      </c>
      <c r="C9" t="s">
        <v>1024</v>
      </c>
      <c r="D9" t="s">
        <v>1025</v>
      </c>
      <c r="E9" t="s">
        <v>1026</v>
      </c>
    </row>
    <row r="10" spans="1:9" x14ac:dyDescent="0.35">
      <c r="A10" t="s">
        <v>1028</v>
      </c>
      <c r="B10" t="s">
        <v>1031</v>
      </c>
      <c r="C10" t="s">
        <v>1029</v>
      </c>
      <c r="D10" t="s">
        <v>1030</v>
      </c>
    </row>
    <row r="11" spans="1:9" x14ac:dyDescent="0.35">
      <c r="A11" t="s">
        <v>1032</v>
      </c>
      <c r="B11" t="s">
        <v>1037</v>
      </c>
      <c r="C11" t="s">
        <v>1036</v>
      </c>
      <c r="D11" t="s">
        <v>1035</v>
      </c>
    </row>
    <row r="12" spans="1:9" x14ac:dyDescent="0.35">
      <c r="A12" t="s">
        <v>1033</v>
      </c>
      <c r="B12" t="s">
        <v>1034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20">
    <pageSetUpPr fitToPage="1"/>
  </sheetPr>
  <dimension ref="A1:AB71"/>
  <sheetViews>
    <sheetView topLeftCell="A4" workbookViewId="0">
      <selection activeCell="I28" sqref="I28:I53"/>
    </sheetView>
  </sheetViews>
  <sheetFormatPr defaultColWidth="9.1796875" defaultRowHeight="14.5" x14ac:dyDescent="0.35"/>
  <cols>
    <col min="1" max="1" width="8.26953125" style="11" customWidth="1"/>
    <col min="2" max="2" width="30.54296875" style="11" customWidth="1"/>
    <col min="3" max="3" width="20.54296875" style="11" customWidth="1"/>
    <col min="4" max="4" width="10.54296875" style="11" customWidth="1"/>
    <col min="5" max="6" width="8.81640625" style="11" customWidth="1"/>
    <col min="7" max="7" width="15.81640625" style="11" customWidth="1"/>
    <col min="8" max="9" width="16.7265625" style="11" customWidth="1"/>
    <col min="10" max="10" width="5.7265625" style="11" customWidth="1"/>
    <col min="11" max="14" width="9.1796875" style="11"/>
    <col min="15" max="17" width="18.1796875" style="251" customWidth="1"/>
    <col min="18" max="18" width="17.453125" style="251" customWidth="1"/>
    <col min="19" max="19" width="18.81640625" style="251" customWidth="1"/>
    <col min="20" max="21" width="18.453125" style="251" customWidth="1"/>
    <col min="22" max="22" width="13.1796875" style="251" customWidth="1"/>
    <col min="23" max="23" width="19.81640625" style="251" customWidth="1"/>
    <col min="24" max="24" width="13.1796875" style="251" customWidth="1"/>
    <col min="25" max="25" width="19.81640625" style="251" customWidth="1"/>
    <col min="26" max="26" width="13.1796875" style="251" customWidth="1"/>
    <col min="27" max="27" width="15.453125" style="251" customWidth="1"/>
    <col min="28" max="28" width="18.453125" style="251" customWidth="1"/>
    <col min="29" max="29" width="10.1796875" style="11" bestFit="1" customWidth="1"/>
    <col min="30" max="31" width="14.1796875" style="11" bestFit="1" customWidth="1"/>
    <col min="32" max="16384" width="9.1796875" style="11"/>
  </cols>
  <sheetData>
    <row r="1" spans="1:11" ht="20" x14ac:dyDescent="0.4">
      <c r="A1" s="9"/>
      <c r="B1" s="10"/>
      <c r="C1" s="10"/>
      <c r="D1" s="10"/>
      <c r="E1" s="788" t="s">
        <v>509</v>
      </c>
      <c r="F1" s="789"/>
      <c r="G1" s="789"/>
      <c r="H1" s="789"/>
      <c r="I1" s="789"/>
      <c r="J1" s="10"/>
      <c r="K1" s="10"/>
    </row>
    <row r="2" spans="1:11" ht="12.75" customHeight="1" x14ac:dyDescent="0.4">
      <c r="A2" s="9"/>
      <c r="B2" s="10" t="s">
        <v>510</v>
      </c>
      <c r="C2" s="10"/>
      <c r="D2" s="10"/>
      <c r="E2" s="12"/>
      <c r="F2" s="13"/>
      <c r="G2" s="13"/>
      <c r="H2" s="13"/>
      <c r="I2" s="13"/>
      <c r="J2" s="10"/>
      <c r="K2" s="10"/>
    </row>
    <row r="3" spans="1:11" ht="12.75" customHeight="1" x14ac:dyDescent="0.35">
      <c r="A3" s="9"/>
      <c r="B3" s="721" t="s">
        <v>511</v>
      </c>
      <c r="C3" s="723"/>
      <c r="D3" s="722"/>
      <c r="E3" s="721" t="s">
        <v>512</v>
      </c>
      <c r="F3" s="723"/>
      <c r="G3" s="723"/>
      <c r="H3" s="723"/>
      <c r="I3" s="722"/>
      <c r="J3" s="790" t="s">
        <v>513</v>
      </c>
      <c r="K3" s="10"/>
    </row>
    <row r="4" spans="1:11" ht="20.5" x14ac:dyDescent="0.35">
      <c r="A4" s="9"/>
      <c r="B4" s="14" t="s">
        <v>514</v>
      </c>
      <c r="C4" s="15"/>
      <c r="D4" s="16"/>
      <c r="E4" s="767"/>
      <c r="F4" s="768"/>
      <c r="G4" s="768"/>
      <c r="H4" s="768"/>
      <c r="I4" s="769"/>
      <c r="J4" s="790"/>
      <c r="K4" s="10"/>
    </row>
    <row r="5" spans="1:11" ht="20.5" x14ac:dyDescent="0.35">
      <c r="A5" s="9"/>
      <c r="B5" s="14" t="s">
        <v>515</v>
      </c>
      <c r="C5" s="15"/>
      <c r="D5" s="16"/>
      <c r="E5" s="793" t="s">
        <v>516</v>
      </c>
      <c r="F5" s="723"/>
      <c r="G5" s="722"/>
      <c r="H5" s="17" t="s">
        <v>517</v>
      </c>
      <c r="I5" s="18"/>
      <c r="J5" s="790"/>
      <c r="K5" s="10"/>
    </row>
    <row r="6" spans="1:11" ht="20.5" x14ac:dyDescent="0.35">
      <c r="A6" s="9"/>
      <c r="B6" s="14" t="s">
        <v>518</v>
      </c>
      <c r="C6" s="15"/>
      <c r="D6" s="16"/>
      <c r="E6" s="19" t="s">
        <v>519</v>
      </c>
      <c r="F6" s="20">
        <v>1</v>
      </c>
      <c r="G6" s="21" t="s">
        <v>520</v>
      </c>
      <c r="H6" s="735"/>
      <c r="I6" s="731"/>
      <c r="J6" s="790"/>
      <c r="K6" s="10"/>
    </row>
    <row r="7" spans="1:11" ht="20.5" x14ac:dyDescent="0.35">
      <c r="A7" s="9"/>
      <c r="B7" s="14" t="s">
        <v>291</v>
      </c>
      <c r="C7" s="15"/>
      <c r="D7" s="16"/>
      <c r="E7" s="721" t="s">
        <v>521</v>
      </c>
      <c r="F7" s="723"/>
      <c r="G7" s="722"/>
      <c r="H7" s="17" t="s">
        <v>522</v>
      </c>
      <c r="I7" s="18"/>
      <c r="J7" s="790"/>
      <c r="K7" s="10"/>
    </row>
    <row r="8" spans="1:11" x14ac:dyDescent="0.35">
      <c r="A8" s="9"/>
      <c r="B8" s="721" t="s">
        <v>523</v>
      </c>
      <c r="C8" s="723"/>
      <c r="D8" s="722"/>
      <c r="E8" s="721" t="s">
        <v>524</v>
      </c>
      <c r="F8" s="723"/>
      <c r="G8" s="723"/>
      <c r="H8" s="723"/>
      <c r="I8" s="722"/>
      <c r="J8" s="790"/>
      <c r="K8" s="10"/>
    </row>
    <row r="9" spans="1:11" ht="20.5" x14ac:dyDescent="0.35">
      <c r="A9" s="9"/>
      <c r="B9" s="155" t="str">
        <f>plModel1!$H$2</f>
        <v>ABU SHAKRA TRADING COMPANY</v>
      </c>
      <c r="C9" s="15"/>
      <c r="D9" s="16"/>
      <c r="E9" s="764"/>
      <c r="F9" s="765"/>
      <c r="G9" s="765"/>
      <c r="H9" s="765"/>
      <c r="I9" s="766"/>
      <c r="J9" s="790"/>
      <c r="K9" s="10"/>
    </row>
    <row r="10" spans="1:11" ht="20.5" x14ac:dyDescent="0.35">
      <c r="A10" s="9"/>
      <c r="B10" s="155">
        <f>plModel1!$H$3</f>
        <v>0</v>
      </c>
      <c r="C10" s="15"/>
      <c r="D10" s="16"/>
      <c r="E10" s="764"/>
      <c r="F10" s="765"/>
      <c r="G10" s="765"/>
      <c r="H10" s="765"/>
      <c r="I10" s="766"/>
      <c r="J10" s="790"/>
      <c r="K10" s="10"/>
    </row>
    <row r="11" spans="1:11" ht="20.5" x14ac:dyDescent="0.35">
      <c r="A11" s="9"/>
      <c r="B11" s="155" t="str">
        <f>plModel1!$H$4</f>
        <v>BAYDER WADI AL SEER</v>
      </c>
      <c r="C11" s="15"/>
      <c r="D11" s="16"/>
      <c r="E11" s="764"/>
      <c r="F11" s="765"/>
      <c r="G11" s="765"/>
      <c r="H11" s="765"/>
      <c r="I11" s="766"/>
      <c r="J11" s="790"/>
      <c r="K11" s="10"/>
    </row>
    <row r="12" spans="1:11" ht="20.5" x14ac:dyDescent="0.35">
      <c r="A12" s="9"/>
      <c r="B12" s="155" t="str">
        <f>plModel1!$H$5</f>
        <v>AL UTHAMAA STREET BLDG NO 40</v>
      </c>
      <c r="C12" s="15"/>
      <c r="D12" s="16"/>
      <c r="E12" s="764"/>
      <c r="F12" s="765"/>
      <c r="G12" s="765"/>
      <c r="H12" s="765"/>
      <c r="I12" s="766"/>
      <c r="J12" s="790"/>
      <c r="K12" s="10"/>
    </row>
    <row r="13" spans="1:11" ht="20.5" x14ac:dyDescent="0.35">
      <c r="A13" s="9"/>
      <c r="B13" s="155" t="str">
        <f>plModel1!$H$6</f>
        <v>P.O.BOX 6971</v>
      </c>
      <c r="C13" s="15"/>
      <c r="D13" s="16"/>
      <c r="E13" s="761" t="s">
        <v>525</v>
      </c>
      <c r="F13" s="762"/>
      <c r="G13" s="762"/>
      <c r="H13" s="762"/>
      <c r="I13" s="797"/>
      <c r="J13" s="790"/>
      <c r="K13" s="10"/>
    </row>
    <row r="14" spans="1:11" x14ac:dyDescent="0.35">
      <c r="A14" s="9"/>
      <c r="B14" s="721" t="s">
        <v>526</v>
      </c>
      <c r="C14" s="723"/>
      <c r="D14" s="722"/>
      <c r="E14" s="794" t="s">
        <v>527</v>
      </c>
      <c r="F14" s="795"/>
      <c r="G14" s="795"/>
      <c r="H14" s="795"/>
      <c r="I14" s="796"/>
      <c r="J14" s="790"/>
      <c r="K14" s="10"/>
    </row>
    <row r="15" spans="1:11" x14ac:dyDescent="0.35">
      <c r="A15" s="9"/>
      <c r="B15" s="764"/>
      <c r="C15" s="765"/>
      <c r="D15" s="766"/>
      <c r="E15" s="798" t="s">
        <v>528</v>
      </c>
      <c r="F15" s="799"/>
      <c r="G15" s="799"/>
      <c r="H15" s="799"/>
      <c r="I15" s="800"/>
      <c r="J15" s="790"/>
      <c r="K15" s="10"/>
    </row>
    <row r="16" spans="1:11" x14ac:dyDescent="0.35">
      <c r="A16" s="9"/>
      <c r="B16" s="764"/>
      <c r="C16" s="765"/>
      <c r="D16" s="766"/>
      <c r="E16" s="798"/>
      <c r="F16" s="799"/>
      <c r="G16" s="799"/>
      <c r="H16" s="799"/>
      <c r="I16" s="800"/>
      <c r="J16" s="790"/>
      <c r="K16" s="10"/>
    </row>
    <row r="17" spans="1:14" x14ac:dyDescent="0.35">
      <c r="A17" s="9"/>
      <c r="B17" s="764"/>
      <c r="C17" s="765"/>
      <c r="D17" s="766"/>
      <c r="E17" s="798"/>
      <c r="F17" s="799"/>
      <c r="G17" s="799"/>
      <c r="H17" s="799"/>
      <c r="I17" s="800"/>
      <c r="J17" s="790"/>
      <c r="K17" s="10"/>
    </row>
    <row r="18" spans="1:14" x14ac:dyDescent="0.35">
      <c r="A18" s="9"/>
      <c r="B18" s="767"/>
      <c r="C18" s="768"/>
      <c r="D18" s="769"/>
      <c r="E18" s="801"/>
      <c r="F18" s="802"/>
      <c r="G18" s="802"/>
      <c r="H18" s="802"/>
      <c r="I18" s="803"/>
      <c r="J18" s="790"/>
      <c r="K18" s="10"/>
    </row>
    <row r="19" spans="1:14" x14ac:dyDescent="0.35">
      <c r="A19" s="773" t="s">
        <v>529</v>
      </c>
      <c r="B19" s="721" t="s">
        <v>530</v>
      </c>
      <c r="C19" s="723"/>
      <c r="D19" s="722"/>
      <c r="E19" s="775" t="s">
        <v>531</v>
      </c>
      <c r="F19" s="776"/>
      <c r="G19" s="776"/>
      <c r="H19" s="776"/>
      <c r="I19" s="777"/>
      <c r="J19" s="790"/>
      <c r="K19" s="10"/>
    </row>
    <row r="20" spans="1:14" x14ac:dyDescent="0.35">
      <c r="A20" s="774"/>
      <c r="B20" s="764"/>
      <c r="C20" s="765"/>
      <c r="D20" s="766"/>
      <c r="E20" s="764"/>
      <c r="F20" s="765"/>
      <c r="G20" s="765"/>
      <c r="H20" s="765"/>
      <c r="I20" s="766"/>
      <c r="J20" s="790"/>
      <c r="K20" s="10"/>
    </row>
    <row r="21" spans="1:14" ht="15.5" x14ac:dyDescent="0.35">
      <c r="A21" s="774"/>
      <c r="B21" s="764"/>
      <c r="C21" s="765"/>
      <c r="D21" s="766"/>
      <c r="E21" s="778" t="s">
        <v>532</v>
      </c>
      <c r="F21" s="779"/>
      <c r="G21" s="779"/>
      <c r="H21" s="779"/>
      <c r="I21" s="780"/>
      <c r="J21" s="790"/>
      <c r="K21" s="10"/>
    </row>
    <row r="22" spans="1:14" ht="15.5" x14ac:dyDescent="0.35">
      <c r="A22" s="774"/>
      <c r="B22" s="767"/>
      <c r="C22" s="768"/>
      <c r="D22" s="769"/>
      <c r="E22" s="764"/>
      <c r="F22" s="765"/>
      <c r="G22" s="765"/>
      <c r="H22" s="765"/>
      <c r="I22" s="766"/>
      <c r="J22" s="790"/>
      <c r="K22" s="10"/>
      <c r="L22" s="154"/>
    </row>
    <row r="23" spans="1:14" ht="12.75" customHeight="1" x14ac:dyDescent="0.35">
      <c r="A23" s="774"/>
      <c r="B23" s="22" t="s">
        <v>533</v>
      </c>
      <c r="C23" s="721" t="s">
        <v>534</v>
      </c>
      <c r="D23" s="722"/>
      <c r="E23" s="764"/>
      <c r="F23" s="765"/>
      <c r="G23" s="765"/>
      <c r="H23" s="765"/>
      <c r="I23" s="766"/>
      <c r="J23" s="790"/>
      <c r="K23" s="10"/>
    </row>
    <row r="24" spans="1:14" x14ac:dyDescent="0.35">
      <c r="A24" s="774"/>
      <c r="B24" s="23"/>
      <c r="C24" s="759"/>
      <c r="D24" s="760"/>
      <c r="E24" s="764"/>
      <c r="F24" s="765"/>
      <c r="G24" s="765"/>
      <c r="H24" s="786" t="s">
        <v>535</v>
      </c>
      <c r="I24" s="787"/>
      <c r="J24" s="790"/>
      <c r="K24" s="10"/>
    </row>
    <row r="25" spans="1:14" x14ac:dyDescent="0.35">
      <c r="A25" s="774"/>
      <c r="B25" s="22" t="s">
        <v>536</v>
      </c>
      <c r="C25" s="721" t="s">
        <v>537</v>
      </c>
      <c r="D25" s="722"/>
      <c r="E25" s="770" t="s">
        <v>538</v>
      </c>
      <c r="F25" s="771"/>
      <c r="G25" s="771"/>
      <c r="H25" s="771"/>
      <c r="I25" s="772"/>
      <c r="J25" s="790"/>
      <c r="K25" s="10"/>
    </row>
    <row r="26" spans="1:14" ht="20.25" customHeight="1" x14ac:dyDescent="0.35">
      <c r="A26" s="774"/>
      <c r="B26" s="23"/>
      <c r="C26" s="759"/>
      <c r="D26" s="760"/>
      <c r="E26" s="761" t="s">
        <v>539</v>
      </c>
      <c r="F26" s="762"/>
      <c r="G26" s="24" t="s">
        <v>540</v>
      </c>
      <c r="H26" s="24" t="s">
        <v>541</v>
      </c>
      <c r="I26" s="21" t="s">
        <v>542</v>
      </c>
      <c r="J26" s="790"/>
      <c r="K26" s="10"/>
    </row>
    <row r="27" spans="1:14" ht="12.75" customHeight="1" x14ac:dyDescent="0.35">
      <c r="A27" s="774"/>
      <c r="B27" s="25" t="s">
        <v>543</v>
      </c>
      <c r="C27" s="763" t="s">
        <v>544</v>
      </c>
      <c r="D27" s="763"/>
      <c r="E27" s="763"/>
      <c r="F27" s="763"/>
      <c r="G27" s="26" t="s">
        <v>545</v>
      </c>
      <c r="H27" s="26" t="s">
        <v>546</v>
      </c>
      <c r="I27" s="27" t="s">
        <v>547</v>
      </c>
      <c r="J27" s="790"/>
      <c r="K27" s="10"/>
    </row>
    <row r="28" spans="1:14" x14ac:dyDescent="0.35">
      <c r="A28" s="774"/>
      <c r="B28" s="28"/>
      <c r="C28" s="29"/>
      <c r="D28" s="29"/>
      <c r="E28" s="29"/>
      <c r="F28" s="30"/>
      <c r="G28" s="247"/>
      <c r="H28" s="247"/>
      <c r="I28" s="31"/>
      <c r="J28" s="790"/>
      <c r="K28" s="10"/>
    </row>
    <row r="29" spans="1:14" ht="15.5" x14ac:dyDescent="0.35">
      <c r="A29" s="774"/>
      <c r="B29" s="154" t="s">
        <v>1189</v>
      </c>
      <c r="C29" s="33"/>
      <c r="D29" s="33"/>
      <c r="E29" s="33"/>
      <c r="F29" s="34"/>
      <c r="G29" s="246"/>
      <c r="H29" s="246"/>
      <c r="I29" s="35"/>
      <c r="J29" s="790"/>
      <c r="K29" s="10"/>
    </row>
    <row r="30" spans="1:14" ht="15.5" x14ac:dyDescent="0.35">
      <c r="A30" s="774"/>
      <c r="B30" s="69" t="s">
        <v>1190</v>
      </c>
      <c r="C30" s="33"/>
      <c r="D30" s="33"/>
      <c r="E30" s="33"/>
      <c r="F30" s="34"/>
      <c r="G30" s="246"/>
      <c r="H30" s="246"/>
      <c r="I30" s="35"/>
      <c r="J30" s="790"/>
      <c r="K30" s="10"/>
    </row>
    <row r="31" spans="1:14" ht="15.5" x14ac:dyDescent="0.35">
      <c r="A31" s="774"/>
      <c r="B31" s="69" t="str">
        <f t="array" aca="1" ref="B31" ca="1">CONCATENATE(SUM(SUMIF(plModel1!$A$11:$A$54, cartoni_profumi, plModel1!$J$11:$J$54)), " FIBREBOARD BOXES")</f>
        <v>0 FIBREBOARD BOXES</v>
      </c>
      <c r="C31" s="33"/>
      <c r="D31" s="33"/>
      <c r="E31" s="33"/>
      <c r="F31" s="34"/>
      <c r="G31" s="246"/>
      <c r="H31" s="246"/>
      <c r="I31" s="35"/>
      <c r="J31" s="790"/>
      <c r="K31" s="10"/>
      <c r="N31" s="250"/>
    </row>
    <row r="32" spans="1:14" ht="15.5" x14ac:dyDescent="0.35">
      <c r="A32" s="774"/>
      <c r="B32" s="69" t="str">
        <f t="array" aca="1" ref="B32" ca="1">CONCATENATE(SUM(SUMIF(plModel1!$A$11:$A$54, bt_profumi100, plModel1!$G$11:$G$54)), " GLASS BOTTLES BY 100ML")</f>
        <v>0 GLASS BOTTLES BY 100ML</v>
      </c>
      <c r="C32" s="33"/>
      <c r="D32" s="33"/>
      <c r="E32" s="33"/>
      <c r="F32" s="34"/>
      <c r="G32" s="246">
        <f t="array" aca="1" ref="G32" ca="1">SUM(SUMIF(plModel1!$A$11:$A$54, bt_profumi100, plModel1!$H$11:$H$54) * pesi_profumi100)</f>
        <v>0</v>
      </c>
      <c r="H32" s="246">
        <f t="array" aca="1" ref="H32" ca="1">SUM(SUMIF(plModel1!$A$11:$A$54, bt_profumi100, plModel1!$I$11:$I$54) * pesi_profumi100)</f>
        <v>0</v>
      </c>
      <c r="I32" s="72">
        <v>2.6</v>
      </c>
      <c r="J32" s="790"/>
      <c r="K32" s="10"/>
    </row>
    <row r="33" spans="1:11" ht="15.5" x14ac:dyDescent="0.35">
      <c r="A33" s="774"/>
      <c r="B33" s="69"/>
      <c r="C33" s="33"/>
      <c r="D33" s="33"/>
      <c r="E33" s="33"/>
      <c r="F33" s="34"/>
      <c r="G33" s="246"/>
      <c r="H33" s="246"/>
      <c r="I33" s="72"/>
      <c r="J33" s="790"/>
      <c r="K33" s="10"/>
    </row>
    <row r="34" spans="1:11" ht="15.5" x14ac:dyDescent="0.35">
      <c r="A34" s="774"/>
      <c r="B34" s="70" t="s">
        <v>1116</v>
      </c>
      <c r="C34" s="33"/>
      <c r="D34" s="33"/>
      <c r="E34" s="33"/>
      <c r="F34" s="34"/>
      <c r="G34" s="246"/>
      <c r="H34" s="246"/>
      <c r="I34" s="72"/>
      <c r="J34" s="790"/>
      <c r="K34" s="10"/>
    </row>
    <row r="35" spans="1:11" ht="15.5" x14ac:dyDescent="0.35">
      <c r="A35" s="774"/>
      <c r="B35" s="70"/>
      <c r="C35" s="33"/>
      <c r="D35" s="33"/>
      <c r="E35" s="33"/>
      <c r="F35" s="34"/>
      <c r="G35" s="246"/>
      <c r="H35" s="246"/>
      <c r="I35" s="72"/>
      <c r="J35" s="790"/>
      <c r="K35" s="10"/>
    </row>
    <row r="36" spans="1:11" ht="15.5" x14ac:dyDescent="0.35">
      <c r="A36" s="774"/>
      <c r="B36" s="70"/>
      <c r="C36" s="33"/>
      <c r="D36" s="33"/>
      <c r="E36" s="33"/>
      <c r="F36" s="34"/>
      <c r="G36" s="246"/>
      <c r="H36" s="246"/>
      <c r="I36" s="72"/>
      <c r="J36" s="790"/>
      <c r="K36" s="10"/>
    </row>
    <row r="37" spans="1:11" ht="15.5" x14ac:dyDescent="0.35">
      <c r="A37" s="774"/>
      <c r="B37" s="70"/>
      <c r="C37" s="33"/>
      <c r="D37" s="33"/>
      <c r="E37" s="33"/>
      <c r="F37" s="34"/>
      <c r="G37" s="246"/>
      <c r="H37" s="246"/>
      <c r="I37" s="72"/>
      <c r="J37" s="790"/>
      <c r="K37" s="10"/>
    </row>
    <row r="38" spans="1:11" ht="15.5" x14ac:dyDescent="0.35">
      <c r="A38" s="774"/>
      <c r="B38" s="70"/>
      <c r="C38" s="33"/>
      <c r="D38" s="33"/>
      <c r="E38" s="33"/>
      <c r="F38" s="34"/>
      <c r="G38" s="246"/>
      <c r="H38" s="246"/>
      <c r="I38" s="72"/>
      <c r="J38" s="790"/>
      <c r="K38" s="10"/>
    </row>
    <row r="39" spans="1:11" ht="15.5" x14ac:dyDescent="0.35">
      <c r="A39" s="774"/>
      <c r="B39" s="71"/>
      <c r="C39" s="37"/>
      <c r="D39" s="37"/>
      <c r="E39" s="37"/>
      <c r="F39" s="38"/>
      <c r="G39" s="246"/>
      <c r="H39" s="246"/>
      <c r="I39" s="72"/>
      <c r="J39" s="790"/>
      <c r="K39" s="10"/>
    </row>
    <row r="40" spans="1:11" ht="15.5" x14ac:dyDescent="0.35">
      <c r="A40" s="774"/>
      <c r="B40" s="70"/>
      <c r="C40" s="33"/>
      <c r="D40" s="33"/>
      <c r="E40" s="33"/>
      <c r="F40" s="34"/>
      <c r="G40" s="246"/>
      <c r="H40" s="246"/>
      <c r="I40" s="72"/>
      <c r="J40" s="790"/>
      <c r="K40" s="10"/>
    </row>
    <row r="41" spans="1:11" ht="15.5" x14ac:dyDescent="0.35">
      <c r="A41" s="774"/>
      <c r="B41" s="70"/>
      <c r="C41" s="33"/>
      <c r="D41" s="33"/>
      <c r="E41" s="33"/>
      <c r="F41" s="34"/>
      <c r="G41" s="246"/>
      <c r="H41" s="246"/>
      <c r="I41" s="72"/>
      <c r="J41" s="790"/>
      <c r="K41" s="10"/>
    </row>
    <row r="42" spans="1:11" ht="15.5" x14ac:dyDescent="0.35">
      <c r="A42" s="774"/>
      <c r="B42" s="70"/>
      <c r="C42" s="33"/>
      <c r="D42" s="33"/>
      <c r="E42" s="33"/>
      <c r="F42" s="34"/>
      <c r="G42" s="246"/>
      <c r="H42" s="246"/>
      <c r="I42" s="72"/>
      <c r="J42" s="790"/>
      <c r="K42" s="10"/>
    </row>
    <row r="43" spans="1:11" ht="15.5" x14ac:dyDescent="0.35">
      <c r="A43" s="774"/>
      <c r="B43" s="70"/>
      <c r="C43" s="33"/>
      <c r="D43" s="33"/>
      <c r="E43" s="33"/>
      <c r="F43" s="34"/>
      <c r="G43" s="246"/>
      <c r="H43" s="246"/>
      <c r="I43" s="72"/>
      <c r="J43" s="790"/>
      <c r="K43" s="10"/>
    </row>
    <row r="44" spans="1:11" ht="15.5" x14ac:dyDescent="0.35">
      <c r="A44" s="774"/>
      <c r="B44" s="70"/>
      <c r="C44" s="33"/>
      <c r="D44" s="33"/>
      <c r="E44" s="33"/>
      <c r="F44" s="34"/>
      <c r="G44" s="246"/>
      <c r="H44" s="246"/>
      <c r="I44" s="72"/>
      <c r="J44" s="790"/>
      <c r="K44" s="10"/>
    </row>
    <row r="45" spans="1:11" ht="15.5" x14ac:dyDescent="0.35">
      <c r="A45" s="774"/>
      <c r="B45" s="70"/>
      <c r="C45" s="33"/>
      <c r="D45" s="33"/>
      <c r="E45" s="33"/>
      <c r="F45" s="34"/>
      <c r="G45" s="246"/>
      <c r="H45" s="246"/>
      <c r="I45" s="72"/>
      <c r="J45" s="790"/>
      <c r="K45" s="10"/>
    </row>
    <row r="46" spans="1:11" ht="15.5" x14ac:dyDescent="0.35">
      <c r="A46" s="774"/>
      <c r="B46" s="70"/>
      <c r="C46" s="37"/>
      <c r="D46" s="37"/>
      <c r="E46" s="37"/>
      <c r="F46" s="38"/>
      <c r="G46" s="246"/>
      <c r="H46" s="246"/>
      <c r="I46" s="72"/>
      <c r="J46" s="790"/>
      <c r="K46" s="10"/>
    </row>
    <row r="47" spans="1:11" ht="15.5" x14ac:dyDescent="0.35">
      <c r="A47" s="774"/>
      <c r="B47" s="71"/>
      <c r="C47" s="37"/>
      <c r="D47" s="37"/>
      <c r="E47" s="37"/>
      <c r="F47" s="38"/>
      <c r="G47" s="246"/>
      <c r="H47" s="246"/>
      <c r="I47" s="35"/>
      <c r="J47" s="790"/>
      <c r="K47" s="10"/>
    </row>
    <row r="48" spans="1:11" ht="15.5" x14ac:dyDescent="0.35">
      <c r="A48" s="774"/>
      <c r="B48" s="71"/>
      <c r="C48" s="37"/>
      <c r="D48" s="37"/>
      <c r="E48" s="37"/>
      <c r="F48" s="38"/>
      <c r="G48" s="246"/>
      <c r="H48" s="246"/>
      <c r="I48" s="35"/>
      <c r="J48" s="790"/>
      <c r="K48" s="10"/>
    </row>
    <row r="49" spans="1:15" ht="15.5" x14ac:dyDescent="0.35">
      <c r="A49" s="774"/>
      <c r="B49" s="71"/>
      <c r="C49" s="37"/>
      <c r="D49" s="37"/>
      <c r="E49" s="37"/>
      <c r="F49" s="38"/>
      <c r="G49" s="246"/>
      <c r="H49" s="246"/>
      <c r="I49" s="35"/>
      <c r="J49" s="790"/>
      <c r="K49" s="10"/>
    </row>
    <row r="50" spans="1:15" ht="15.5" x14ac:dyDescent="0.35">
      <c r="A50" s="774"/>
      <c r="B50" s="36"/>
      <c r="C50" s="37"/>
      <c r="D50" s="37"/>
      <c r="E50" s="37"/>
      <c r="F50" s="38"/>
      <c r="G50" s="246"/>
      <c r="H50" s="246"/>
      <c r="I50" s="35"/>
      <c r="J50" s="790"/>
      <c r="K50" s="10"/>
    </row>
    <row r="51" spans="1:15" ht="15.5" x14ac:dyDescent="0.35">
      <c r="A51" s="774"/>
      <c r="B51" s="36"/>
      <c r="C51" s="37"/>
      <c r="D51" s="37"/>
      <c r="E51" s="37"/>
      <c r="F51" s="38"/>
      <c r="G51" s="246"/>
      <c r="H51" s="246"/>
      <c r="I51" s="35"/>
      <c r="J51" s="790"/>
      <c r="K51" s="10"/>
    </row>
    <row r="52" spans="1:15" ht="15.5" x14ac:dyDescent="0.35">
      <c r="A52" s="774"/>
      <c r="B52" s="32"/>
      <c r="C52" s="33"/>
      <c r="D52" s="33"/>
      <c r="E52" s="33"/>
      <c r="F52" s="34"/>
      <c r="G52" s="246"/>
      <c r="H52" s="246"/>
      <c r="I52" s="35"/>
      <c r="J52" s="790"/>
      <c r="K52" s="10"/>
    </row>
    <row r="53" spans="1:15" ht="15.5" x14ac:dyDescent="0.35">
      <c r="A53" s="774"/>
      <c r="B53" s="32"/>
      <c r="C53" s="33"/>
      <c r="D53" s="33"/>
      <c r="E53" s="33"/>
      <c r="F53" s="34"/>
      <c r="G53" s="246"/>
      <c r="H53" s="248"/>
      <c r="I53" s="35"/>
      <c r="J53" s="790"/>
      <c r="K53" s="10"/>
    </row>
    <row r="54" spans="1:15" x14ac:dyDescent="0.35">
      <c r="A54" s="774"/>
      <c r="B54" s="39"/>
      <c r="C54" s="40"/>
      <c r="D54" s="40"/>
      <c r="E54" s="40"/>
      <c r="F54" s="41"/>
      <c r="G54" s="22" t="s">
        <v>1133</v>
      </c>
      <c r="H54" s="22" t="s">
        <v>548</v>
      </c>
      <c r="I54" s="22" t="s">
        <v>549</v>
      </c>
      <c r="J54" s="790"/>
      <c r="K54" s="10"/>
    </row>
    <row r="55" spans="1:15" ht="15.5" x14ac:dyDescent="0.35">
      <c r="A55" s="774"/>
      <c r="B55" s="42"/>
      <c r="C55" s="43"/>
      <c r="D55" s="43"/>
      <c r="E55" s="43"/>
      <c r="F55" s="44"/>
      <c r="G55" s="249">
        <f ca="1">SUM(G28:G53)</f>
        <v>0</v>
      </c>
      <c r="H55" s="249">
        <f ca="1">SUM(H28:H53)</f>
        <v>0</v>
      </c>
      <c r="I55" s="73">
        <f>SUM(I29:I54)</f>
        <v>2.6</v>
      </c>
      <c r="J55" s="790"/>
      <c r="K55" s="10"/>
    </row>
    <row r="56" spans="1:15" x14ac:dyDescent="0.35">
      <c r="A56" s="774"/>
      <c r="B56" s="22" t="s">
        <v>550</v>
      </c>
      <c r="C56" s="721" t="s">
        <v>551</v>
      </c>
      <c r="D56" s="722"/>
      <c r="E56" s="721" t="s">
        <v>552</v>
      </c>
      <c r="F56" s="723"/>
      <c r="G56" s="722"/>
      <c r="H56" s="17" t="s">
        <v>553</v>
      </c>
      <c r="I56" s="22" t="s">
        <v>554</v>
      </c>
      <c r="J56" s="790"/>
      <c r="K56" s="10"/>
    </row>
    <row r="57" spans="1:15" x14ac:dyDescent="0.35">
      <c r="A57" s="774"/>
      <c r="B57" s="45" t="s">
        <v>555</v>
      </c>
      <c r="C57" s="739"/>
      <c r="D57" s="740"/>
      <c r="E57" s="739"/>
      <c r="F57" s="741"/>
      <c r="G57" s="740"/>
      <c r="H57" s="46"/>
      <c r="I57" s="47" t="s">
        <v>556</v>
      </c>
      <c r="J57" s="790"/>
      <c r="K57" s="10"/>
    </row>
    <row r="58" spans="1:15" ht="15.5" x14ac:dyDescent="0.35">
      <c r="A58" s="774"/>
      <c r="B58" s="48"/>
      <c r="C58" s="781"/>
      <c r="D58" s="782"/>
      <c r="E58" s="783"/>
      <c r="F58" s="784"/>
      <c r="G58" s="785"/>
      <c r="H58" s="46"/>
      <c r="I58" s="46"/>
      <c r="J58" s="790"/>
      <c r="K58" s="10"/>
    </row>
    <row r="59" spans="1:15" ht="12" customHeight="1" x14ac:dyDescent="0.35">
      <c r="A59" s="774"/>
      <c r="B59" s="49"/>
      <c r="C59" s="743"/>
      <c r="D59" s="744"/>
      <c r="E59" s="743"/>
      <c r="F59" s="745"/>
      <c r="G59" s="744"/>
      <c r="H59" s="50"/>
      <c r="I59" s="50"/>
      <c r="J59" s="790"/>
      <c r="K59" s="10"/>
    </row>
    <row r="60" spans="1:15" ht="13.5" customHeight="1" x14ac:dyDescent="0.35">
      <c r="A60" s="51"/>
      <c r="B60" s="746" t="s">
        <v>557</v>
      </c>
      <c r="C60" s="747"/>
      <c r="D60" s="748" t="s">
        <v>558</v>
      </c>
      <c r="E60" s="749"/>
      <c r="F60" s="749"/>
      <c r="G60" s="749"/>
      <c r="H60" s="749"/>
      <c r="I60" s="750"/>
      <c r="J60" s="791"/>
      <c r="K60" s="10"/>
    </row>
    <row r="61" spans="1:15" ht="25.5" customHeight="1" x14ac:dyDescent="0.35">
      <c r="A61" s="9"/>
      <c r="B61" s="751" t="s">
        <v>559</v>
      </c>
      <c r="C61" s="752"/>
      <c r="D61" s="751" t="s">
        <v>560</v>
      </c>
      <c r="E61" s="753"/>
      <c r="F61" s="753"/>
      <c r="G61" s="753"/>
      <c r="H61" s="753"/>
      <c r="I61" s="752"/>
      <c r="J61" s="791"/>
      <c r="K61" s="10"/>
    </row>
    <row r="62" spans="1:15" ht="34.5" customHeight="1" x14ac:dyDescent="0.45">
      <c r="A62" s="9"/>
      <c r="B62" s="754" t="s">
        <v>561</v>
      </c>
      <c r="C62" s="755"/>
      <c r="D62" s="756"/>
      <c r="E62" s="757"/>
      <c r="F62" s="757"/>
      <c r="G62" s="757"/>
      <c r="H62" s="757"/>
      <c r="I62" s="758"/>
      <c r="J62" s="791"/>
      <c r="K62" s="10"/>
    </row>
    <row r="63" spans="1:15" x14ac:dyDescent="0.35">
      <c r="A63" s="9"/>
      <c r="B63" s="721" t="s">
        <v>562</v>
      </c>
      <c r="C63" s="722"/>
      <c r="D63" s="721" t="s">
        <v>563</v>
      </c>
      <c r="E63" s="723"/>
      <c r="F63" s="722"/>
      <c r="G63" s="721" t="s">
        <v>564</v>
      </c>
      <c r="H63" s="723"/>
      <c r="I63" s="722"/>
      <c r="J63" s="792"/>
      <c r="K63" s="10"/>
      <c r="O63" s="253"/>
    </row>
    <row r="64" spans="1:15" ht="15.5" x14ac:dyDescent="0.35">
      <c r="A64" s="9"/>
      <c r="B64" s="730" t="s">
        <v>514</v>
      </c>
      <c r="C64" s="731"/>
      <c r="D64" s="742"/>
      <c r="E64" s="733"/>
      <c r="F64" s="734"/>
      <c r="G64" s="730" t="s">
        <v>565</v>
      </c>
      <c r="H64" s="735"/>
      <c r="I64" s="731"/>
      <c r="J64" s="792"/>
      <c r="K64" s="10"/>
      <c r="O64" s="253"/>
    </row>
    <row r="65" spans="1:15" x14ac:dyDescent="0.35">
      <c r="A65" s="9"/>
      <c r="B65" s="721" t="s">
        <v>566</v>
      </c>
      <c r="C65" s="722"/>
      <c r="D65" s="721" t="s">
        <v>567</v>
      </c>
      <c r="E65" s="723"/>
      <c r="F65" s="722"/>
      <c r="G65" s="721" t="s">
        <v>566</v>
      </c>
      <c r="H65" s="723"/>
      <c r="I65" s="722"/>
      <c r="J65" s="792"/>
      <c r="K65" s="10"/>
      <c r="O65" s="253"/>
    </row>
    <row r="66" spans="1:15" ht="15.5" x14ac:dyDescent="0.35">
      <c r="A66" s="9"/>
      <c r="B66" s="730" t="s">
        <v>568</v>
      </c>
      <c r="C66" s="731"/>
      <c r="D66" s="736"/>
      <c r="E66" s="737"/>
      <c r="F66" s="738"/>
      <c r="G66" s="730" t="s">
        <v>568</v>
      </c>
      <c r="H66" s="735"/>
      <c r="I66" s="731"/>
      <c r="J66" s="792"/>
      <c r="K66" s="10"/>
      <c r="O66" s="253"/>
    </row>
    <row r="67" spans="1:15" x14ac:dyDescent="0.35">
      <c r="A67" s="9"/>
      <c r="B67" s="721" t="s">
        <v>569</v>
      </c>
      <c r="C67" s="722"/>
      <c r="D67" s="721" t="s">
        <v>570</v>
      </c>
      <c r="E67" s="723"/>
      <c r="F67" s="722"/>
      <c r="G67" s="721" t="s">
        <v>569</v>
      </c>
      <c r="H67" s="723"/>
      <c r="I67" s="722"/>
      <c r="J67" s="792"/>
      <c r="K67" s="10"/>
      <c r="O67" s="253"/>
    </row>
    <row r="68" spans="1:15" ht="15.5" x14ac:dyDescent="0.35">
      <c r="A68" s="9"/>
      <c r="B68" s="730" t="str">
        <f>CONCATENATE("VENTIMIGLIA ","15/07/2024")</f>
        <v>VENTIMIGLIA 15/07/2024</v>
      </c>
      <c r="C68" s="731"/>
      <c r="D68" s="732"/>
      <c r="E68" s="733"/>
      <c r="F68" s="734"/>
      <c r="G68" s="730" t="str">
        <f>CONCATENATE("VENTIMIGLIA ","15/07/2024")</f>
        <v>VENTIMIGLIA 15/07/2024</v>
      </c>
      <c r="H68" s="735"/>
      <c r="I68" s="731"/>
      <c r="J68" s="792"/>
      <c r="K68" s="10"/>
      <c r="O68" s="253"/>
    </row>
    <row r="69" spans="1:15" x14ac:dyDescent="0.35">
      <c r="A69" s="9"/>
      <c r="B69" s="721" t="s">
        <v>571</v>
      </c>
      <c r="C69" s="722"/>
      <c r="D69" s="721" t="s">
        <v>572</v>
      </c>
      <c r="E69" s="723"/>
      <c r="F69" s="722"/>
      <c r="G69" s="721" t="s">
        <v>571</v>
      </c>
      <c r="H69" s="723"/>
      <c r="I69" s="722"/>
      <c r="J69" s="792"/>
      <c r="O69" s="253"/>
    </row>
    <row r="70" spans="1:15" ht="20.5" x14ac:dyDescent="0.35">
      <c r="A70" s="9"/>
      <c r="B70" s="724"/>
      <c r="C70" s="725"/>
      <c r="D70" s="724"/>
      <c r="E70" s="726"/>
      <c r="F70" s="725"/>
      <c r="G70" s="727"/>
      <c r="H70" s="728"/>
      <c r="I70" s="729"/>
      <c r="J70" s="792"/>
    </row>
    <row r="71" spans="1:15" ht="20.5" x14ac:dyDescent="0.35">
      <c r="A71" s="9"/>
      <c r="B71" s="715"/>
      <c r="C71" s="716"/>
      <c r="D71" s="715"/>
      <c r="E71" s="717"/>
      <c r="F71" s="716"/>
      <c r="G71" s="718"/>
      <c r="H71" s="719"/>
      <c r="I71" s="720"/>
      <c r="J71" s="792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conditionalFormatting sqref="B9:B13">
    <cfRule type="cellIs" dxfId="27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4</xdr:col>
                    <xdr:colOff>0</xdr:colOff>
                    <xdr:row>11</xdr:row>
                    <xdr:rowOff>127000</xdr:rowOff>
                  </from>
                  <to>
                    <xdr:col>5</xdr:col>
                    <xdr:colOff>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273050</xdr:colOff>
                    <xdr:row>22</xdr:row>
                    <xdr:rowOff>88900</xdr:rowOff>
                  </from>
                  <to>
                    <xdr:col>7</xdr:col>
                    <xdr:colOff>495300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234950</xdr:colOff>
                    <xdr:row>25</xdr:row>
                    <xdr:rowOff>38100</xdr:rowOff>
                  </from>
                  <to>
                    <xdr:col>5</xdr:col>
                    <xdr:colOff>355600</xdr:colOff>
                    <xdr:row>25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469900</xdr:colOff>
                    <xdr:row>25</xdr:row>
                    <xdr:rowOff>6350</xdr:rowOff>
                  </from>
                  <to>
                    <xdr:col>6</xdr:col>
                    <xdr:colOff>698500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590550</xdr:colOff>
                    <xdr:row>25</xdr:row>
                    <xdr:rowOff>12700</xdr:rowOff>
                  </from>
                  <to>
                    <xdr:col>8</xdr:col>
                    <xdr:colOff>50800</xdr:colOff>
                    <xdr:row>25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488950</xdr:colOff>
                    <xdr:row>25</xdr:row>
                    <xdr:rowOff>6350</xdr:rowOff>
                  </from>
                  <to>
                    <xdr:col>9</xdr:col>
                    <xdr:colOff>12700</xdr:colOff>
                    <xdr:row>25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2"/>
  <dimension ref="A1:ZZ250"/>
  <sheetViews>
    <sheetView tabSelected="1" topLeftCell="C1" zoomScaleNormal="100" workbookViewId="0">
      <selection activeCell="D9" sqref="D9"/>
    </sheetView>
  </sheetViews>
  <sheetFormatPr defaultColWidth="9.1796875" defaultRowHeight="14.5" x14ac:dyDescent="0.35"/>
  <cols>
    <col min="1" max="1" width="24.54296875" style="78" hidden="1" customWidth="1"/>
    <col min="2" max="2" width="20.7265625" style="74" hidden="1" customWidth="1"/>
    <col min="3" max="3" width="3.453125" style="245" customWidth="1"/>
    <col min="4" max="4" width="25.54296875" style="245" customWidth="1"/>
    <col min="5" max="5" width="3.26953125" style="245" customWidth="1"/>
    <col min="6" max="6" width="2.54296875" style="245" customWidth="1"/>
    <col min="7" max="7" width="20.7265625" style="245" customWidth="1"/>
    <col min="8" max="8" width="4" style="245" customWidth="1"/>
    <col min="9" max="9" width="20.7265625" style="245" customWidth="1"/>
    <col min="10" max="10" width="2.54296875" style="245" customWidth="1"/>
    <col min="11" max="11" width="1.81640625" style="245" customWidth="1"/>
    <col min="12" max="12" width="31.7265625" style="245" customWidth="1"/>
    <col min="13" max="13" width="10.81640625" style="348" customWidth="1"/>
    <col min="14" max="14" width="13.1796875" style="245" customWidth="1"/>
    <col min="15" max="15" width="14.26953125" style="245" customWidth="1"/>
    <col min="16" max="16" width="13.81640625" style="245" customWidth="1"/>
    <col min="17" max="17" width="12.7265625" style="245" customWidth="1"/>
    <col min="18" max="19" width="13.81640625" style="245" customWidth="1"/>
    <col min="20" max="20" width="15.54296875" style="245" customWidth="1"/>
    <col min="21" max="21" width="15.81640625" style="245" customWidth="1"/>
    <col min="22" max="22" width="21.453125" style="245" customWidth="1"/>
    <col min="23" max="23" width="3.54296875" style="245" customWidth="1"/>
    <col min="24" max="24" width="24.54296875" style="245" customWidth="1"/>
    <col min="25" max="39" width="8.7265625" style="245" customWidth="1"/>
    <col min="40" max="40" width="2.54296875" style="245" customWidth="1"/>
    <col min="41" max="41" width="25.54296875" style="245" customWidth="1"/>
    <col min="42" max="42" width="3.1796875" style="245" customWidth="1"/>
    <col min="43" max="43" width="21" style="245" customWidth="1"/>
    <col min="44" max="44" width="13.7265625" style="245" customWidth="1"/>
    <col min="45" max="45" width="16.54296875" style="245" customWidth="1"/>
    <col min="46" max="46" width="14.453125" style="245" customWidth="1"/>
    <col min="47" max="49" width="2.1796875" style="245" customWidth="1"/>
    <col min="50" max="50" width="22.26953125" style="245" customWidth="1"/>
    <col min="51" max="51" width="5.81640625" style="245" customWidth="1"/>
    <col min="52" max="52" width="12.54296875" style="245" customWidth="1"/>
    <col min="53" max="53" width="8.54296875" style="245" customWidth="1"/>
    <col min="54" max="54" width="10.1796875" style="245" customWidth="1"/>
    <col min="55" max="57" width="2.1796875" style="245" customWidth="1"/>
    <col min="58" max="58" width="15.81640625" style="245" customWidth="1"/>
    <col min="59" max="59" width="9.7265625" style="348" customWidth="1"/>
    <col min="60" max="60" width="23.1796875" style="245" customWidth="1"/>
    <col min="61" max="61" width="37.1796875" style="245" customWidth="1"/>
    <col min="62" max="62" width="2.453125" style="245" customWidth="1"/>
    <col min="63" max="63" width="11.54296875" style="353" customWidth="1"/>
    <col min="64" max="64" width="11.54296875" style="354" customWidth="1"/>
    <col min="65" max="65" width="11.54296875" style="355" customWidth="1"/>
    <col min="66" max="66" width="11.54296875" style="354" customWidth="1"/>
    <col min="67" max="67" width="13.1796875" style="355" customWidth="1"/>
    <col min="68" max="68" width="14.26953125" style="245" customWidth="1"/>
    <col min="69" max="71" width="50.54296875" style="245" customWidth="1"/>
    <col min="72" max="73" width="8.7265625" style="245" customWidth="1"/>
    <col min="74" max="75" width="2.54296875" style="245" customWidth="1"/>
    <col min="76" max="76" width="24.81640625" style="245" customWidth="1"/>
    <col min="77" max="77" width="2.54296875" style="245" customWidth="1"/>
    <col min="78" max="78" width="10.26953125" style="245" customWidth="1"/>
    <col min="79" max="79" width="56.26953125" style="245" customWidth="1"/>
    <col min="80" max="81" width="10.453125" style="245" customWidth="1"/>
    <col min="82" max="82" width="10.81640625" style="356" customWidth="1"/>
    <col min="83" max="83" width="10.81640625" style="245" customWidth="1"/>
    <col min="84" max="84" width="9.7265625" style="245" customWidth="1"/>
    <col min="85" max="86" width="8.81640625" style="332" customWidth="1"/>
    <col min="87" max="87" width="6.7265625" style="332" customWidth="1"/>
    <col min="88" max="88" width="10.26953125" style="357" customWidth="1"/>
    <col min="89" max="89" width="11.81640625" style="357" customWidth="1"/>
    <col min="90" max="90" width="8.81640625" style="357" customWidth="1"/>
    <col min="91" max="91" width="11.54296875" style="357" customWidth="1"/>
    <col min="92" max="93" width="8.81640625" style="358" customWidth="1"/>
    <col min="94" max="94" width="15.26953125" style="358" customWidth="1"/>
    <col min="95" max="95" width="11.1796875" style="245" customWidth="1"/>
    <col min="96" max="96" width="12.1796875" style="245" customWidth="1"/>
    <col min="97" max="97" width="13.26953125" style="245" customWidth="1"/>
    <col min="98" max="98" width="11" style="567" customWidth="1"/>
    <col min="99" max="99" width="1.7265625" style="245" customWidth="1"/>
    <col min="100" max="100" width="2.1796875" style="245" customWidth="1"/>
    <col min="101" max="101" width="13.7265625" style="245" customWidth="1"/>
    <col min="102" max="102" width="11.81640625" style="245" customWidth="1"/>
    <col min="103" max="103" width="10.81640625" style="245" customWidth="1"/>
    <col min="104" max="104" width="12.54296875" style="245" customWidth="1"/>
    <col min="105" max="105" width="2.54296875" style="350" customWidth="1"/>
    <col min="106" max="111" width="15.54296875" style="245" customWidth="1"/>
    <col min="112" max="112" width="15.54296875" style="341" customWidth="1"/>
    <col min="113" max="120" width="15.54296875" style="245" customWidth="1"/>
    <col min="121" max="131" width="8.7265625" style="245" customWidth="1"/>
    <col min="132" max="132" width="2.7265625" style="245" customWidth="1"/>
    <col min="133" max="133" width="25.7265625" style="245" customWidth="1"/>
    <col min="134" max="134" width="2.7265625" style="245" customWidth="1"/>
    <col min="135" max="135" width="8.7265625" style="245" customWidth="1"/>
    <col min="136" max="136" width="64.7265625" style="245" customWidth="1"/>
    <col min="137" max="141" width="16.26953125" style="245" customWidth="1"/>
    <col min="142" max="142" width="3.26953125" style="245" customWidth="1"/>
    <col min="143" max="163" width="15.54296875" style="245" customWidth="1"/>
    <col min="164" max="164" width="53" style="245" customWidth="1"/>
    <col min="165" max="165" width="9" style="245" customWidth="1"/>
    <col min="166" max="166" width="4.26953125" style="245" customWidth="1"/>
    <col min="167" max="216" width="6.81640625" style="245" customWidth="1"/>
    <col min="217" max="218" width="7.54296875" style="245" customWidth="1"/>
    <col min="219" max="220" width="7.7265625" style="245" customWidth="1"/>
    <col min="221" max="221" width="2.453125" style="245" customWidth="1"/>
    <col min="222" max="222" width="9.1796875" style="245" customWidth="1"/>
    <col min="223" max="223" width="2.54296875" style="245" customWidth="1"/>
    <col min="224" max="237" width="9.1796875" style="245" customWidth="1"/>
    <col min="238" max="625" width="9.1796875" customWidth="1"/>
    <col min="626" max="677" width="9.1796875" style="245" customWidth="1"/>
    <col min="678" max="678" width="8.7265625" style="245" customWidth="1"/>
    <col min="679" max="679" width="2.54296875" style="245" customWidth="1"/>
    <col min="680" max="680" width="25.54296875" style="245" customWidth="1"/>
    <col min="681" max="681" width="2.54296875" style="245" customWidth="1"/>
    <col min="682" max="16384" width="9.1796875" style="245"/>
  </cols>
  <sheetData>
    <row r="1" spans="1:702" x14ac:dyDescent="0.35">
      <c r="B1" s="78"/>
      <c r="CT1" s="245"/>
      <c r="DH1" s="245"/>
      <c r="ID1" s="245"/>
      <c r="IE1" s="245"/>
      <c r="IF1" s="245"/>
      <c r="IG1" s="245"/>
      <c r="IH1" s="245"/>
      <c r="II1" s="245"/>
      <c r="IJ1" s="245"/>
      <c r="IK1" s="245"/>
      <c r="IL1" s="245"/>
      <c r="IM1" s="245"/>
      <c r="IN1" s="245"/>
      <c r="IO1" s="245"/>
      <c r="IP1" s="245"/>
      <c r="IQ1" s="245"/>
      <c r="IR1" s="245"/>
      <c r="IS1" s="245"/>
      <c r="IT1" s="245"/>
      <c r="IU1" s="245"/>
      <c r="IV1" s="245"/>
      <c r="IW1" s="245"/>
      <c r="IX1" s="245"/>
      <c r="IY1" s="245"/>
      <c r="IZ1" s="245"/>
      <c r="JA1" s="245"/>
      <c r="JB1" s="245"/>
      <c r="JC1" s="245"/>
      <c r="JD1" s="245"/>
      <c r="JE1" s="245"/>
      <c r="JF1" s="245"/>
      <c r="JG1" s="245"/>
      <c r="JH1" s="245"/>
      <c r="JI1" s="245"/>
      <c r="JJ1" s="245"/>
      <c r="JK1" s="245"/>
      <c r="JL1" s="245"/>
      <c r="JM1" s="245"/>
      <c r="JN1" s="245"/>
      <c r="JO1" s="245"/>
      <c r="JP1" s="245"/>
      <c r="JQ1" s="245"/>
      <c r="JR1" s="245"/>
      <c r="JS1" s="245"/>
      <c r="JT1" s="245"/>
      <c r="JU1" s="245"/>
      <c r="JV1" s="245"/>
      <c r="JW1" s="245"/>
      <c r="JX1" s="245"/>
      <c r="JY1" s="245"/>
      <c r="JZ1" s="245"/>
      <c r="KA1" s="245"/>
      <c r="KB1" s="245"/>
      <c r="KC1" s="245"/>
      <c r="KD1" s="245"/>
      <c r="KE1" s="245"/>
      <c r="KF1" s="245"/>
      <c r="KG1" s="245"/>
      <c r="KH1" s="245"/>
      <c r="KI1" s="245"/>
      <c r="KJ1" s="245"/>
      <c r="KK1" s="245"/>
      <c r="KL1" s="245"/>
      <c r="KM1" s="245"/>
      <c r="KN1" s="245"/>
      <c r="KO1" s="245"/>
      <c r="KP1" s="245"/>
      <c r="KQ1" s="245"/>
      <c r="KR1" s="245"/>
      <c r="KS1" s="245"/>
      <c r="KT1" s="245"/>
      <c r="KU1" s="245"/>
      <c r="KV1" s="245"/>
      <c r="KW1" s="245"/>
      <c r="KX1" s="245"/>
      <c r="KY1" s="245"/>
      <c r="KZ1" s="245"/>
      <c r="LA1" s="245"/>
      <c r="LB1" s="245"/>
      <c r="LC1" s="245"/>
      <c r="LD1" s="245"/>
      <c r="LE1" s="245"/>
      <c r="LF1" s="245"/>
      <c r="LG1" s="245"/>
      <c r="LH1" s="245"/>
      <c r="LI1" s="245"/>
      <c r="LJ1" s="245"/>
      <c r="LK1" s="245"/>
      <c r="LL1" s="245"/>
      <c r="LM1" s="245"/>
      <c r="LN1" s="245"/>
      <c r="LO1" s="245"/>
      <c r="LP1" s="245"/>
      <c r="LQ1" s="245"/>
      <c r="LR1" s="245"/>
      <c r="LS1" s="245"/>
      <c r="LT1" s="245"/>
      <c r="LU1" s="245"/>
      <c r="LV1" s="245"/>
      <c r="LW1" s="245"/>
      <c r="LX1" s="245"/>
      <c r="LY1" s="245"/>
      <c r="LZ1" s="245"/>
      <c r="MA1" s="245"/>
      <c r="MB1" s="245"/>
      <c r="MC1" s="245"/>
      <c r="MD1" s="245"/>
      <c r="ME1" s="245"/>
      <c r="MF1" s="245"/>
      <c r="MG1" s="245"/>
      <c r="MH1" s="245"/>
      <c r="MI1" s="245"/>
      <c r="MJ1" s="245"/>
      <c r="MK1" s="245"/>
      <c r="ML1" s="245"/>
      <c r="MM1" s="245"/>
      <c r="MN1" s="245"/>
      <c r="MO1" s="245"/>
      <c r="MP1" s="245"/>
      <c r="MQ1" s="245"/>
      <c r="MR1" s="245"/>
      <c r="MS1" s="245"/>
      <c r="MT1" s="245"/>
      <c r="MU1" s="245"/>
      <c r="MV1" s="245"/>
      <c r="MW1" s="245"/>
      <c r="MX1" s="245"/>
      <c r="MY1" s="245"/>
      <c r="MZ1" s="245"/>
      <c r="NA1" s="245"/>
      <c r="NB1" s="245"/>
      <c r="NC1" s="245"/>
      <c r="ND1" s="245"/>
      <c r="NE1" s="245"/>
      <c r="NF1" s="245"/>
      <c r="NG1" s="245"/>
      <c r="NH1" s="245"/>
      <c r="NI1" s="245"/>
      <c r="NJ1" s="245"/>
      <c r="NK1" s="245"/>
      <c r="NL1" s="245"/>
      <c r="NM1" s="245"/>
      <c r="NN1" s="245"/>
      <c r="NO1" s="245"/>
      <c r="NP1" s="245"/>
      <c r="NQ1" s="245"/>
      <c r="NR1" s="245"/>
      <c r="NS1" s="245"/>
      <c r="NT1" s="245"/>
      <c r="NU1" s="245"/>
      <c r="NV1" s="245"/>
      <c r="NW1" s="245"/>
      <c r="NX1" s="245"/>
      <c r="NY1" s="245"/>
      <c r="NZ1" s="245"/>
      <c r="OA1" s="245"/>
      <c r="OB1" s="245"/>
      <c r="OC1" s="245"/>
      <c r="OD1" s="245"/>
      <c r="OE1" s="245"/>
      <c r="OF1" s="245"/>
      <c r="OG1" s="245"/>
      <c r="OH1" s="245"/>
      <c r="OI1" s="245"/>
      <c r="OJ1" s="245"/>
      <c r="OK1" s="245"/>
      <c r="OL1" s="245"/>
      <c r="OM1" s="245"/>
      <c r="ON1" s="245"/>
      <c r="OO1" s="245"/>
      <c r="OP1" s="245"/>
      <c r="OQ1" s="245"/>
      <c r="OR1" s="245"/>
      <c r="OS1" s="245"/>
      <c r="OT1" s="245"/>
      <c r="OU1" s="245"/>
      <c r="OV1" s="245"/>
      <c r="OW1" s="245"/>
      <c r="OX1" s="245"/>
      <c r="OY1" s="245"/>
      <c r="OZ1" s="245"/>
      <c r="PA1" s="245"/>
      <c r="PB1" s="245"/>
      <c r="PC1" s="245"/>
      <c r="PD1" s="245"/>
      <c r="PE1" s="245"/>
      <c r="PF1" s="245"/>
      <c r="PG1" s="245"/>
      <c r="PH1" s="245"/>
      <c r="PI1" s="245"/>
      <c r="PJ1" s="245"/>
      <c r="PK1" s="245"/>
      <c r="PL1" s="245"/>
      <c r="PM1" s="245"/>
      <c r="PN1" s="245"/>
      <c r="PO1" s="245"/>
      <c r="PP1" s="245"/>
      <c r="PQ1" s="245"/>
      <c r="PR1" s="245"/>
      <c r="PS1" s="245"/>
      <c r="PT1" s="245"/>
      <c r="PU1" s="245"/>
      <c r="PV1" s="245"/>
      <c r="PW1" s="245"/>
      <c r="PX1" s="245"/>
      <c r="PY1" s="245"/>
      <c r="PZ1" s="245"/>
      <c r="QA1" s="245"/>
      <c r="QB1" s="245"/>
      <c r="QC1" s="245"/>
      <c r="QD1" s="245"/>
      <c r="QE1" s="245"/>
      <c r="QF1" s="245"/>
      <c r="QG1" s="245"/>
      <c r="QH1" s="245"/>
      <c r="QI1" s="245"/>
      <c r="QJ1" s="245"/>
      <c r="QK1" s="245"/>
      <c r="QL1" s="245"/>
      <c r="QM1" s="245"/>
      <c r="QN1" s="245"/>
      <c r="QO1" s="245"/>
      <c r="QP1" s="245"/>
      <c r="QQ1" s="245"/>
      <c r="QR1" s="245"/>
      <c r="QS1" s="245"/>
      <c r="QT1" s="245"/>
      <c r="QU1" s="245"/>
      <c r="QV1" s="245"/>
      <c r="QW1" s="245"/>
      <c r="QX1" s="245"/>
      <c r="QY1" s="245"/>
      <c r="QZ1" s="245"/>
      <c r="RA1" s="245"/>
      <c r="RB1" s="245"/>
      <c r="RC1" s="245"/>
      <c r="RD1" s="245"/>
      <c r="RE1" s="245"/>
      <c r="RF1" s="245"/>
      <c r="RG1" s="245"/>
      <c r="RH1" s="245"/>
      <c r="RI1" s="245"/>
      <c r="RJ1" s="245"/>
      <c r="RK1" s="245"/>
      <c r="RL1" s="245"/>
      <c r="RM1" s="245"/>
      <c r="RN1" s="245"/>
      <c r="RO1" s="245"/>
      <c r="RP1" s="245"/>
      <c r="RQ1" s="245"/>
      <c r="RR1" s="245"/>
      <c r="RS1" s="245"/>
      <c r="RT1" s="245"/>
      <c r="RU1" s="245"/>
      <c r="RV1" s="245"/>
      <c r="RW1" s="245"/>
      <c r="RX1" s="245"/>
      <c r="RY1" s="245"/>
      <c r="RZ1" s="245"/>
      <c r="SA1" s="245"/>
      <c r="SB1" s="245"/>
      <c r="SC1" s="245"/>
      <c r="SD1" s="245"/>
      <c r="SE1" s="245"/>
      <c r="SF1" s="245"/>
      <c r="SG1" s="245"/>
      <c r="SH1" s="245"/>
      <c r="SI1" s="245"/>
      <c r="SJ1" s="245"/>
      <c r="SK1" s="245"/>
      <c r="SL1" s="245"/>
      <c r="SM1" s="245"/>
      <c r="SN1" s="245"/>
      <c r="SO1" s="245"/>
      <c r="SP1" s="245"/>
      <c r="SQ1" s="245"/>
      <c r="SR1" s="245"/>
      <c r="SS1" s="245"/>
      <c r="ST1" s="245"/>
      <c r="SU1" s="245"/>
      <c r="SV1" s="245"/>
      <c r="SW1" s="245"/>
      <c r="SX1" s="245"/>
      <c r="SY1" s="245"/>
      <c r="SZ1" s="245"/>
      <c r="TA1" s="245"/>
      <c r="TB1" s="245"/>
      <c r="TC1" s="245"/>
      <c r="TD1" s="245"/>
      <c r="TE1" s="245"/>
      <c r="TF1" s="245"/>
      <c r="TG1" s="245"/>
      <c r="TH1" s="245"/>
      <c r="TI1" s="245"/>
      <c r="TJ1" s="245"/>
      <c r="TK1" s="245"/>
      <c r="TL1" s="245"/>
      <c r="TM1" s="245"/>
      <c r="TN1" s="245"/>
      <c r="TO1" s="245"/>
      <c r="TP1" s="245"/>
      <c r="TQ1" s="245"/>
      <c r="TR1" s="245"/>
      <c r="TS1" s="245"/>
      <c r="TT1" s="245"/>
      <c r="TU1" s="245"/>
      <c r="TV1" s="245"/>
      <c r="TW1" s="245"/>
      <c r="TX1" s="245"/>
      <c r="TY1" s="245"/>
      <c r="TZ1" s="245"/>
      <c r="UA1" s="245"/>
      <c r="UB1" s="245"/>
      <c r="UC1" s="245"/>
      <c r="UD1" s="245"/>
      <c r="UE1" s="245"/>
      <c r="UF1" s="245"/>
      <c r="UG1" s="245"/>
      <c r="UH1" s="245"/>
      <c r="UI1" s="245"/>
      <c r="UJ1" s="245"/>
      <c r="UK1" s="245"/>
      <c r="UL1" s="245"/>
      <c r="UM1" s="245"/>
      <c r="UN1" s="245"/>
      <c r="UO1" s="245"/>
      <c r="UP1" s="245"/>
      <c r="UQ1" s="245"/>
      <c r="UR1" s="245"/>
      <c r="US1" s="245"/>
      <c r="UT1" s="245"/>
      <c r="UU1" s="245"/>
      <c r="UV1" s="245"/>
      <c r="UW1" s="245"/>
      <c r="UX1" s="245"/>
      <c r="UY1" s="245"/>
      <c r="UZ1" s="245"/>
      <c r="VA1" s="245"/>
      <c r="VB1" s="245"/>
      <c r="VC1" s="245"/>
      <c r="VD1" s="245"/>
      <c r="VE1" s="245"/>
      <c r="VF1" s="245"/>
      <c r="VG1" s="245"/>
      <c r="VH1" s="245"/>
      <c r="VI1" s="245"/>
      <c r="VJ1" s="245"/>
      <c r="VK1" s="245"/>
      <c r="VL1" s="245"/>
      <c r="VM1" s="245"/>
      <c r="VN1" s="245"/>
      <c r="VO1" s="245"/>
      <c r="VP1" s="245"/>
      <c r="VQ1" s="245"/>
      <c r="VR1" s="245"/>
      <c r="VS1" s="245"/>
      <c r="VT1" s="245"/>
      <c r="VU1" s="245"/>
      <c r="VV1" s="245"/>
      <c r="VW1" s="245"/>
      <c r="VX1" s="245"/>
      <c r="VY1" s="245"/>
      <c r="VZ1" s="245"/>
      <c r="WA1" s="245"/>
      <c r="WB1" s="245"/>
      <c r="WC1" s="245"/>
      <c r="WD1" s="245"/>
      <c r="WE1" s="245"/>
      <c r="WF1" s="245"/>
      <c r="WG1" s="245"/>
      <c r="WH1" s="245"/>
      <c r="WI1" s="245"/>
      <c r="WJ1" s="245"/>
      <c r="WK1" s="245"/>
      <c r="WL1" s="245"/>
      <c r="WM1" s="245"/>
      <c r="WN1" s="245"/>
      <c r="WO1" s="245"/>
      <c r="WP1" s="245"/>
      <c r="WQ1" s="245"/>
      <c r="WR1" s="245"/>
      <c r="WS1" s="245"/>
      <c r="WT1" s="245"/>
      <c r="WU1" s="245"/>
      <c r="WV1" s="245"/>
      <c r="WW1" s="245"/>
      <c r="WX1" s="245"/>
      <c r="WY1" s="245"/>
      <c r="WZ1" s="245"/>
      <c r="XA1" s="245"/>
    </row>
    <row r="2" spans="1:702" ht="9" customHeight="1" x14ac:dyDescent="0.35">
      <c r="A2" s="152" t="s">
        <v>573</v>
      </c>
      <c r="B2" s="156" t="str">
        <f>IF(B4="","",MATCH(B4,M10:M60,0)+9)</f>
        <v/>
      </c>
      <c r="D2" s="329"/>
      <c r="T2" s="359"/>
      <c r="U2" s="360"/>
      <c r="W2" s="361"/>
      <c r="AR2" s="361"/>
      <c r="AS2" s="361"/>
      <c r="AT2" s="361"/>
      <c r="CT2" s="245"/>
      <c r="DH2" s="245"/>
      <c r="ID2" s="245"/>
      <c r="IE2" s="245"/>
      <c r="IF2" s="245"/>
      <c r="IG2" s="245"/>
      <c r="IH2" s="245"/>
      <c r="II2" s="245"/>
      <c r="IJ2" s="245"/>
      <c r="IK2" s="245"/>
      <c r="IL2" s="245"/>
      <c r="IM2" s="245"/>
      <c r="IN2" s="245"/>
      <c r="IO2" s="245"/>
      <c r="IP2" s="245"/>
      <c r="IQ2" s="245"/>
      <c r="IR2" s="245"/>
      <c r="IS2" s="245"/>
      <c r="IT2" s="245"/>
      <c r="IU2" s="245"/>
      <c r="IV2" s="245"/>
      <c r="IW2" s="245"/>
      <c r="IX2" s="245"/>
      <c r="IY2" s="245"/>
      <c r="IZ2" s="245"/>
      <c r="JA2" s="245"/>
      <c r="JB2" s="245"/>
      <c r="JC2" s="245"/>
      <c r="JD2" s="245"/>
      <c r="JE2" s="245"/>
      <c r="JF2" s="245"/>
      <c r="JG2" s="245"/>
      <c r="JH2" s="245"/>
      <c r="JI2" s="245"/>
      <c r="JJ2" s="245"/>
      <c r="JK2" s="245"/>
      <c r="JL2" s="245"/>
      <c r="JM2" s="245"/>
      <c r="JN2" s="245"/>
      <c r="JO2" s="245"/>
      <c r="JP2" s="245"/>
      <c r="JQ2" s="245"/>
      <c r="JR2" s="245"/>
      <c r="JS2" s="245"/>
      <c r="JT2" s="245"/>
      <c r="JU2" s="245"/>
      <c r="JV2" s="245"/>
      <c r="JW2" s="245"/>
      <c r="JX2" s="245"/>
      <c r="JY2" s="245"/>
      <c r="JZ2" s="245"/>
      <c r="KA2" s="245"/>
      <c r="KB2" s="245"/>
      <c r="KC2" s="245"/>
      <c r="KD2" s="245"/>
      <c r="KE2" s="245"/>
      <c r="KF2" s="245"/>
      <c r="KG2" s="245"/>
      <c r="KH2" s="245"/>
      <c r="KI2" s="245"/>
      <c r="KJ2" s="245"/>
      <c r="KK2" s="245"/>
      <c r="KL2" s="245"/>
      <c r="KM2" s="245"/>
      <c r="KN2" s="245"/>
      <c r="KO2" s="245"/>
      <c r="KP2" s="245"/>
      <c r="KQ2" s="245"/>
      <c r="KR2" s="245"/>
      <c r="KS2" s="245"/>
      <c r="KT2" s="245"/>
      <c r="KU2" s="245"/>
      <c r="KV2" s="245"/>
      <c r="KW2" s="245"/>
      <c r="KX2" s="245"/>
      <c r="KY2" s="245"/>
      <c r="KZ2" s="245"/>
      <c r="LA2" s="245"/>
      <c r="LB2" s="245"/>
      <c r="LC2" s="245"/>
      <c r="LD2" s="245"/>
      <c r="LE2" s="245"/>
      <c r="LF2" s="245"/>
      <c r="LG2" s="245"/>
      <c r="LH2" s="245"/>
      <c r="LI2" s="245"/>
      <c r="LJ2" s="245"/>
      <c r="LK2" s="245"/>
      <c r="LL2" s="245"/>
      <c r="LM2" s="245"/>
      <c r="LN2" s="245"/>
      <c r="LO2" s="245"/>
      <c r="LP2" s="245"/>
      <c r="LQ2" s="245"/>
      <c r="LR2" s="245"/>
      <c r="LS2" s="245"/>
      <c r="LT2" s="245"/>
      <c r="LU2" s="245"/>
      <c r="LV2" s="245"/>
      <c r="LW2" s="245"/>
      <c r="LX2" s="245"/>
      <c r="LY2" s="245"/>
      <c r="LZ2" s="245"/>
      <c r="MA2" s="245"/>
      <c r="MB2" s="245"/>
      <c r="MC2" s="245"/>
      <c r="MD2" s="245"/>
      <c r="ME2" s="245"/>
      <c r="MF2" s="245"/>
      <c r="MG2" s="245"/>
      <c r="MH2" s="245"/>
      <c r="MI2" s="245"/>
      <c r="MJ2" s="245"/>
      <c r="MK2" s="245"/>
      <c r="ML2" s="245"/>
      <c r="MM2" s="245"/>
      <c r="MN2" s="245"/>
      <c r="MO2" s="245"/>
      <c r="MP2" s="245"/>
      <c r="MQ2" s="245"/>
      <c r="MR2" s="245"/>
      <c r="MS2" s="245"/>
      <c r="MT2" s="245"/>
      <c r="MU2" s="245"/>
      <c r="MV2" s="245"/>
      <c r="MW2" s="245"/>
      <c r="MX2" s="245"/>
      <c r="MY2" s="245"/>
      <c r="MZ2" s="245"/>
      <c r="NA2" s="245"/>
      <c r="NB2" s="245"/>
      <c r="NC2" s="245"/>
      <c r="ND2" s="245"/>
      <c r="NE2" s="245"/>
      <c r="NF2" s="245"/>
      <c r="NG2" s="245"/>
      <c r="NH2" s="245"/>
      <c r="NI2" s="245"/>
      <c r="NJ2" s="245"/>
      <c r="NK2" s="245"/>
      <c r="NL2" s="245"/>
      <c r="NM2" s="245"/>
      <c r="NN2" s="245"/>
      <c r="NO2" s="245"/>
      <c r="NP2" s="245"/>
      <c r="NQ2" s="245"/>
      <c r="NR2" s="245"/>
      <c r="NS2" s="245"/>
      <c r="NT2" s="245"/>
      <c r="NU2" s="245"/>
      <c r="NV2" s="245"/>
      <c r="NW2" s="245"/>
      <c r="NX2" s="245"/>
      <c r="NY2" s="245"/>
      <c r="NZ2" s="245"/>
      <c r="OA2" s="245"/>
      <c r="OB2" s="245"/>
      <c r="OC2" s="245"/>
      <c r="OD2" s="245"/>
      <c r="OE2" s="245"/>
      <c r="OF2" s="245"/>
      <c r="OG2" s="245"/>
      <c r="OH2" s="245"/>
      <c r="OI2" s="245"/>
      <c r="OJ2" s="245"/>
      <c r="OK2" s="245"/>
      <c r="OL2" s="245"/>
      <c r="OM2" s="245"/>
      <c r="ON2" s="245"/>
      <c r="OO2" s="245"/>
      <c r="OP2" s="245"/>
      <c r="OQ2" s="245"/>
      <c r="OR2" s="245"/>
      <c r="OS2" s="245"/>
      <c r="OT2" s="245"/>
      <c r="OU2" s="245"/>
      <c r="OV2" s="245"/>
      <c r="OW2" s="245"/>
      <c r="OX2" s="245"/>
      <c r="OY2" s="245"/>
      <c r="OZ2" s="245"/>
      <c r="PA2" s="245"/>
      <c r="PB2" s="245"/>
      <c r="PC2" s="245"/>
      <c r="PD2" s="245"/>
      <c r="PE2" s="245"/>
      <c r="PF2" s="245"/>
      <c r="PG2" s="245"/>
      <c r="PH2" s="245"/>
      <c r="PI2" s="245"/>
      <c r="PJ2" s="245"/>
      <c r="PK2" s="245"/>
      <c r="PL2" s="245"/>
      <c r="PM2" s="245"/>
      <c r="PN2" s="245"/>
      <c r="PO2" s="245"/>
      <c r="PP2" s="245"/>
      <c r="PQ2" s="245"/>
      <c r="PR2" s="245"/>
      <c r="PS2" s="245"/>
      <c r="PT2" s="245"/>
      <c r="PU2" s="245"/>
      <c r="PV2" s="245"/>
      <c r="PW2" s="245"/>
      <c r="PX2" s="245"/>
      <c r="PY2" s="245"/>
      <c r="PZ2" s="245"/>
      <c r="QA2" s="245"/>
      <c r="QB2" s="245"/>
      <c r="QC2" s="245"/>
      <c r="QD2" s="245"/>
      <c r="QE2" s="245"/>
      <c r="QF2" s="245"/>
      <c r="QG2" s="245"/>
      <c r="QH2" s="245"/>
      <c r="QI2" s="245"/>
      <c r="QJ2" s="245"/>
      <c r="QK2" s="245"/>
      <c r="QL2" s="245"/>
      <c r="QM2" s="245"/>
      <c r="QN2" s="245"/>
      <c r="QO2" s="245"/>
      <c r="QP2" s="245"/>
      <c r="QQ2" s="245"/>
      <c r="QR2" s="245"/>
      <c r="QS2" s="245"/>
      <c r="QT2" s="245"/>
      <c r="QU2" s="245"/>
      <c r="QV2" s="245"/>
      <c r="QW2" s="245"/>
      <c r="QX2" s="245"/>
      <c r="QY2" s="245"/>
      <c r="QZ2" s="245"/>
      <c r="RA2" s="245"/>
      <c r="RB2" s="245"/>
      <c r="RC2" s="245"/>
      <c r="RD2" s="245"/>
      <c r="RE2" s="245"/>
      <c r="RF2" s="245"/>
      <c r="RG2" s="245"/>
      <c r="RH2" s="245"/>
      <c r="RI2" s="245"/>
      <c r="RJ2" s="245"/>
      <c r="RK2" s="245"/>
      <c r="RL2" s="245"/>
      <c r="RM2" s="245"/>
      <c r="RN2" s="245"/>
      <c r="RO2" s="245"/>
      <c r="RP2" s="245"/>
      <c r="RQ2" s="245"/>
      <c r="RR2" s="245"/>
      <c r="RS2" s="245"/>
      <c r="RT2" s="245"/>
      <c r="RU2" s="245"/>
      <c r="RV2" s="245"/>
      <c r="RW2" s="245"/>
      <c r="RX2" s="245"/>
      <c r="RY2" s="245"/>
      <c r="RZ2" s="245"/>
      <c r="SA2" s="245"/>
      <c r="SB2" s="245"/>
      <c r="SC2" s="245"/>
      <c r="SD2" s="245"/>
      <c r="SE2" s="245"/>
      <c r="SF2" s="245"/>
      <c r="SG2" s="245"/>
      <c r="SH2" s="245"/>
      <c r="SI2" s="245"/>
      <c r="SJ2" s="245"/>
      <c r="SK2" s="245"/>
      <c r="SL2" s="245"/>
      <c r="SM2" s="245"/>
      <c r="SN2" s="245"/>
      <c r="SO2" s="245"/>
      <c r="SP2" s="245"/>
      <c r="SQ2" s="245"/>
      <c r="SR2" s="245"/>
      <c r="SS2" s="245"/>
      <c r="ST2" s="245"/>
      <c r="SU2" s="245"/>
      <c r="SV2" s="245"/>
      <c r="SW2" s="245"/>
      <c r="SX2" s="245"/>
      <c r="SY2" s="245"/>
      <c r="SZ2" s="245"/>
      <c r="TA2" s="245"/>
      <c r="TB2" s="245"/>
      <c r="TC2" s="245"/>
      <c r="TD2" s="245"/>
      <c r="TE2" s="245"/>
      <c r="TF2" s="245"/>
      <c r="TG2" s="245"/>
      <c r="TH2" s="245"/>
      <c r="TI2" s="245"/>
      <c r="TJ2" s="245"/>
      <c r="TK2" s="245"/>
      <c r="TL2" s="245"/>
      <c r="TM2" s="245"/>
      <c r="TN2" s="245"/>
      <c r="TO2" s="245"/>
      <c r="TP2" s="245"/>
      <c r="TQ2" s="245"/>
      <c r="TR2" s="245"/>
      <c r="TS2" s="245"/>
      <c r="TT2" s="245"/>
      <c r="TU2" s="245"/>
      <c r="TV2" s="245"/>
      <c r="TW2" s="245"/>
      <c r="TX2" s="245"/>
      <c r="TY2" s="245"/>
      <c r="TZ2" s="245"/>
      <c r="UA2" s="245"/>
      <c r="UB2" s="245"/>
      <c r="UC2" s="245"/>
      <c r="UD2" s="245"/>
      <c r="UE2" s="245"/>
      <c r="UF2" s="245"/>
      <c r="UG2" s="245"/>
      <c r="UH2" s="245"/>
      <c r="UI2" s="245"/>
      <c r="UJ2" s="245"/>
      <c r="UK2" s="245"/>
      <c r="UL2" s="245"/>
      <c r="UM2" s="245"/>
      <c r="UN2" s="245"/>
      <c r="UO2" s="245"/>
      <c r="UP2" s="245"/>
      <c r="UQ2" s="245"/>
      <c r="UR2" s="245"/>
      <c r="US2" s="245"/>
      <c r="UT2" s="245"/>
      <c r="UU2" s="245"/>
      <c r="UV2" s="245"/>
      <c r="UW2" s="245"/>
      <c r="UX2" s="245"/>
      <c r="UY2" s="245"/>
      <c r="UZ2" s="245"/>
      <c r="VA2" s="245"/>
      <c r="VB2" s="245"/>
      <c r="VC2" s="245"/>
      <c r="VD2" s="245"/>
      <c r="VE2" s="245"/>
      <c r="VF2" s="245"/>
      <c r="VG2" s="245"/>
      <c r="VH2" s="245"/>
      <c r="VI2" s="245"/>
      <c r="VJ2" s="245"/>
      <c r="VK2" s="245"/>
      <c r="VL2" s="245"/>
      <c r="VM2" s="245"/>
      <c r="VN2" s="245"/>
      <c r="VO2" s="245"/>
      <c r="VP2" s="245"/>
      <c r="VQ2" s="245"/>
      <c r="VR2" s="245"/>
      <c r="VS2" s="245"/>
      <c r="VT2" s="245"/>
      <c r="VU2" s="245"/>
      <c r="VV2" s="245"/>
      <c r="VW2" s="245"/>
      <c r="VX2" s="245"/>
      <c r="VY2" s="245"/>
      <c r="VZ2" s="245"/>
      <c r="WA2" s="245"/>
      <c r="WB2" s="245"/>
      <c r="WC2" s="245"/>
      <c r="WD2" s="245"/>
      <c r="WE2" s="245"/>
      <c r="WF2" s="245"/>
      <c r="WG2" s="245"/>
      <c r="WH2" s="245"/>
      <c r="WI2" s="245"/>
      <c r="WJ2" s="245"/>
      <c r="WK2" s="245"/>
      <c r="WL2" s="245"/>
      <c r="WM2" s="245"/>
      <c r="WN2" s="245"/>
      <c r="WO2" s="245"/>
      <c r="WP2" s="245"/>
      <c r="WQ2" s="245"/>
      <c r="WR2" s="245"/>
      <c r="WS2" s="245"/>
      <c r="WT2" s="245"/>
      <c r="WU2" s="245"/>
      <c r="WV2" s="245"/>
      <c r="WW2" s="245"/>
      <c r="WX2" s="245"/>
      <c r="WY2" s="245"/>
      <c r="WZ2" s="245"/>
      <c r="XA2" s="245"/>
    </row>
    <row r="3" spans="1:702" ht="8.15" customHeight="1" x14ac:dyDescent="0.35">
      <c r="A3" s="152" t="s">
        <v>574</v>
      </c>
      <c r="B3" s="156">
        <v>0</v>
      </c>
      <c r="D3" s="330"/>
      <c r="U3" s="361"/>
      <c r="W3" s="361"/>
      <c r="AR3" s="361"/>
      <c r="AS3" s="361"/>
      <c r="AT3" s="361"/>
      <c r="CT3" s="245"/>
      <c r="DH3" s="245"/>
      <c r="ID3" s="245"/>
      <c r="IE3" s="245"/>
      <c r="IF3" s="245"/>
      <c r="IG3" s="245"/>
      <c r="IH3" s="245"/>
      <c r="II3" s="245"/>
      <c r="IJ3" s="245"/>
      <c r="IK3" s="245"/>
      <c r="IL3" s="245"/>
      <c r="IM3" s="245"/>
      <c r="IN3" s="245"/>
      <c r="IO3" s="245"/>
      <c r="IP3" s="245"/>
      <c r="IQ3" s="245"/>
      <c r="IR3" s="245"/>
      <c r="IS3" s="245"/>
      <c r="IT3" s="245"/>
      <c r="IU3" s="245"/>
      <c r="IV3" s="245"/>
      <c r="IW3" s="245"/>
      <c r="IX3" s="245"/>
      <c r="IY3" s="245"/>
      <c r="IZ3" s="245"/>
      <c r="JA3" s="245"/>
      <c r="JB3" s="245"/>
      <c r="JC3" s="245"/>
      <c r="JD3" s="245"/>
      <c r="JE3" s="245"/>
      <c r="JF3" s="245"/>
      <c r="JG3" s="245"/>
      <c r="JH3" s="245"/>
      <c r="JI3" s="245"/>
      <c r="JJ3" s="245"/>
      <c r="JK3" s="245"/>
      <c r="JL3" s="245"/>
      <c r="JM3" s="245"/>
      <c r="JN3" s="245"/>
      <c r="JO3" s="245"/>
      <c r="JP3" s="245"/>
      <c r="JQ3" s="245"/>
      <c r="JR3" s="245"/>
      <c r="JS3" s="245"/>
      <c r="JT3" s="245"/>
      <c r="JU3" s="245"/>
      <c r="JV3" s="245"/>
      <c r="JW3" s="245"/>
      <c r="JX3" s="245"/>
      <c r="JY3" s="245"/>
      <c r="JZ3" s="245"/>
      <c r="KA3" s="245"/>
      <c r="KB3" s="245"/>
      <c r="KC3" s="245"/>
      <c r="KD3" s="245"/>
      <c r="KE3" s="245"/>
      <c r="KF3" s="245"/>
      <c r="KG3" s="245"/>
      <c r="KH3" s="245"/>
      <c r="KI3" s="245"/>
      <c r="KJ3" s="245"/>
      <c r="KK3" s="245"/>
      <c r="KL3" s="245"/>
      <c r="KM3" s="245"/>
      <c r="KN3" s="245"/>
      <c r="KO3" s="245"/>
      <c r="KP3" s="245"/>
      <c r="KQ3" s="245"/>
      <c r="KR3" s="245"/>
      <c r="KS3" s="245"/>
      <c r="KT3" s="245"/>
      <c r="KU3" s="245"/>
      <c r="KV3" s="245"/>
      <c r="KW3" s="245"/>
      <c r="KX3" s="245"/>
      <c r="KY3" s="245"/>
      <c r="KZ3" s="245"/>
      <c r="LA3" s="245"/>
      <c r="LB3" s="245"/>
      <c r="LC3" s="245"/>
      <c r="LD3" s="245"/>
      <c r="LE3" s="245"/>
      <c r="LF3" s="245"/>
      <c r="LG3" s="245"/>
      <c r="LH3" s="245"/>
      <c r="LI3" s="245"/>
      <c r="LJ3" s="245"/>
      <c r="LK3" s="245"/>
      <c r="LL3" s="245"/>
      <c r="LM3" s="245"/>
      <c r="LN3" s="245"/>
      <c r="LO3" s="245"/>
      <c r="LP3" s="245"/>
      <c r="LQ3" s="245"/>
      <c r="LR3" s="245"/>
      <c r="LS3" s="245"/>
      <c r="LT3" s="245"/>
      <c r="LU3" s="245"/>
      <c r="LV3" s="245"/>
      <c r="LW3" s="245"/>
      <c r="LX3" s="245"/>
      <c r="LY3" s="245"/>
      <c r="LZ3" s="245"/>
      <c r="MA3" s="245"/>
      <c r="MB3" s="245"/>
      <c r="MC3" s="245"/>
      <c r="MD3" s="245"/>
      <c r="ME3" s="245"/>
      <c r="MF3" s="245"/>
      <c r="MG3" s="245"/>
      <c r="MH3" s="245"/>
      <c r="MI3" s="245"/>
      <c r="MJ3" s="245"/>
      <c r="MK3" s="245"/>
      <c r="ML3" s="245"/>
      <c r="MM3" s="245"/>
      <c r="MN3" s="245"/>
      <c r="MO3" s="245"/>
      <c r="MP3" s="245"/>
      <c r="MQ3" s="245"/>
      <c r="MR3" s="245"/>
      <c r="MS3" s="245"/>
      <c r="MT3" s="245"/>
      <c r="MU3" s="245"/>
      <c r="MV3" s="245"/>
      <c r="MW3" s="245"/>
      <c r="MX3" s="245"/>
      <c r="MY3" s="245"/>
      <c r="MZ3" s="245"/>
      <c r="NA3" s="245"/>
      <c r="NB3" s="245"/>
      <c r="NC3" s="245"/>
      <c r="ND3" s="245"/>
      <c r="NE3" s="245"/>
      <c r="NF3" s="245"/>
      <c r="NG3" s="245"/>
      <c r="NH3" s="245"/>
      <c r="NI3" s="245"/>
      <c r="NJ3" s="245"/>
      <c r="NK3" s="245"/>
      <c r="NL3" s="245"/>
      <c r="NM3" s="245"/>
      <c r="NN3" s="245"/>
      <c r="NO3" s="245"/>
      <c r="NP3" s="245"/>
      <c r="NQ3" s="245"/>
      <c r="NR3" s="245"/>
      <c r="NS3" s="245"/>
      <c r="NT3" s="245"/>
      <c r="NU3" s="245"/>
      <c r="NV3" s="245"/>
      <c r="NW3" s="245"/>
      <c r="NX3" s="245"/>
      <c r="NY3" s="245"/>
      <c r="NZ3" s="245"/>
      <c r="OA3" s="245"/>
      <c r="OB3" s="245"/>
      <c r="OC3" s="245"/>
      <c r="OD3" s="245"/>
      <c r="OE3" s="245"/>
      <c r="OF3" s="245"/>
      <c r="OG3" s="245"/>
      <c r="OH3" s="245"/>
      <c r="OI3" s="245"/>
      <c r="OJ3" s="245"/>
      <c r="OK3" s="245"/>
      <c r="OL3" s="245"/>
      <c r="OM3" s="245"/>
      <c r="ON3" s="245"/>
      <c r="OO3" s="245"/>
      <c r="OP3" s="245"/>
      <c r="OQ3" s="245"/>
      <c r="OR3" s="245"/>
      <c r="OS3" s="245"/>
      <c r="OT3" s="245"/>
      <c r="OU3" s="245"/>
      <c r="OV3" s="245"/>
      <c r="OW3" s="245"/>
      <c r="OX3" s="245"/>
      <c r="OY3" s="245"/>
      <c r="OZ3" s="245"/>
      <c r="PA3" s="245"/>
      <c r="PB3" s="245"/>
      <c r="PC3" s="245"/>
      <c r="PD3" s="245"/>
      <c r="PE3" s="245"/>
      <c r="PF3" s="245"/>
      <c r="PG3" s="245"/>
      <c r="PH3" s="245"/>
      <c r="PI3" s="245"/>
      <c r="PJ3" s="245"/>
      <c r="PK3" s="245"/>
      <c r="PL3" s="245"/>
      <c r="PM3" s="245"/>
      <c r="PN3" s="245"/>
      <c r="PO3" s="245"/>
      <c r="PP3" s="245"/>
      <c r="PQ3" s="245"/>
      <c r="PR3" s="245"/>
      <c r="PS3" s="245"/>
      <c r="PT3" s="245"/>
      <c r="PU3" s="245"/>
      <c r="PV3" s="245"/>
      <c r="PW3" s="245"/>
      <c r="PX3" s="245"/>
      <c r="PY3" s="245"/>
      <c r="PZ3" s="245"/>
      <c r="QA3" s="245"/>
      <c r="QB3" s="245"/>
      <c r="QC3" s="245"/>
      <c r="QD3" s="245"/>
      <c r="QE3" s="245"/>
      <c r="QF3" s="245"/>
      <c r="QG3" s="245"/>
      <c r="QH3" s="245"/>
      <c r="QI3" s="245"/>
      <c r="QJ3" s="245"/>
      <c r="QK3" s="245"/>
      <c r="QL3" s="245"/>
      <c r="QM3" s="245"/>
      <c r="QN3" s="245"/>
      <c r="QO3" s="245"/>
      <c r="QP3" s="245"/>
      <c r="QQ3" s="245"/>
      <c r="QR3" s="245"/>
      <c r="QS3" s="245"/>
      <c r="QT3" s="245"/>
      <c r="QU3" s="245"/>
      <c r="QV3" s="245"/>
      <c r="QW3" s="245"/>
      <c r="QX3" s="245"/>
      <c r="QY3" s="245"/>
      <c r="QZ3" s="245"/>
      <c r="RA3" s="245"/>
      <c r="RB3" s="245"/>
      <c r="RC3" s="245"/>
      <c r="RD3" s="245"/>
      <c r="RE3" s="245"/>
      <c r="RF3" s="245"/>
      <c r="RG3" s="245"/>
      <c r="RH3" s="245"/>
      <c r="RI3" s="245"/>
      <c r="RJ3" s="245"/>
      <c r="RK3" s="245"/>
      <c r="RL3" s="245"/>
      <c r="RM3" s="245"/>
      <c r="RN3" s="245"/>
      <c r="RO3" s="245"/>
      <c r="RP3" s="245"/>
      <c r="RQ3" s="245"/>
      <c r="RR3" s="245"/>
      <c r="RS3" s="245"/>
      <c r="RT3" s="245"/>
      <c r="RU3" s="245"/>
      <c r="RV3" s="245"/>
      <c r="RW3" s="245"/>
      <c r="RX3" s="245"/>
      <c r="RY3" s="245"/>
      <c r="RZ3" s="245"/>
      <c r="SA3" s="245"/>
      <c r="SB3" s="245"/>
      <c r="SC3" s="245"/>
      <c r="SD3" s="245"/>
      <c r="SE3" s="245"/>
      <c r="SF3" s="245"/>
      <c r="SG3" s="245"/>
      <c r="SH3" s="245"/>
      <c r="SI3" s="245"/>
      <c r="SJ3" s="245"/>
      <c r="SK3" s="245"/>
      <c r="SL3" s="245"/>
      <c r="SM3" s="245"/>
      <c r="SN3" s="245"/>
      <c r="SO3" s="245"/>
      <c r="SP3" s="245"/>
      <c r="SQ3" s="245"/>
      <c r="SR3" s="245"/>
      <c r="SS3" s="245"/>
      <c r="ST3" s="245"/>
      <c r="SU3" s="245"/>
      <c r="SV3" s="245"/>
      <c r="SW3" s="245"/>
      <c r="SX3" s="245"/>
      <c r="SY3" s="245"/>
      <c r="SZ3" s="245"/>
      <c r="TA3" s="245"/>
      <c r="TB3" s="245"/>
      <c r="TC3" s="245"/>
      <c r="TD3" s="245"/>
      <c r="TE3" s="245"/>
      <c r="TF3" s="245"/>
      <c r="TG3" s="245"/>
      <c r="TH3" s="245"/>
      <c r="TI3" s="245"/>
      <c r="TJ3" s="245"/>
      <c r="TK3" s="245"/>
      <c r="TL3" s="245"/>
      <c r="TM3" s="245"/>
      <c r="TN3" s="245"/>
      <c r="TO3" s="245"/>
      <c r="TP3" s="245"/>
      <c r="TQ3" s="245"/>
      <c r="TR3" s="245"/>
      <c r="TS3" s="245"/>
      <c r="TT3" s="245"/>
      <c r="TU3" s="245"/>
      <c r="TV3" s="245"/>
      <c r="TW3" s="245"/>
      <c r="TX3" s="245"/>
      <c r="TY3" s="245"/>
      <c r="TZ3" s="245"/>
      <c r="UA3" s="245"/>
      <c r="UB3" s="245"/>
      <c r="UC3" s="245"/>
      <c r="UD3" s="245"/>
      <c r="UE3" s="245"/>
      <c r="UF3" s="245"/>
      <c r="UG3" s="245"/>
      <c r="UH3" s="245"/>
      <c r="UI3" s="245"/>
      <c r="UJ3" s="245"/>
      <c r="UK3" s="245"/>
      <c r="UL3" s="245"/>
      <c r="UM3" s="245"/>
      <c r="UN3" s="245"/>
      <c r="UO3" s="245"/>
      <c r="UP3" s="245"/>
      <c r="UQ3" s="245"/>
      <c r="UR3" s="245"/>
      <c r="US3" s="245"/>
      <c r="UT3" s="245"/>
      <c r="UU3" s="245"/>
      <c r="UV3" s="245"/>
      <c r="UW3" s="245"/>
      <c r="UX3" s="245"/>
      <c r="UY3" s="245"/>
      <c r="UZ3" s="245"/>
      <c r="VA3" s="245"/>
      <c r="VB3" s="245"/>
      <c r="VC3" s="245"/>
      <c r="VD3" s="245"/>
      <c r="VE3" s="245"/>
      <c r="VF3" s="245"/>
      <c r="VG3" s="245"/>
      <c r="VH3" s="245"/>
      <c r="VI3" s="245"/>
      <c r="VJ3" s="245"/>
      <c r="VK3" s="245"/>
      <c r="VL3" s="245"/>
      <c r="VM3" s="245"/>
      <c r="VN3" s="245"/>
      <c r="VO3" s="245"/>
      <c r="VP3" s="245"/>
      <c r="VQ3" s="245"/>
      <c r="VR3" s="245"/>
      <c r="VS3" s="245"/>
      <c r="VT3" s="245"/>
      <c r="VU3" s="245"/>
      <c r="VV3" s="245"/>
      <c r="VW3" s="245"/>
      <c r="VX3" s="245"/>
      <c r="VY3" s="245"/>
      <c r="VZ3" s="245"/>
      <c r="WA3" s="245"/>
      <c r="WB3" s="245"/>
      <c r="WC3" s="245"/>
      <c r="WD3" s="245"/>
      <c r="WE3" s="245"/>
      <c r="WF3" s="245"/>
      <c r="WG3" s="245"/>
      <c r="WH3" s="245"/>
      <c r="WI3" s="245"/>
      <c r="WJ3" s="245"/>
      <c r="WK3" s="245"/>
      <c r="WL3" s="245"/>
      <c r="WM3" s="245"/>
      <c r="WN3" s="245"/>
      <c r="WO3" s="245"/>
      <c r="WP3" s="245"/>
      <c r="WQ3" s="245"/>
      <c r="WR3" s="245"/>
      <c r="WS3" s="245"/>
      <c r="WT3" s="245"/>
      <c r="WU3" s="245"/>
      <c r="WV3" s="245"/>
      <c r="WW3" s="245"/>
      <c r="WX3" s="245"/>
      <c r="WY3" s="245"/>
      <c r="WZ3" s="245"/>
      <c r="XA3" s="245"/>
    </row>
    <row r="4" spans="1:702" ht="8.15" customHeight="1" x14ac:dyDescent="0.35">
      <c r="A4" s="152" t="s">
        <v>575</v>
      </c>
      <c r="B4" s="156" t="str">
        <f>M37</f>
        <v/>
      </c>
      <c r="D4" s="330"/>
      <c r="R4" s="349"/>
      <c r="S4" s="349"/>
      <c r="U4" s="361"/>
      <c r="W4" s="361"/>
      <c r="AR4" s="361"/>
      <c r="AS4" s="361"/>
      <c r="AT4" s="361"/>
      <c r="CT4" s="245"/>
      <c r="DH4" s="245"/>
      <c r="ID4" s="245"/>
      <c r="IE4" s="245"/>
      <c r="IF4" s="245"/>
      <c r="IG4" s="245"/>
      <c r="IH4" s="245"/>
      <c r="II4" s="245"/>
      <c r="IJ4" s="245"/>
      <c r="IK4" s="245"/>
      <c r="IL4" s="245"/>
      <c r="IM4" s="245"/>
      <c r="IN4" s="245"/>
      <c r="IO4" s="245"/>
      <c r="IP4" s="245"/>
      <c r="IQ4" s="245"/>
      <c r="IR4" s="245"/>
      <c r="IS4" s="245"/>
      <c r="IT4" s="245"/>
      <c r="IU4" s="245"/>
      <c r="IV4" s="245"/>
      <c r="IW4" s="245"/>
      <c r="IX4" s="245"/>
      <c r="IY4" s="245"/>
      <c r="IZ4" s="245"/>
      <c r="JA4" s="245"/>
      <c r="JB4" s="245"/>
      <c r="JC4" s="245"/>
      <c r="JD4" s="245"/>
      <c r="JE4" s="245"/>
      <c r="JF4" s="245"/>
      <c r="JG4" s="245"/>
      <c r="JH4" s="245"/>
      <c r="JI4" s="245"/>
      <c r="JJ4" s="245"/>
      <c r="JK4" s="245"/>
      <c r="JL4" s="245"/>
      <c r="JM4" s="245"/>
      <c r="JN4" s="245"/>
      <c r="JO4" s="245"/>
      <c r="JP4" s="245"/>
      <c r="JQ4" s="245"/>
      <c r="JR4" s="245"/>
      <c r="JS4" s="245"/>
      <c r="JT4" s="245"/>
      <c r="JU4" s="245"/>
      <c r="JV4" s="245"/>
      <c r="JW4" s="245"/>
      <c r="JX4" s="245"/>
      <c r="JY4" s="245"/>
      <c r="JZ4" s="245"/>
      <c r="KA4" s="245"/>
      <c r="KB4" s="245"/>
      <c r="KC4" s="245"/>
      <c r="KD4" s="245"/>
      <c r="KE4" s="245"/>
      <c r="KF4" s="245"/>
      <c r="KG4" s="245"/>
      <c r="KH4" s="245"/>
      <c r="KI4" s="245"/>
      <c r="KJ4" s="245"/>
      <c r="KK4" s="245"/>
      <c r="KL4" s="245"/>
      <c r="KM4" s="245"/>
      <c r="KN4" s="245"/>
      <c r="KO4" s="245"/>
      <c r="KP4" s="245"/>
      <c r="KQ4" s="245"/>
      <c r="KR4" s="245"/>
      <c r="KS4" s="245"/>
      <c r="KT4" s="245"/>
      <c r="KU4" s="245"/>
      <c r="KV4" s="245"/>
      <c r="KW4" s="245"/>
      <c r="KX4" s="245"/>
      <c r="KY4" s="245"/>
      <c r="KZ4" s="245"/>
      <c r="LA4" s="245"/>
      <c r="LB4" s="245"/>
      <c r="LC4" s="245"/>
      <c r="LD4" s="245"/>
      <c r="LE4" s="245"/>
      <c r="LF4" s="245"/>
      <c r="LG4" s="245"/>
      <c r="LH4" s="245"/>
      <c r="LI4" s="245"/>
      <c r="LJ4" s="245"/>
      <c r="LK4" s="245"/>
      <c r="LL4" s="245"/>
      <c r="LM4" s="245"/>
      <c r="LN4" s="245"/>
      <c r="LO4" s="245"/>
      <c r="LP4" s="245"/>
      <c r="LQ4" s="245"/>
      <c r="LR4" s="245"/>
      <c r="LS4" s="245"/>
      <c r="LT4" s="245"/>
      <c r="LU4" s="245"/>
      <c r="LV4" s="245"/>
      <c r="LW4" s="245"/>
      <c r="LX4" s="245"/>
      <c r="LY4" s="245"/>
      <c r="LZ4" s="245"/>
      <c r="MA4" s="245"/>
      <c r="MB4" s="245"/>
      <c r="MC4" s="245"/>
      <c r="MD4" s="245"/>
      <c r="ME4" s="245"/>
      <c r="MF4" s="245"/>
      <c r="MG4" s="245"/>
      <c r="MH4" s="245"/>
      <c r="MI4" s="245"/>
      <c r="MJ4" s="245"/>
      <c r="MK4" s="245"/>
      <c r="ML4" s="245"/>
      <c r="MM4" s="245"/>
      <c r="MN4" s="245"/>
      <c r="MO4" s="245"/>
      <c r="MP4" s="245"/>
      <c r="MQ4" s="245"/>
      <c r="MR4" s="245"/>
      <c r="MS4" s="245"/>
      <c r="MT4" s="245"/>
      <c r="MU4" s="245"/>
      <c r="MV4" s="245"/>
      <c r="MW4" s="245"/>
      <c r="MX4" s="245"/>
      <c r="MY4" s="245"/>
      <c r="MZ4" s="245"/>
      <c r="NA4" s="245"/>
      <c r="NB4" s="245"/>
      <c r="NC4" s="245"/>
      <c r="ND4" s="245"/>
      <c r="NE4" s="245"/>
      <c r="NF4" s="245"/>
      <c r="NG4" s="245"/>
      <c r="NH4" s="245"/>
      <c r="NI4" s="245"/>
      <c r="NJ4" s="245"/>
      <c r="NK4" s="245"/>
      <c r="NL4" s="245"/>
      <c r="NM4" s="245"/>
      <c r="NN4" s="245"/>
      <c r="NO4" s="245"/>
      <c r="NP4" s="245"/>
      <c r="NQ4" s="245"/>
      <c r="NR4" s="245"/>
      <c r="NS4" s="245"/>
      <c r="NT4" s="245"/>
      <c r="NU4" s="245"/>
      <c r="NV4" s="245"/>
      <c r="NW4" s="245"/>
      <c r="NX4" s="245"/>
      <c r="NY4" s="245"/>
      <c r="NZ4" s="245"/>
      <c r="OA4" s="245"/>
      <c r="OB4" s="245"/>
      <c r="OC4" s="245"/>
      <c r="OD4" s="245"/>
      <c r="OE4" s="245"/>
      <c r="OF4" s="245"/>
      <c r="OG4" s="245"/>
      <c r="OH4" s="245"/>
      <c r="OI4" s="245"/>
      <c r="OJ4" s="245"/>
      <c r="OK4" s="245"/>
      <c r="OL4" s="245"/>
      <c r="OM4" s="245"/>
      <c r="ON4" s="245"/>
      <c r="OO4" s="245"/>
      <c r="OP4" s="245"/>
      <c r="OQ4" s="245"/>
      <c r="OR4" s="245"/>
      <c r="OS4" s="245"/>
      <c r="OT4" s="245"/>
      <c r="OU4" s="245"/>
      <c r="OV4" s="245"/>
      <c r="OW4" s="245"/>
      <c r="OX4" s="245"/>
      <c r="OY4" s="245"/>
      <c r="OZ4" s="245"/>
      <c r="PA4" s="245"/>
      <c r="PB4" s="245"/>
      <c r="PC4" s="245"/>
      <c r="PD4" s="245"/>
      <c r="PE4" s="245"/>
      <c r="PF4" s="245"/>
      <c r="PG4" s="245"/>
      <c r="PH4" s="245"/>
      <c r="PI4" s="245"/>
      <c r="PJ4" s="245"/>
      <c r="PK4" s="245"/>
      <c r="PL4" s="245"/>
      <c r="PM4" s="245"/>
      <c r="PN4" s="245"/>
      <c r="PO4" s="245"/>
      <c r="PP4" s="245"/>
      <c r="PQ4" s="245"/>
      <c r="PR4" s="245"/>
      <c r="PS4" s="245"/>
      <c r="PT4" s="245"/>
      <c r="PU4" s="245"/>
      <c r="PV4" s="245"/>
      <c r="PW4" s="245"/>
      <c r="PX4" s="245"/>
      <c r="PY4" s="245"/>
      <c r="PZ4" s="245"/>
      <c r="QA4" s="245"/>
      <c r="QB4" s="245"/>
      <c r="QC4" s="245"/>
      <c r="QD4" s="245"/>
      <c r="QE4" s="245"/>
      <c r="QF4" s="245"/>
      <c r="QG4" s="245"/>
      <c r="QH4" s="245"/>
      <c r="QI4" s="245"/>
      <c r="QJ4" s="245"/>
      <c r="QK4" s="245"/>
      <c r="QL4" s="245"/>
      <c r="QM4" s="245"/>
      <c r="QN4" s="245"/>
      <c r="QO4" s="245"/>
      <c r="QP4" s="245"/>
      <c r="QQ4" s="245"/>
      <c r="QR4" s="245"/>
      <c r="QS4" s="245"/>
      <c r="QT4" s="245"/>
      <c r="QU4" s="245"/>
      <c r="QV4" s="245"/>
      <c r="QW4" s="245"/>
      <c r="QX4" s="245"/>
      <c r="QY4" s="245"/>
      <c r="QZ4" s="245"/>
      <c r="RA4" s="245"/>
      <c r="RB4" s="245"/>
      <c r="RC4" s="245"/>
      <c r="RD4" s="245"/>
      <c r="RE4" s="245"/>
      <c r="RF4" s="245"/>
      <c r="RG4" s="245"/>
      <c r="RH4" s="245"/>
      <c r="RI4" s="245"/>
      <c r="RJ4" s="245"/>
      <c r="RK4" s="245"/>
      <c r="RL4" s="245"/>
      <c r="RM4" s="245"/>
      <c r="RN4" s="245"/>
      <c r="RO4" s="245"/>
      <c r="RP4" s="245"/>
      <c r="RQ4" s="245"/>
      <c r="RR4" s="245"/>
      <c r="RS4" s="245"/>
      <c r="RT4" s="245"/>
      <c r="RU4" s="245"/>
      <c r="RV4" s="245"/>
      <c r="RW4" s="245"/>
      <c r="RX4" s="245"/>
      <c r="RY4" s="245"/>
      <c r="RZ4" s="245"/>
      <c r="SA4" s="245"/>
      <c r="SB4" s="245"/>
      <c r="SC4" s="245"/>
      <c r="SD4" s="245"/>
      <c r="SE4" s="245"/>
      <c r="SF4" s="245"/>
      <c r="SG4" s="245"/>
      <c r="SH4" s="245"/>
      <c r="SI4" s="245"/>
      <c r="SJ4" s="245"/>
      <c r="SK4" s="245"/>
      <c r="SL4" s="245"/>
      <c r="SM4" s="245"/>
      <c r="SN4" s="245"/>
      <c r="SO4" s="245"/>
      <c r="SP4" s="245"/>
      <c r="SQ4" s="245"/>
      <c r="SR4" s="245"/>
      <c r="SS4" s="245"/>
      <c r="ST4" s="245"/>
      <c r="SU4" s="245"/>
      <c r="SV4" s="245"/>
      <c r="SW4" s="245"/>
      <c r="SX4" s="245"/>
      <c r="SY4" s="245"/>
      <c r="SZ4" s="245"/>
      <c r="TA4" s="245"/>
      <c r="TB4" s="245"/>
      <c r="TC4" s="245"/>
      <c r="TD4" s="245"/>
      <c r="TE4" s="245"/>
      <c r="TF4" s="245"/>
      <c r="TG4" s="245"/>
      <c r="TH4" s="245"/>
      <c r="TI4" s="245"/>
      <c r="TJ4" s="245"/>
      <c r="TK4" s="245"/>
      <c r="TL4" s="245"/>
      <c r="TM4" s="245"/>
      <c r="TN4" s="245"/>
      <c r="TO4" s="245"/>
      <c r="TP4" s="245"/>
      <c r="TQ4" s="245"/>
      <c r="TR4" s="245"/>
      <c r="TS4" s="245"/>
      <c r="TT4" s="245"/>
      <c r="TU4" s="245"/>
      <c r="TV4" s="245"/>
      <c r="TW4" s="245"/>
      <c r="TX4" s="245"/>
      <c r="TY4" s="245"/>
      <c r="TZ4" s="245"/>
      <c r="UA4" s="245"/>
      <c r="UB4" s="245"/>
      <c r="UC4" s="245"/>
      <c r="UD4" s="245"/>
      <c r="UE4" s="245"/>
      <c r="UF4" s="245"/>
      <c r="UG4" s="245"/>
      <c r="UH4" s="245"/>
      <c r="UI4" s="245"/>
      <c r="UJ4" s="245"/>
      <c r="UK4" s="245"/>
      <c r="UL4" s="245"/>
      <c r="UM4" s="245"/>
      <c r="UN4" s="245"/>
      <c r="UO4" s="245"/>
      <c r="UP4" s="245"/>
      <c r="UQ4" s="245"/>
      <c r="UR4" s="245"/>
      <c r="US4" s="245"/>
      <c r="UT4" s="245"/>
      <c r="UU4" s="245"/>
      <c r="UV4" s="245"/>
      <c r="UW4" s="245"/>
      <c r="UX4" s="245"/>
      <c r="UY4" s="245"/>
      <c r="UZ4" s="245"/>
      <c r="VA4" s="245"/>
      <c r="VB4" s="245"/>
      <c r="VC4" s="245"/>
      <c r="VD4" s="245"/>
      <c r="VE4" s="245"/>
      <c r="VF4" s="245"/>
      <c r="VG4" s="245"/>
      <c r="VH4" s="245"/>
      <c r="VI4" s="245"/>
      <c r="VJ4" s="245"/>
      <c r="VK4" s="245"/>
      <c r="VL4" s="245"/>
      <c r="VM4" s="245"/>
      <c r="VN4" s="245"/>
      <c r="VO4" s="245"/>
      <c r="VP4" s="245"/>
      <c r="VQ4" s="245"/>
      <c r="VR4" s="245"/>
      <c r="VS4" s="245"/>
      <c r="VT4" s="245"/>
      <c r="VU4" s="245"/>
      <c r="VV4" s="245"/>
      <c r="VW4" s="245"/>
      <c r="VX4" s="245"/>
      <c r="VY4" s="245"/>
      <c r="VZ4" s="245"/>
      <c r="WA4" s="245"/>
      <c r="WB4" s="245"/>
      <c r="WC4" s="245"/>
      <c r="WD4" s="245"/>
      <c r="WE4" s="245"/>
      <c r="WF4" s="245"/>
      <c r="WG4" s="245"/>
      <c r="WH4" s="245"/>
      <c r="WI4" s="245"/>
      <c r="WJ4" s="245"/>
      <c r="WK4" s="245"/>
      <c r="WL4" s="245"/>
      <c r="WM4" s="245"/>
      <c r="WN4" s="245"/>
      <c r="WO4" s="245"/>
      <c r="WP4" s="245"/>
      <c r="WQ4" s="245"/>
      <c r="WR4" s="245"/>
      <c r="WS4" s="245"/>
      <c r="WT4" s="245"/>
      <c r="WU4" s="245"/>
      <c r="WV4" s="245"/>
      <c r="WW4" s="245"/>
      <c r="WX4" s="245"/>
      <c r="WY4" s="245"/>
      <c r="WZ4" s="245"/>
      <c r="XA4" s="245"/>
    </row>
    <row r="5" spans="1:702" ht="8.15" customHeight="1" x14ac:dyDescent="0.35">
      <c r="A5" s="152" t="s">
        <v>576</v>
      </c>
      <c r="B5" s="156">
        <v>6</v>
      </c>
      <c r="D5" s="330"/>
      <c r="I5" s="331"/>
      <c r="L5" s="350"/>
      <c r="M5" s="350"/>
      <c r="O5" s="331"/>
      <c r="P5" s="332"/>
      <c r="U5" s="361"/>
      <c r="W5" s="361"/>
      <c r="AQ5" s="349"/>
      <c r="AR5" s="361"/>
      <c r="AS5" s="361"/>
      <c r="AT5" s="361"/>
      <c r="CT5" s="245"/>
      <c r="DH5" s="245"/>
      <c r="ID5" s="245"/>
      <c r="IE5" s="245"/>
      <c r="IF5" s="245"/>
      <c r="IG5" s="245"/>
      <c r="IH5" s="245"/>
      <c r="II5" s="245"/>
      <c r="IJ5" s="245"/>
      <c r="IK5" s="245"/>
      <c r="IL5" s="245"/>
      <c r="IM5" s="245"/>
      <c r="IN5" s="245"/>
      <c r="IO5" s="245"/>
      <c r="IP5" s="245"/>
      <c r="IQ5" s="245"/>
      <c r="IR5" s="245"/>
      <c r="IS5" s="245"/>
      <c r="IT5" s="245"/>
      <c r="IU5" s="245"/>
      <c r="IV5" s="245"/>
      <c r="IW5" s="245"/>
      <c r="IX5" s="245"/>
      <c r="IY5" s="245"/>
      <c r="IZ5" s="245"/>
      <c r="JA5" s="245"/>
      <c r="JB5" s="245"/>
      <c r="JC5" s="245"/>
      <c r="JD5" s="245"/>
      <c r="JE5" s="245"/>
      <c r="JF5" s="245"/>
      <c r="JG5" s="245"/>
      <c r="JH5" s="245"/>
      <c r="JI5" s="245"/>
      <c r="JJ5" s="245"/>
      <c r="JK5" s="245"/>
      <c r="JL5" s="245"/>
      <c r="JM5" s="245"/>
      <c r="JN5" s="245"/>
      <c r="JO5" s="245"/>
      <c r="JP5" s="245"/>
      <c r="JQ5" s="245"/>
      <c r="JR5" s="245"/>
      <c r="JS5" s="245"/>
      <c r="JT5" s="245"/>
      <c r="JU5" s="245"/>
      <c r="JV5" s="245"/>
      <c r="JW5" s="245"/>
      <c r="JX5" s="245"/>
      <c r="JY5" s="245"/>
      <c r="JZ5" s="245"/>
      <c r="KA5" s="245"/>
      <c r="KB5" s="245"/>
      <c r="KC5" s="245"/>
      <c r="KD5" s="245"/>
      <c r="KE5" s="245"/>
      <c r="KF5" s="245"/>
      <c r="KG5" s="245"/>
      <c r="KH5" s="245"/>
      <c r="KI5" s="245"/>
      <c r="KJ5" s="245"/>
      <c r="KK5" s="245"/>
      <c r="KL5" s="245"/>
      <c r="KM5" s="245"/>
      <c r="KN5" s="245"/>
      <c r="KO5" s="245"/>
      <c r="KP5" s="245"/>
      <c r="KQ5" s="245"/>
      <c r="KR5" s="245"/>
      <c r="KS5" s="245"/>
      <c r="KT5" s="245"/>
      <c r="KU5" s="245"/>
      <c r="KV5" s="245"/>
      <c r="KW5" s="245"/>
      <c r="KX5" s="245"/>
      <c r="KY5" s="245"/>
      <c r="KZ5" s="245"/>
      <c r="LA5" s="245"/>
      <c r="LB5" s="245"/>
      <c r="LC5" s="245"/>
      <c r="LD5" s="245"/>
      <c r="LE5" s="245"/>
      <c r="LF5" s="245"/>
      <c r="LG5" s="245"/>
      <c r="LH5" s="245"/>
      <c r="LI5" s="245"/>
      <c r="LJ5" s="245"/>
      <c r="LK5" s="245"/>
      <c r="LL5" s="245"/>
      <c r="LM5" s="245"/>
      <c r="LN5" s="245"/>
      <c r="LO5" s="245"/>
      <c r="LP5" s="245"/>
      <c r="LQ5" s="245"/>
      <c r="LR5" s="245"/>
      <c r="LS5" s="245"/>
      <c r="LT5" s="245"/>
      <c r="LU5" s="245"/>
      <c r="LV5" s="245"/>
      <c r="LW5" s="245"/>
      <c r="LX5" s="245"/>
      <c r="LY5" s="245"/>
      <c r="LZ5" s="245"/>
      <c r="MA5" s="245"/>
      <c r="MB5" s="245"/>
      <c r="MC5" s="245"/>
      <c r="MD5" s="245"/>
      <c r="ME5" s="245"/>
      <c r="MF5" s="245"/>
      <c r="MG5" s="245"/>
      <c r="MH5" s="245"/>
      <c r="MI5" s="245"/>
      <c r="MJ5" s="245"/>
      <c r="MK5" s="245"/>
      <c r="ML5" s="245"/>
      <c r="MM5" s="245"/>
      <c r="MN5" s="245"/>
      <c r="MO5" s="245"/>
      <c r="MP5" s="245"/>
      <c r="MQ5" s="245"/>
      <c r="MR5" s="245"/>
      <c r="MS5" s="245"/>
      <c r="MT5" s="245"/>
      <c r="MU5" s="245"/>
      <c r="MV5" s="245"/>
      <c r="MW5" s="245"/>
      <c r="MX5" s="245"/>
      <c r="MY5" s="245"/>
      <c r="MZ5" s="245"/>
      <c r="NA5" s="245"/>
      <c r="NB5" s="245"/>
      <c r="NC5" s="245"/>
      <c r="ND5" s="245"/>
      <c r="NE5" s="245"/>
      <c r="NF5" s="245"/>
      <c r="NG5" s="245"/>
      <c r="NH5" s="245"/>
      <c r="NI5" s="245"/>
      <c r="NJ5" s="245"/>
      <c r="NK5" s="245"/>
      <c r="NL5" s="245"/>
      <c r="NM5" s="245"/>
      <c r="NN5" s="245"/>
      <c r="NO5" s="245"/>
      <c r="NP5" s="245"/>
      <c r="NQ5" s="245"/>
      <c r="NR5" s="245"/>
      <c r="NS5" s="245"/>
      <c r="NT5" s="245"/>
      <c r="NU5" s="245"/>
      <c r="NV5" s="245"/>
      <c r="NW5" s="245"/>
      <c r="NX5" s="245"/>
      <c r="NY5" s="245"/>
      <c r="NZ5" s="245"/>
      <c r="OA5" s="245"/>
      <c r="OB5" s="245"/>
      <c r="OC5" s="245"/>
      <c r="OD5" s="245"/>
      <c r="OE5" s="245"/>
      <c r="OF5" s="245"/>
      <c r="OG5" s="245"/>
      <c r="OH5" s="245"/>
      <c r="OI5" s="245"/>
      <c r="OJ5" s="245"/>
      <c r="OK5" s="245"/>
      <c r="OL5" s="245"/>
      <c r="OM5" s="245"/>
      <c r="ON5" s="245"/>
      <c r="OO5" s="245"/>
      <c r="OP5" s="245"/>
      <c r="OQ5" s="245"/>
      <c r="OR5" s="245"/>
      <c r="OS5" s="245"/>
      <c r="OT5" s="245"/>
      <c r="OU5" s="245"/>
      <c r="OV5" s="245"/>
      <c r="OW5" s="245"/>
      <c r="OX5" s="245"/>
      <c r="OY5" s="245"/>
      <c r="OZ5" s="245"/>
      <c r="PA5" s="245"/>
      <c r="PB5" s="245"/>
      <c r="PC5" s="245"/>
      <c r="PD5" s="245"/>
      <c r="PE5" s="245"/>
      <c r="PF5" s="245"/>
      <c r="PG5" s="245"/>
      <c r="PH5" s="245"/>
      <c r="PI5" s="245"/>
      <c r="PJ5" s="245"/>
      <c r="PK5" s="245"/>
      <c r="PL5" s="245"/>
      <c r="PM5" s="245"/>
      <c r="PN5" s="245"/>
      <c r="PO5" s="245"/>
      <c r="PP5" s="245"/>
      <c r="PQ5" s="245"/>
      <c r="PR5" s="245"/>
      <c r="PS5" s="245"/>
      <c r="PT5" s="245"/>
      <c r="PU5" s="245"/>
      <c r="PV5" s="245"/>
      <c r="PW5" s="245"/>
      <c r="PX5" s="245"/>
      <c r="PY5" s="245"/>
      <c r="PZ5" s="245"/>
      <c r="QA5" s="245"/>
      <c r="QB5" s="245"/>
      <c r="QC5" s="245"/>
      <c r="QD5" s="245"/>
      <c r="QE5" s="245"/>
      <c r="QF5" s="245"/>
      <c r="QG5" s="245"/>
      <c r="QH5" s="245"/>
      <c r="QI5" s="245"/>
      <c r="QJ5" s="245"/>
      <c r="QK5" s="245"/>
      <c r="QL5" s="245"/>
      <c r="QM5" s="245"/>
      <c r="QN5" s="245"/>
      <c r="QO5" s="245"/>
      <c r="QP5" s="245"/>
      <c r="QQ5" s="245"/>
      <c r="QR5" s="245"/>
      <c r="QS5" s="245"/>
      <c r="QT5" s="245"/>
      <c r="QU5" s="245"/>
      <c r="QV5" s="245"/>
      <c r="QW5" s="245"/>
      <c r="QX5" s="245"/>
      <c r="QY5" s="245"/>
      <c r="QZ5" s="245"/>
      <c r="RA5" s="245"/>
      <c r="RB5" s="245"/>
      <c r="RC5" s="245"/>
      <c r="RD5" s="245"/>
      <c r="RE5" s="245"/>
      <c r="RF5" s="245"/>
      <c r="RG5" s="245"/>
      <c r="RH5" s="245"/>
      <c r="RI5" s="245"/>
      <c r="RJ5" s="245"/>
      <c r="RK5" s="245"/>
      <c r="RL5" s="245"/>
      <c r="RM5" s="245"/>
      <c r="RN5" s="245"/>
      <c r="RO5" s="245"/>
      <c r="RP5" s="245"/>
      <c r="RQ5" s="245"/>
      <c r="RR5" s="245"/>
      <c r="RS5" s="245"/>
      <c r="RT5" s="245"/>
      <c r="RU5" s="245"/>
      <c r="RV5" s="245"/>
      <c r="RW5" s="245"/>
      <c r="RX5" s="245"/>
      <c r="RY5" s="245"/>
      <c r="RZ5" s="245"/>
      <c r="SA5" s="245"/>
      <c r="SB5" s="245"/>
      <c r="SC5" s="245"/>
      <c r="SD5" s="245"/>
      <c r="SE5" s="245"/>
      <c r="SF5" s="245"/>
      <c r="SG5" s="245"/>
      <c r="SH5" s="245"/>
      <c r="SI5" s="245"/>
      <c r="SJ5" s="245"/>
      <c r="SK5" s="245"/>
      <c r="SL5" s="245"/>
      <c r="SM5" s="245"/>
      <c r="SN5" s="245"/>
      <c r="SO5" s="245"/>
      <c r="SP5" s="245"/>
      <c r="SQ5" s="245"/>
      <c r="SR5" s="245"/>
      <c r="SS5" s="245"/>
      <c r="ST5" s="245"/>
      <c r="SU5" s="245"/>
      <c r="SV5" s="245"/>
      <c r="SW5" s="245"/>
      <c r="SX5" s="245"/>
      <c r="SY5" s="245"/>
      <c r="SZ5" s="245"/>
      <c r="TA5" s="245"/>
      <c r="TB5" s="245"/>
      <c r="TC5" s="245"/>
      <c r="TD5" s="245"/>
      <c r="TE5" s="245"/>
      <c r="TF5" s="245"/>
      <c r="TG5" s="245"/>
      <c r="TH5" s="245"/>
      <c r="TI5" s="245"/>
      <c r="TJ5" s="245"/>
      <c r="TK5" s="245"/>
      <c r="TL5" s="245"/>
      <c r="TM5" s="245"/>
      <c r="TN5" s="245"/>
      <c r="TO5" s="245"/>
      <c r="TP5" s="245"/>
      <c r="TQ5" s="245"/>
      <c r="TR5" s="245"/>
      <c r="TS5" s="245"/>
      <c r="TT5" s="245"/>
      <c r="TU5" s="245"/>
      <c r="TV5" s="245"/>
      <c r="TW5" s="245"/>
      <c r="TX5" s="245"/>
      <c r="TY5" s="245"/>
      <c r="TZ5" s="245"/>
      <c r="UA5" s="245"/>
      <c r="UB5" s="245"/>
      <c r="UC5" s="245"/>
      <c r="UD5" s="245"/>
      <c r="UE5" s="245"/>
      <c r="UF5" s="245"/>
      <c r="UG5" s="245"/>
      <c r="UH5" s="245"/>
      <c r="UI5" s="245"/>
      <c r="UJ5" s="245"/>
      <c r="UK5" s="245"/>
      <c r="UL5" s="245"/>
      <c r="UM5" s="245"/>
      <c r="UN5" s="245"/>
      <c r="UO5" s="245"/>
      <c r="UP5" s="245"/>
      <c r="UQ5" s="245"/>
      <c r="UR5" s="245"/>
      <c r="US5" s="245"/>
      <c r="UT5" s="245"/>
      <c r="UU5" s="245"/>
      <c r="UV5" s="245"/>
      <c r="UW5" s="245"/>
      <c r="UX5" s="245"/>
      <c r="UY5" s="245"/>
      <c r="UZ5" s="245"/>
      <c r="VA5" s="245"/>
      <c r="VB5" s="245"/>
      <c r="VC5" s="245"/>
      <c r="VD5" s="245"/>
      <c r="VE5" s="245"/>
      <c r="VF5" s="245"/>
      <c r="VG5" s="245"/>
      <c r="VH5" s="245"/>
      <c r="VI5" s="245"/>
      <c r="VJ5" s="245"/>
      <c r="VK5" s="245"/>
      <c r="VL5" s="245"/>
      <c r="VM5" s="245"/>
      <c r="VN5" s="245"/>
      <c r="VO5" s="245"/>
      <c r="VP5" s="245"/>
      <c r="VQ5" s="245"/>
      <c r="VR5" s="245"/>
      <c r="VS5" s="245"/>
      <c r="VT5" s="245"/>
      <c r="VU5" s="245"/>
      <c r="VV5" s="245"/>
      <c r="VW5" s="245"/>
      <c r="VX5" s="245"/>
      <c r="VY5" s="245"/>
      <c r="VZ5" s="245"/>
      <c r="WA5" s="245"/>
      <c r="WB5" s="245"/>
      <c r="WC5" s="245"/>
      <c r="WD5" s="245"/>
      <c r="WE5" s="245"/>
      <c r="WF5" s="245"/>
      <c r="WG5" s="245"/>
      <c r="WH5" s="245"/>
      <c r="WI5" s="245"/>
      <c r="WJ5" s="245"/>
      <c r="WK5" s="245"/>
      <c r="WL5" s="245"/>
      <c r="WM5" s="245"/>
      <c r="WN5" s="245"/>
      <c r="WO5" s="245"/>
      <c r="WP5" s="245"/>
      <c r="WQ5" s="245"/>
      <c r="WR5" s="245"/>
      <c r="WS5" s="245"/>
      <c r="WT5" s="245"/>
      <c r="WU5" s="245"/>
      <c r="WV5" s="245"/>
      <c r="WW5" s="245"/>
      <c r="WX5" s="245"/>
      <c r="WY5" s="245"/>
      <c r="WZ5" s="245"/>
      <c r="XA5" s="245"/>
    </row>
    <row r="6" spans="1:702" ht="15" thickBot="1" x14ac:dyDescent="0.4">
      <c r="A6" s="152" t="s">
        <v>577</v>
      </c>
      <c r="B6" s="153" t="str">
        <f>L37</f>
        <v/>
      </c>
      <c r="D6" s="330"/>
      <c r="M6" s="351" t="s">
        <v>709</v>
      </c>
      <c r="N6" s="856" t="s">
        <v>390</v>
      </c>
      <c r="O6" s="857"/>
      <c r="U6" s="362"/>
      <c r="V6" s="363"/>
      <c r="W6" s="361"/>
      <c r="AQ6" s="349"/>
      <c r="AR6" s="361"/>
      <c r="AS6" s="361"/>
      <c r="AT6" s="361"/>
      <c r="AY6" s="349"/>
      <c r="AZ6" s="349"/>
      <c r="BA6" s="349"/>
      <c r="BB6" s="349"/>
      <c r="BC6" s="349"/>
      <c r="CT6" s="245"/>
      <c r="DH6" s="245"/>
      <c r="ID6" s="245"/>
      <c r="IE6" s="245"/>
      <c r="IF6" s="245"/>
      <c r="IG6" s="245"/>
      <c r="IH6" s="245"/>
      <c r="II6" s="245"/>
      <c r="IJ6" s="245"/>
      <c r="IK6" s="245"/>
      <c r="IL6" s="245"/>
      <c r="IM6" s="245"/>
      <c r="IN6" s="245"/>
      <c r="IO6" s="245"/>
      <c r="IP6" s="245"/>
      <c r="IQ6" s="245"/>
      <c r="IR6" s="245"/>
      <c r="IS6" s="245"/>
      <c r="IT6" s="245"/>
      <c r="IU6" s="245"/>
      <c r="IV6" s="245"/>
      <c r="IW6" s="245"/>
      <c r="IX6" s="245"/>
      <c r="IY6" s="245"/>
      <c r="IZ6" s="245"/>
      <c r="JA6" s="245"/>
      <c r="JB6" s="245"/>
      <c r="JC6" s="245"/>
      <c r="JD6" s="245"/>
      <c r="JE6" s="245"/>
      <c r="JF6" s="245"/>
      <c r="JG6" s="245"/>
      <c r="JH6" s="245"/>
      <c r="JI6" s="245"/>
      <c r="JJ6" s="245"/>
      <c r="JK6" s="245"/>
      <c r="JL6" s="245"/>
      <c r="JM6" s="245"/>
      <c r="JN6" s="245"/>
      <c r="JO6" s="245"/>
      <c r="JP6" s="245"/>
      <c r="JQ6" s="245"/>
      <c r="JR6" s="245"/>
      <c r="JS6" s="245"/>
      <c r="JT6" s="245"/>
      <c r="JU6" s="245"/>
      <c r="JV6" s="245"/>
      <c r="JW6" s="245"/>
      <c r="JX6" s="245"/>
      <c r="JY6" s="245"/>
      <c r="JZ6" s="245"/>
      <c r="KA6" s="245"/>
      <c r="KB6" s="245"/>
      <c r="KC6" s="245"/>
      <c r="KD6" s="245"/>
      <c r="KE6" s="245"/>
      <c r="KF6" s="245"/>
      <c r="KG6" s="245"/>
      <c r="KH6" s="245"/>
      <c r="KI6" s="245"/>
      <c r="KJ6" s="245"/>
      <c r="KK6" s="245"/>
      <c r="KL6" s="245"/>
      <c r="KM6" s="245"/>
      <c r="KN6" s="245"/>
      <c r="KO6" s="245"/>
      <c r="KP6" s="245"/>
      <c r="KQ6" s="245"/>
      <c r="KR6" s="245"/>
      <c r="KS6" s="245"/>
      <c r="KT6" s="245"/>
      <c r="KU6" s="245"/>
      <c r="KV6" s="245"/>
      <c r="KW6" s="245"/>
      <c r="KX6" s="245"/>
      <c r="KY6" s="245"/>
      <c r="KZ6" s="245"/>
      <c r="LA6" s="245"/>
      <c r="LB6" s="245"/>
      <c r="LC6" s="245"/>
      <c r="LD6" s="245"/>
      <c r="LE6" s="245"/>
      <c r="LF6" s="245"/>
      <c r="LG6" s="245"/>
      <c r="LH6" s="245"/>
      <c r="LI6" s="245"/>
      <c r="LJ6" s="245"/>
      <c r="LK6" s="245"/>
      <c r="LL6" s="245"/>
      <c r="LM6" s="245"/>
      <c r="LN6" s="245"/>
      <c r="LO6" s="245"/>
      <c r="LP6" s="245"/>
      <c r="LQ6" s="245"/>
      <c r="LR6" s="245"/>
      <c r="LS6" s="245"/>
      <c r="LT6" s="245"/>
      <c r="LU6" s="245"/>
      <c r="LV6" s="245"/>
      <c r="LW6" s="245"/>
      <c r="LX6" s="245"/>
      <c r="LY6" s="245"/>
      <c r="LZ6" s="245"/>
      <c r="MA6" s="245"/>
      <c r="MB6" s="245"/>
      <c r="MC6" s="245"/>
      <c r="MD6" s="245"/>
      <c r="ME6" s="245"/>
      <c r="MF6" s="245"/>
      <c r="MG6" s="245"/>
      <c r="MH6" s="245"/>
      <c r="MI6" s="245"/>
      <c r="MJ6" s="245"/>
      <c r="MK6" s="245"/>
      <c r="ML6" s="245"/>
      <c r="MM6" s="245"/>
      <c r="MN6" s="245"/>
      <c r="MO6" s="245"/>
      <c r="MP6" s="245"/>
      <c r="MQ6" s="245"/>
      <c r="MR6" s="245"/>
      <c r="MS6" s="245"/>
      <c r="MT6" s="245"/>
      <c r="MU6" s="245"/>
      <c r="MV6" s="245"/>
      <c r="MW6" s="245"/>
      <c r="MX6" s="245"/>
      <c r="MY6" s="245"/>
      <c r="MZ6" s="245"/>
      <c r="NA6" s="245"/>
      <c r="NB6" s="245"/>
      <c r="NC6" s="245"/>
      <c r="ND6" s="245"/>
      <c r="NE6" s="245"/>
      <c r="NF6" s="245"/>
      <c r="NG6" s="245"/>
      <c r="NH6" s="245"/>
      <c r="NI6" s="245"/>
      <c r="NJ6" s="245"/>
      <c r="NK6" s="245"/>
      <c r="NL6" s="245"/>
      <c r="NM6" s="245"/>
      <c r="NN6" s="245"/>
      <c r="NO6" s="245"/>
      <c r="NP6" s="245"/>
      <c r="NQ6" s="245"/>
      <c r="NR6" s="245"/>
      <c r="NS6" s="245"/>
      <c r="NT6" s="245"/>
      <c r="NU6" s="245"/>
      <c r="NV6" s="245"/>
      <c r="NW6" s="245"/>
      <c r="NX6" s="245"/>
      <c r="NY6" s="245"/>
      <c r="NZ6" s="245"/>
      <c r="OA6" s="245"/>
      <c r="OB6" s="245"/>
      <c r="OC6" s="245"/>
      <c r="OD6" s="245"/>
      <c r="OE6" s="245"/>
      <c r="OF6" s="245"/>
      <c r="OG6" s="245"/>
      <c r="OH6" s="245"/>
      <c r="OI6" s="245"/>
      <c r="OJ6" s="245"/>
      <c r="OK6" s="245"/>
      <c r="OL6" s="245"/>
      <c r="OM6" s="245"/>
      <c r="ON6" s="245"/>
      <c r="OO6" s="245"/>
      <c r="OP6" s="245"/>
      <c r="OQ6" s="245"/>
      <c r="OR6" s="245"/>
      <c r="OS6" s="245"/>
      <c r="OT6" s="245"/>
      <c r="OU6" s="245"/>
      <c r="OV6" s="245"/>
      <c r="OW6" s="245"/>
      <c r="OX6" s="245"/>
      <c r="OY6" s="245"/>
      <c r="OZ6" s="245"/>
      <c r="PA6" s="245"/>
      <c r="PB6" s="245"/>
      <c r="PC6" s="245"/>
      <c r="PD6" s="245"/>
      <c r="PE6" s="245"/>
      <c r="PF6" s="245"/>
      <c r="PG6" s="245"/>
      <c r="PH6" s="245"/>
      <c r="PI6" s="245"/>
      <c r="PJ6" s="245"/>
      <c r="PK6" s="245"/>
      <c r="PL6" s="245"/>
      <c r="PM6" s="245"/>
      <c r="PN6" s="245"/>
      <c r="PO6" s="245"/>
      <c r="PP6" s="245"/>
      <c r="PQ6" s="245"/>
      <c r="PR6" s="245"/>
      <c r="PS6" s="245"/>
      <c r="PT6" s="245"/>
      <c r="PU6" s="245"/>
      <c r="PV6" s="245"/>
      <c r="PW6" s="245"/>
      <c r="PX6" s="245"/>
      <c r="PY6" s="245"/>
      <c r="PZ6" s="245"/>
      <c r="QA6" s="245"/>
      <c r="QB6" s="245"/>
      <c r="QC6" s="245"/>
      <c r="QD6" s="245"/>
      <c r="QE6" s="245"/>
      <c r="QF6" s="245"/>
      <c r="QG6" s="245"/>
      <c r="QH6" s="245"/>
      <c r="QI6" s="245"/>
      <c r="QJ6" s="245"/>
      <c r="QK6" s="245"/>
      <c r="QL6" s="245"/>
      <c r="QM6" s="245"/>
      <c r="QN6" s="245"/>
      <c r="QO6" s="245"/>
      <c r="QP6" s="245"/>
      <c r="QQ6" s="245"/>
      <c r="QR6" s="245"/>
      <c r="QS6" s="245"/>
      <c r="QT6" s="245"/>
      <c r="QU6" s="245"/>
      <c r="QV6" s="245"/>
      <c r="QW6" s="245"/>
      <c r="QX6" s="245"/>
      <c r="QY6" s="245"/>
      <c r="QZ6" s="245"/>
      <c r="RA6" s="245"/>
      <c r="RB6" s="245"/>
      <c r="RC6" s="245"/>
      <c r="RD6" s="245"/>
      <c r="RE6" s="245"/>
      <c r="RF6" s="245"/>
      <c r="RG6" s="245"/>
      <c r="RH6" s="245"/>
      <c r="RI6" s="245"/>
      <c r="RJ6" s="245"/>
      <c r="RK6" s="245"/>
      <c r="RL6" s="245"/>
      <c r="RM6" s="245"/>
      <c r="RN6" s="245"/>
      <c r="RO6" s="245"/>
      <c r="RP6" s="245"/>
      <c r="RQ6" s="245"/>
      <c r="RR6" s="245"/>
      <c r="RS6" s="245"/>
      <c r="RT6" s="245"/>
      <c r="RU6" s="245"/>
      <c r="RV6" s="245"/>
      <c r="RW6" s="245"/>
      <c r="RX6" s="245"/>
      <c r="RY6" s="245"/>
      <c r="RZ6" s="245"/>
      <c r="SA6" s="245"/>
      <c r="SB6" s="245"/>
      <c r="SC6" s="245"/>
      <c r="SD6" s="245"/>
      <c r="SE6" s="245"/>
      <c r="SF6" s="245"/>
      <c r="SG6" s="245"/>
      <c r="SH6" s="245"/>
      <c r="SI6" s="245"/>
      <c r="SJ6" s="245"/>
      <c r="SK6" s="245"/>
      <c r="SL6" s="245"/>
      <c r="SM6" s="245"/>
      <c r="SN6" s="245"/>
      <c r="SO6" s="245"/>
      <c r="SP6" s="245"/>
      <c r="SQ6" s="245"/>
      <c r="SR6" s="245"/>
      <c r="SS6" s="245"/>
      <c r="ST6" s="245"/>
      <c r="SU6" s="245"/>
      <c r="SV6" s="245"/>
      <c r="SW6" s="245"/>
      <c r="SX6" s="245"/>
      <c r="SY6" s="245"/>
      <c r="SZ6" s="245"/>
      <c r="TA6" s="245"/>
      <c r="TB6" s="245"/>
      <c r="TC6" s="245"/>
      <c r="TD6" s="245"/>
      <c r="TE6" s="245"/>
      <c r="TF6" s="245"/>
      <c r="TG6" s="245"/>
      <c r="TH6" s="245"/>
      <c r="TI6" s="245"/>
      <c r="TJ6" s="245"/>
      <c r="TK6" s="245"/>
      <c r="TL6" s="245"/>
      <c r="TM6" s="245"/>
      <c r="TN6" s="245"/>
      <c r="TO6" s="245"/>
      <c r="TP6" s="245"/>
      <c r="TQ6" s="245"/>
      <c r="TR6" s="245"/>
      <c r="TS6" s="245"/>
      <c r="TT6" s="245"/>
      <c r="TU6" s="245"/>
      <c r="TV6" s="245"/>
      <c r="TW6" s="245"/>
      <c r="TX6" s="245"/>
      <c r="TY6" s="245"/>
      <c r="TZ6" s="245"/>
      <c r="UA6" s="245"/>
      <c r="UB6" s="245"/>
      <c r="UC6" s="245"/>
      <c r="UD6" s="245"/>
      <c r="UE6" s="245"/>
      <c r="UF6" s="245"/>
      <c r="UG6" s="245"/>
      <c r="UH6" s="245"/>
      <c r="UI6" s="245"/>
      <c r="UJ6" s="245"/>
      <c r="UK6" s="245"/>
      <c r="UL6" s="245"/>
      <c r="UM6" s="245"/>
      <c r="UN6" s="245"/>
      <c r="UO6" s="245"/>
      <c r="UP6" s="245"/>
      <c r="UQ6" s="245"/>
      <c r="UR6" s="245"/>
      <c r="US6" s="245"/>
      <c r="UT6" s="245"/>
      <c r="UU6" s="245"/>
      <c r="UV6" s="245"/>
      <c r="UW6" s="245"/>
      <c r="UX6" s="245"/>
      <c r="UY6" s="245"/>
      <c r="UZ6" s="245"/>
      <c r="VA6" s="245"/>
      <c r="VB6" s="245"/>
      <c r="VC6" s="245"/>
      <c r="VD6" s="245"/>
      <c r="VE6" s="245"/>
      <c r="VF6" s="245"/>
      <c r="VG6" s="245"/>
      <c r="VH6" s="245"/>
      <c r="VI6" s="245"/>
      <c r="VJ6" s="245"/>
      <c r="VK6" s="245"/>
      <c r="VL6" s="245"/>
      <c r="VM6" s="245"/>
      <c r="VN6" s="245"/>
      <c r="VO6" s="245"/>
      <c r="VP6" s="245"/>
      <c r="VQ6" s="245"/>
      <c r="VR6" s="245"/>
      <c r="VS6" s="245"/>
      <c r="VT6" s="245"/>
      <c r="VU6" s="245"/>
      <c r="VV6" s="245"/>
      <c r="VW6" s="245"/>
      <c r="VX6" s="245"/>
      <c r="VY6" s="245"/>
      <c r="VZ6" s="245"/>
      <c r="WA6" s="245"/>
      <c r="WB6" s="245"/>
      <c r="WC6" s="245"/>
      <c r="WD6" s="245"/>
      <c r="WE6" s="245"/>
      <c r="WF6" s="245"/>
      <c r="WG6" s="245"/>
      <c r="WH6" s="245"/>
      <c r="WI6" s="245"/>
      <c r="WJ6" s="245"/>
      <c r="WK6" s="245"/>
      <c r="WL6" s="245"/>
      <c r="WM6" s="245"/>
      <c r="WN6" s="245"/>
      <c r="WO6" s="245"/>
      <c r="WP6" s="245"/>
      <c r="WQ6" s="245"/>
      <c r="WR6" s="245"/>
      <c r="WS6" s="245"/>
      <c r="WT6" s="245"/>
      <c r="WU6" s="245"/>
      <c r="WV6" s="245"/>
      <c r="WW6" s="245"/>
      <c r="WX6" s="245"/>
      <c r="WY6" s="245"/>
      <c r="WZ6" s="245"/>
      <c r="XA6" s="245"/>
      <c r="ZF6" s="245" t="s">
        <v>756</v>
      </c>
      <c r="ZQ6" s="245" t="s">
        <v>757</v>
      </c>
    </row>
    <row r="7" spans="1:702" ht="15" thickBot="1" x14ac:dyDescent="0.4">
      <c r="A7" s="152" t="s">
        <v>711</v>
      </c>
      <c r="B7" s="153" t="str">
        <f>IFERROR(VLOOKUP(B4,orderHistory[],2,FALSE),"")</f>
        <v/>
      </c>
      <c r="D7" s="332"/>
      <c r="E7" s="332"/>
      <c r="F7" s="332"/>
      <c r="G7" s="332"/>
      <c r="H7" s="332"/>
      <c r="I7" s="332"/>
      <c r="J7" s="332"/>
      <c r="K7" s="332"/>
      <c r="M7" s="351" t="s">
        <v>708</v>
      </c>
      <c r="N7" s="856" t="s">
        <v>938</v>
      </c>
      <c r="O7" s="857"/>
      <c r="T7" s="245">
        <f ca="1">YEAR(TODAY())</f>
        <v>2024</v>
      </c>
      <c r="U7" s="245">
        <f ca="1">YEAR(TODAY())-1</f>
        <v>2023</v>
      </c>
      <c r="V7" s="332"/>
      <c r="W7" s="361"/>
      <c r="AR7" s="361"/>
      <c r="AS7" s="361"/>
      <c r="AT7" s="361"/>
      <c r="AY7" s="364"/>
      <c r="AZ7" s="332"/>
      <c r="BB7" s="364"/>
      <c r="BC7" s="332"/>
      <c r="CT7" s="245"/>
      <c r="DH7" s="245"/>
      <c r="EE7" s="352" t="s">
        <v>898</v>
      </c>
      <c r="EG7" s="364"/>
      <c r="EJ7" s="562" t="s">
        <v>1151</v>
      </c>
      <c r="EK7" s="563">
        <f>COUNTA($EE$10:$EE$250)-COUNTBLANK($EE$10:$EE$250)</f>
        <v>179</v>
      </c>
      <c r="ID7" s="245"/>
      <c r="IE7" s="245"/>
      <c r="IF7" s="245"/>
      <c r="IG7" s="245"/>
      <c r="IH7" s="245"/>
      <c r="II7" s="245"/>
      <c r="IJ7" s="245"/>
      <c r="IK7" s="245"/>
      <c r="IL7" s="245"/>
      <c r="IM7" s="245"/>
      <c r="IN7" s="245"/>
      <c r="IO7" s="245"/>
      <c r="IP7" s="245"/>
      <c r="IQ7" s="245"/>
      <c r="IR7" s="245"/>
      <c r="IS7" s="245"/>
      <c r="IT7" s="245"/>
      <c r="IU7" s="245"/>
      <c r="IV7" s="245"/>
      <c r="IW7" s="245"/>
      <c r="IX7" s="245"/>
      <c r="IY7" s="245"/>
      <c r="IZ7" s="245"/>
      <c r="JA7" s="245"/>
      <c r="JB7" s="245"/>
      <c r="JC7" s="245"/>
      <c r="JD7" s="245"/>
      <c r="JE7" s="245"/>
      <c r="JF7" s="245"/>
      <c r="JG7" s="245"/>
      <c r="JH7" s="245"/>
      <c r="JI7" s="245"/>
      <c r="JJ7" s="245"/>
      <c r="JK7" s="245"/>
      <c r="JL7" s="245"/>
      <c r="JM7" s="245"/>
      <c r="JN7" s="245"/>
      <c r="JO7" s="245"/>
      <c r="JP7" s="245"/>
      <c r="JQ7" s="245"/>
      <c r="JR7" s="245"/>
      <c r="JS7" s="245"/>
      <c r="JT7" s="245"/>
      <c r="JU7" s="245"/>
      <c r="JV7" s="245"/>
      <c r="JW7" s="245"/>
      <c r="JX7" s="245"/>
      <c r="JY7" s="245"/>
      <c r="JZ7" s="245"/>
      <c r="KA7" s="245"/>
      <c r="KB7" s="245"/>
      <c r="KC7" s="245"/>
      <c r="KD7" s="245"/>
      <c r="KE7" s="245"/>
      <c r="KF7" s="245"/>
      <c r="KG7" s="245"/>
      <c r="KH7" s="245"/>
      <c r="KI7" s="245"/>
      <c r="KJ7" s="245"/>
      <c r="KK7" s="245"/>
      <c r="KL7" s="245"/>
      <c r="KM7" s="245"/>
      <c r="KN7" s="245"/>
      <c r="KO7" s="245"/>
      <c r="KP7" s="245"/>
      <c r="KQ7" s="245"/>
      <c r="KR7" s="245"/>
      <c r="KS7" s="245"/>
      <c r="KT7" s="245"/>
      <c r="KU7" s="245"/>
      <c r="KV7" s="245"/>
      <c r="KW7" s="245"/>
      <c r="KX7" s="245"/>
      <c r="KY7" s="245"/>
      <c r="KZ7" s="245"/>
      <c r="LA7" s="245"/>
      <c r="LB7" s="245"/>
      <c r="LC7" s="245"/>
      <c r="LD7" s="245"/>
      <c r="LE7" s="245"/>
      <c r="LF7" s="245"/>
      <c r="LG7" s="245"/>
      <c r="LH7" s="245"/>
      <c r="LI7" s="245"/>
      <c r="LJ7" s="245"/>
      <c r="LK7" s="245"/>
      <c r="LL7" s="245"/>
      <c r="LM7" s="245"/>
      <c r="LN7" s="245"/>
      <c r="LO7" s="245"/>
      <c r="LP7" s="245"/>
      <c r="LQ7" s="245"/>
      <c r="LR7" s="245"/>
      <c r="LS7" s="245"/>
      <c r="LT7" s="245"/>
      <c r="LU7" s="245"/>
      <c r="LV7" s="245"/>
      <c r="LW7" s="245"/>
      <c r="LX7" s="245"/>
      <c r="LY7" s="245"/>
      <c r="LZ7" s="245"/>
      <c r="MA7" s="245"/>
      <c r="MB7" s="245"/>
      <c r="MC7" s="245"/>
      <c r="MD7" s="245"/>
      <c r="ME7" s="245"/>
      <c r="MF7" s="245"/>
      <c r="MG7" s="245"/>
      <c r="MH7" s="245"/>
      <c r="MI7" s="245"/>
      <c r="MJ7" s="245"/>
      <c r="MK7" s="245"/>
      <c r="ML7" s="245"/>
      <c r="MM7" s="245"/>
      <c r="MN7" s="245"/>
      <c r="MO7" s="245"/>
      <c r="MP7" s="245"/>
      <c r="MQ7" s="245"/>
      <c r="MR7" s="245"/>
      <c r="MS7" s="245"/>
      <c r="MT7" s="245"/>
      <c r="MU7" s="245"/>
      <c r="MV7" s="245"/>
      <c r="MW7" s="245"/>
      <c r="MX7" s="245"/>
      <c r="MY7" s="245"/>
      <c r="MZ7" s="245"/>
      <c r="NA7" s="245"/>
      <c r="NB7" s="245"/>
      <c r="NC7" s="245"/>
      <c r="ND7" s="245"/>
      <c r="NE7" s="245"/>
      <c r="NF7" s="245"/>
      <c r="NG7" s="245"/>
      <c r="NH7" s="245"/>
      <c r="NI7" s="245"/>
      <c r="NJ7" s="245"/>
      <c r="NK7" s="245"/>
      <c r="NL7" s="245"/>
      <c r="NM7" s="245"/>
      <c r="NN7" s="245"/>
      <c r="NO7" s="245"/>
      <c r="NP7" s="245"/>
      <c r="NQ7" s="245"/>
      <c r="NR7" s="245"/>
      <c r="NS7" s="245"/>
      <c r="NT7" s="245"/>
      <c r="NU7" s="245"/>
      <c r="NV7" s="245"/>
      <c r="NW7" s="245"/>
      <c r="NX7" s="245"/>
      <c r="NY7" s="245"/>
      <c r="NZ7" s="245"/>
      <c r="OA7" s="245"/>
      <c r="OB7" s="245"/>
      <c r="OC7" s="245"/>
      <c r="OD7" s="245"/>
      <c r="OE7" s="245"/>
      <c r="OF7" s="245"/>
      <c r="OG7" s="245"/>
      <c r="OH7" s="245"/>
      <c r="OI7" s="245"/>
      <c r="OJ7" s="245"/>
      <c r="OK7" s="245"/>
      <c r="OL7" s="245"/>
      <c r="OM7" s="245"/>
      <c r="ON7" s="245"/>
      <c r="OO7" s="245"/>
      <c r="OP7" s="245"/>
      <c r="OQ7" s="245"/>
      <c r="OR7" s="245"/>
      <c r="OS7" s="245"/>
      <c r="OT7" s="245"/>
      <c r="OU7" s="245"/>
      <c r="OV7" s="245"/>
      <c r="OW7" s="245"/>
      <c r="OX7" s="245"/>
      <c r="OY7" s="245"/>
      <c r="OZ7" s="245"/>
      <c r="PA7" s="245"/>
      <c r="PB7" s="245"/>
      <c r="PC7" s="245"/>
      <c r="PD7" s="245"/>
      <c r="PE7" s="245"/>
      <c r="PF7" s="245"/>
      <c r="PG7" s="245"/>
      <c r="PH7" s="245"/>
      <c r="PI7" s="245"/>
      <c r="PJ7" s="245"/>
      <c r="PK7" s="245"/>
      <c r="PL7" s="245"/>
      <c r="PM7" s="245"/>
      <c r="PN7" s="245"/>
      <c r="PO7" s="245"/>
      <c r="PP7" s="245"/>
      <c r="PQ7" s="245"/>
      <c r="PR7" s="245"/>
      <c r="PS7" s="245"/>
      <c r="PT7" s="245"/>
      <c r="PU7" s="245"/>
      <c r="PV7" s="245"/>
      <c r="PW7" s="245"/>
      <c r="PX7" s="245"/>
      <c r="PY7" s="245"/>
      <c r="PZ7" s="245"/>
      <c r="QA7" s="245"/>
      <c r="QB7" s="245"/>
      <c r="QC7" s="245"/>
      <c r="QD7" s="245"/>
      <c r="QE7" s="245"/>
      <c r="QF7" s="245"/>
      <c r="QG7" s="245"/>
      <c r="QH7" s="245"/>
      <c r="QI7" s="245"/>
      <c r="QJ7" s="245"/>
      <c r="QK7" s="245"/>
      <c r="QL7" s="245"/>
      <c r="QM7" s="245"/>
      <c r="QN7" s="245"/>
      <c r="QO7" s="245"/>
      <c r="QP7" s="245"/>
      <c r="QQ7" s="245"/>
      <c r="QR7" s="245"/>
      <c r="QS7" s="245"/>
      <c r="QT7" s="245"/>
      <c r="QU7" s="245"/>
      <c r="QV7" s="245"/>
      <c r="QW7" s="245"/>
      <c r="QX7" s="245"/>
      <c r="QY7" s="245"/>
      <c r="QZ7" s="245"/>
      <c r="RA7" s="245"/>
      <c r="RB7" s="245"/>
      <c r="RC7" s="245"/>
      <c r="RD7" s="245"/>
      <c r="RE7" s="245"/>
      <c r="RF7" s="245"/>
      <c r="RG7" s="245"/>
      <c r="RH7" s="245"/>
      <c r="RI7" s="245"/>
      <c r="RJ7" s="245"/>
      <c r="RK7" s="245"/>
      <c r="RL7" s="245"/>
      <c r="RM7" s="245"/>
      <c r="RN7" s="245"/>
      <c r="RO7" s="245"/>
      <c r="RP7" s="245"/>
      <c r="RQ7" s="245"/>
      <c r="RR7" s="245"/>
      <c r="RS7" s="245"/>
      <c r="RT7" s="245"/>
      <c r="RU7" s="245"/>
      <c r="RV7" s="245"/>
      <c r="RW7" s="245"/>
      <c r="RX7" s="245"/>
      <c r="RY7" s="245"/>
      <c r="RZ7" s="245"/>
      <c r="SA7" s="245"/>
      <c r="SB7" s="245"/>
      <c r="SC7" s="245"/>
      <c r="SD7" s="245"/>
      <c r="SE7" s="245"/>
      <c r="SF7" s="245"/>
      <c r="SG7" s="245"/>
      <c r="SH7" s="245"/>
      <c r="SI7" s="245"/>
      <c r="SJ7" s="245"/>
      <c r="SK7" s="245"/>
      <c r="SL7" s="245"/>
      <c r="SM7" s="245"/>
      <c r="SN7" s="245"/>
      <c r="SO7" s="245"/>
      <c r="SP7" s="245"/>
      <c r="SQ7" s="245"/>
      <c r="SR7" s="245"/>
      <c r="SS7" s="245"/>
      <c r="ST7" s="245"/>
      <c r="SU7" s="245"/>
      <c r="SV7" s="245"/>
      <c r="SW7" s="245"/>
      <c r="SX7" s="245"/>
      <c r="SY7" s="245"/>
      <c r="SZ7" s="245"/>
      <c r="TA7" s="245"/>
      <c r="TB7" s="245"/>
      <c r="TC7" s="245"/>
      <c r="TD7" s="245"/>
      <c r="TE7" s="245"/>
      <c r="TF7" s="245"/>
      <c r="TG7" s="245"/>
      <c r="TH7" s="245"/>
      <c r="TI7" s="245"/>
      <c r="TJ7" s="245"/>
      <c r="TK7" s="245"/>
      <c r="TL7" s="245"/>
      <c r="TM7" s="245"/>
      <c r="TN7" s="245"/>
      <c r="TO7" s="245"/>
      <c r="TP7" s="245"/>
      <c r="TQ7" s="245"/>
      <c r="TR7" s="245"/>
      <c r="TS7" s="245"/>
      <c r="TT7" s="245"/>
      <c r="TU7" s="245"/>
      <c r="TV7" s="245"/>
      <c r="TW7" s="245"/>
      <c r="TX7" s="245"/>
      <c r="TY7" s="245"/>
      <c r="TZ7" s="245"/>
      <c r="UA7" s="245"/>
      <c r="UB7" s="245"/>
      <c r="UC7" s="245"/>
      <c r="UD7" s="245"/>
      <c r="UE7" s="245"/>
      <c r="UF7" s="245"/>
      <c r="UG7" s="245"/>
      <c r="UH7" s="245"/>
      <c r="UI7" s="245"/>
      <c r="UJ7" s="245"/>
      <c r="UK7" s="245"/>
      <c r="UL7" s="245"/>
      <c r="UM7" s="245"/>
      <c r="UN7" s="245"/>
      <c r="UO7" s="245"/>
      <c r="UP7" s="245"/>
      <c r="UQ7" s="245"/>
      <c r="UR7" s="245"/>
      <c r="US7" s="245"/>
      <c r="UT7" s="245"/>
      <c r="UU7" s="245"/>
      <c r="UV7" s="245"/>
      <c r="UW7" s="245"/>
      <c r="UX7" s="245"/>
      <c r="UY7" s="245"/>
      <c r="UZ7" s="245"/>
      <c r="VA7" s="245"/>
      <c r="VB7" s="245"/>
      <c r="VC7" s="245"/>
      <c r="VD7" s="245"/>
      <c r="VE7" s="245"/>
      <c r="VF7" s="245"/>
      <c r="VG7" s="245"/>
      <c r="VH7" s="245"/>
      <c r="VI7" s="245"/>
      <c r="VJ7" s="245"/>
      <c r="VK7" s="245"/>
      <c r="VL7" s="245"/>
      <c r="VM7" s="245"/>
      <c r="VN7" s="245"/>
      <c r="VO7" s="245"/>
      <c r="VP7" s="245"/>
      <c r="VQ7" s="245"/>
      <c r="VR7" s="245"/>
      <c r="VS7" s="245"/>
      <c r="VT7" s="245"/>
      <c r="VU7" s="245"/>
      <c r="VV7" s="245"/>
      <c r="VW7" s="245"/>
      <c r="VX7" s="245"/>
      <c r="VY7" s="245"/>
      <c r="VZ7" s="245"/>
      <c r="WA7" s="245"/>
      <c r="WB7" s="245"/>
      <c r="WC7" s="245"/>
      <c r="WD7" s="245"/>
      <c r="WE7" s="245"/>
      <c r="WF7" s="245"/>
      <c r="WG7" s="245"/>
      <c r="WH7" s="245"/>
      <c r="WI7" s="245"/>
      <c r="WJ7" s="245"/>
      <c r="WK7" s="245"/>
      <c r="WL7" s="245"/>
      <c r="WM7" s="245"/>
      <c r="WN7" s="245"/>
      <c r="WO7" s="245"/>
      <c r="WP7" s="245"/>
      <c r="WQ7" s="245"/>
      <c r="WR7" s="245"/>
      <c r="WS7" s="245"/>
      <c r="WT7" s="245"/>
      <c r="WU7" s="245"/>
      <c r="WV7" s="245"/>
      <c r="WW7" s="245"/>
      <c r="WX7" s="245"/>
      <c r="WY7" s="245"/>
      <c r="WZ7" s="245"/>
      <c r="XA7" s="245"/>
    </row>
    <row r="8" spans="1:702" ht="15" customHeight="1" thickBot="1" x14ac:dyDescent="0.4">
      <c r="A8" s="152" t="s">
        <v>578</v>
      </c>
      <c r="B8" s="153">
        <v>0</v>
      </c>
      <c r="D8" s="333" t="s">
        <v>579</v>
      </c>
      <c r="F8" s="334" t="s">
        <v>620</v>
      </c>
      <c r="L8" s="352" t="s">
        <v>712</v>
      </c>
      <c r="U8" s="361"/>
      <c r="W8" s="361"/>
      <c r="AO8" s="331"/>
      <c r="AQ8" s="334"/>
      <c r="AR8" s="361"/>
      <c r="AS8" s="361"/>
      <c r="AT8" s="361"/>
      <c r="AW8" s="334"/>
      <c r="BE8" s="334"/>
      <c r="BO8" s="365"/>
      <c r="BX8" s="331" t="s">
        <v>580</v>
      </c>
      <c r="BZ8" s="334" t="s">
        <v>581</v>
      </c>
      <c r="CT8" s="245"/>
      <c r="CV8" s="334" t="s">
        <v>582</v>
      </c>
      <c r="DA8" s="245"/>
      <c r="DH8" s="245"/>
      <c r="EC8" s="331" t="s">
        <v>1044</v>
      </c>
      <c r="EE8" s="830" t="s">
        <v>899</v>
      </c>
      <c r="EF8" s="828" t="s">
        <v>1109</v>
      </c>
      <c r="EG8" s="824" t="s">
        <v>1154</v>
      </c>
      <c r="EH8" s="824" t="s">
        <v>1155</v>
      </c>
      <c r="EI8" s="824" t="s">
        <v>1156</v>
      </c>
      <c r="EJ8" s="824" t="s">
        <v>1157</v>
      </c>
      <c r="EK8" s="826" t="s">
        <v>1158</v>
      </c>
      <c r="EM8" s="334"/>
      <c r="EN8" s="334"/>
      <c r="EO8" s="334"/>
      <c r="EP8" s="334"/>
      <c r="EQ8" s="334"/>
      <c r="ER8" s="334"/>
      <c r="FD8" s="331"/>
      <c r="FF8" s="331"/>
      <c r="FG8" s="331"/>
      <c r="FH8" s="331"/>
      <c r="FI8" s="331"/>
      <c r="FJ8" s="331"/>
      <c r="FK8" s="331"/>
      <c r="FL8" s="331"/>
      <c r="FM8" s="331"/>
      <c r="FN8" s="331"/>
      <c r="FO8" s="331"/>
      <c r="FP8" s="331"/>
      <c r="FQ8" s="331"/>
      <c r="FR8" s="331"/>
      <c r="FS8" s="331"/>
      <c r="FT8" s="331"/>
      <c r="FU8" s="331"/>
      <c r="FV8" s="331"/>
      <c r="FW8" s="331"/>
      <c r="FX8" s="331"/>
      <c r="FY8" s="331"/>
      <c r="FZ8" s="331"/>
      <c r="GA8" s="331"/>
      <c r="GB8" s="331"/>
      <c r="GC8" s="331"/>
      <c r="GD8" s="331"/>
      <c r="GE8" s="331"/>
      <c r="GF8" s="331"/>
      <c r="GG8" s="331"/>
      <c r="GH8" s="331"/>
      <c r="GI8" s="331"/>
      <c r="GJ8" s="331"/>
      <c r="GK8" s="331"/>
      <c r="GL8" s="331"/>
      <c r="GM8" s="331"/>
      <c r="GN8" s="331"/>
      <c r="GO8" s="331"/>
      <c r="GP8" s="331"/>
      <c r="GQ8" s="331"/>
      <c r="GR8" s="331"/>
      <c r="GS8" s="331"/>
      <c r="GT8" s="331"/>
      <c r="GU8" s="331"/>
      <c r="GV8" s="331"/>
      <c r="GW8" s="331"/>
      <c r="GX8" s="331"/>
      <c r="GY8" s="331"/>
      <c r="GZ8" s="331"/>
      <c r="HA8" s="331"/>
      <c r="HB8" s="331"/>
      <c r="HC8" s="331"/>
      <c r="HD8" s="331"/>
      <c r="HE8" s="331"/>
      <c r="HF8" s="331"/>
      <c r="HG8" s="331"/>
      <c r="HH8" s="331"/>
      <c r="HI8" s="331"/>
      <c r="HJ8" s="331"/>
      <c r="HK8" s="331"/>
      <c r="HL8" s="331"/>
      <c r="HM8" s="331"/>
      <c r="HN8" s="331"/>
      <c r="HO8" s="331"/>
      <c r="HP8" s="331"/>
      <c r="HQ8" s="331"/>
      <c r="HR8" s="331"/>
      <c r="HS8" s="331"/>
      <c r="HT8" s="331"/>
      <c r="ID8" s="245"/>
      <c r="IE8" s="245"/>
      <c r="IF8" s="245"/>
      <c r="IG8" s="245"/>
      <c r="IH8" s="245"/>
      <c r="II8" s="245"/>
      <c r="IJ8" s="245"/>
      <c r="IK8" s="245"/>
      <c r="IL8" s="245"/>
      <c r="IM8" s="245"/>
      <c r="IN8" s="245"/>
      <c r="IO8" s="245"/>
      <c r="IP8" s="245"/>
      <c r="IQ8" s="245"/>
      <c r="IR8" s="245"/>
      <c r="IS8" s="245"/>
      <c r="IT8" s="245"/>
      <c r="IU8" s="245"/>
      <c r="IV8" s="245"/>
      <c r="IW8" s="245"/>
      <c r="IX8" s="245"/>
      <c r="IY8" s="245"/>
      <c r="IZ8" s="245"/>
      <c r="JA8" s="245"/>
      <c r="JB8" s="245"/>
      <c r="JC8" s="245"/>
      <c r="JD8" s="245"/>
      <c r="JE8" s="245"/>
      <c r="JF8" s="245"/>
      <c r="JG8" s="245"/>
      <c r="JH8" s="245"/>
      <c r="JI8" s="245"/>
      <c r="JJ8" s="245"/>
      <c r="JK8" s="245"/>
      <c r="JL8" s="245"/>
      <c r="JM8" s="245"/>
      <c r="JN8" s="245"/>
      <c r="JO8" s="245"/>
      <c r="JP8" s="245"/>
      <c r="JQ8" s="245"/>
      <c r="JR8" s="245"/>
      <c r="JS8" s="245"/>
      <c r="JT8" s="245"/>
      <c r="JU8" s="245"/>
      <c r="JV8" s="245"/>
      <c r="JW8" s="245"/>
      <c r="JX8" s="245"/>
      <c r="JY8" s="245"/>
      <c r="JZ8" s="245"/>
      <c r="KA8" s="245"/>
      <c r="KB8" s="245"/>
      <c r="KC8" s="245"/>
      <c r="KD8" s="245"/>
      <c r="KE8" s="245"/>
      <c r="KF8" s="245"/>
      <c r="KG8" s="245"/>
      <c r="KH8" s="245"/>
      <c r="KI8" s="245"/>
      <c r="KJ8" s="245"/>
      <c r="KK8" s="245"/>
      <c r="KL8" s="245"/>
      <c r="KM8" s="245"/>
      <c r="KN8" s="245"/>
      <c r="KO8" s="245"/>
      <c r="KP8" s="245"/>
      <c r="KQ8" s="245"/>
      <c r="KR8" s="245"/>
      <c r="KS8" s="245"/>
      <c r="KT8" s="245"/>
      <c r="KU8" s="245"/>
      <c r="KV8" s="245"/>
      <c r="KW8" s="245"/>
      <c r="KX8" s="245"/>
      <c r="KY8" s="245"/>
      <c r="KZ8" s="245"/>
      <c r="LA8" s="245"/>
      <c r="LB8" s="245"/>
      <c r="LC8" s="245"/>
      <c r="LD8" s="245"/>
      <c r="LE8" s="245"/>
      <c r="LF8" s="245"/>
      <c r="LG8" s="245"/>
      <c r="LH8" s="245"/>
      <c r="LI8" s="245"/>
      <c r="LJ8" s="245"/>
      <c r="LK8" s="245"/>
      <c r="LL8" s="245"/>
      <c r="LM8" s="245"/>
      <c r="LN8" s="245"/>
      <c r="LO8" s="245"/>
      <c r="LP8" s="245"/>
      <c r="LQ8" s="245"/>
      <c r="LR8" s="245"/>
      <c r="LS8" s="245"/>
      <c r="LT8" s="245"/>
      <c r="LU8" s="245"/>
      <c r="LV8" s="245"/>
      <c r="LW8" s="245"/>
      <c r="LX8" s="245"/>
      <c r="LY8" s="245"/>
      <c r="LZ8" s="245"/>
      <c r="MA8" s="245"/>
      <c r="MB8" s="245"/>
      <c r="MC8" s="245"/>
      <c r="MD8" s="245"/>
      <c r="ME8" s="245"/>
      <c r="MF8" s="245"/>
      <c r="MG8" s="245"/>
      <c r="MH8" s="245"/>
      <c r="MI8" s="245"/>
      <c r="MJ8" s="245"/>
      <c r="MK8" s="245"/>
      <c r="ML8" s="245"/>
      <c r="MM8" s="245"/>
      <c r="MN8" s="245"/>
      <c r="MO8" s="245"/>
      <c r="MP8" s="245"/>
      <c r="MQ8" s="245"/>
      <c r="MR8" s="245"/>
      <c r="MS8" s="245"/>
      <c r="MT8" s="245"/>
      <c r="MU8" s="245"/>
      <c r="MV8" s="245"/>
      <c r="MW8" s="245"/>
      <c r="MX8" s="245"/>
      <c r="MY8" s="245"/>
      <c r="MZ8" s="245"/>
      <c r="NA8" s="245"/>
      <c r="NB8" s="245"/>
      <c r="NC8" s="245"/>
      <c r="ND8" s="245"/>
      <c r="NE8" s="245"/>
      <c r="NF8" s="245"/>
      <c r="NG8" s="245"/>
      <c r="NH8" s="245"/>
      <c r="NI8" s="245"/>
      <c r="NJ8" s="245"/>
      <c r="NK8" s="245"/>
      <c r="NL8" s="245"/>
      <c r="NM8" s="245"/>
      <c r="NN8" s="245"/>
      <c r="NO8" s="245"/>
      <c r="NP8" s="245"/>
      <c r="NQ8" s="245"/>
      <c r="NR8" s="245"/>
      <c r="NS8" s="245"/>
      <c r="NT8" s="245"/>
      <c r="NU8" s="245"/>
      <c r="NV8" s="245"/>
      <c r="NW8" s="245"/>
      <c r="NX8" s="245"/>
      <c r="NY8" s="245"/>
      <c r="NZ8" s="245"/>
      <c r="OA8" s="245"/>
      <c r="OB8" s="245"/>
      <c r="OC8" s="245"/>
      <c r="OD8" s="245"/>
      <c r="OE8" s="245"/>
      <c r="OF8" s="245"/>
      <c r="OG8" s="245"/>
      <c r="OH8" s="245"/>
      <c r="OI8" s="245"/>
      <c r="OJ8" s="245"/>
      <c r="OK8" s="245"/>
      <c r="OL8" s="245"/>
      <c r="OM8" s="245"/>
      <c r="ON8" s="245"/>
      <c r="OO8" s="245"/>
      <c r="OP8" s="245"/>
      <c r="OQ8" s="245"/>
      <c r="OR8" s="245"/>
      <c r="OS8" s="245"/>
      <c r="OT8" s="245"/>
      <c r="OU8" s="245"/>
      <c r="OV8" s="245"/>
      <c r="OW8" s="245"/>
      <c r="OX8" s="245"/>
      <c r="OY8" s="245"/>
      <c r="OZ8" s="245"/>
      <c r="PA8" s="245"/>
      <c r="PB8" s="245"/>
      <c r="PC8" s="245"/>
      <c r="PD8" s="245"/>
      <c r="PE8" s="245"/>
      <c r="PF8" s="245"/>
      <c r="PG8" s="245"/>
      <c r="PH8" s="245"/>
      <c r="PI8" s="245"/>
      <c r="PJ8" s="245"/>
      <c r="PK8" s="245"/>
      <c r="PL8" s="245"/>
      <c r="PM8" s="245"/>
      <c r="PN8" s="245"/>
      <c r="PO8" s="245"/>
      <c r="PP8" s="245"/>
      <c r="PQ8" s="245"/>
      <c r="PR8" s="245"/>
      <c r="PS8" s="245"/>
      <c r="PT8" s="245"/>
      <c r="PU8" s="245"/>
      <c r="PV8" s="245"/>
      <c r="PW8" s="245"/>
      <c r="PX8" s="245"/>
      <c r="PY8" s="245"/>
      <c r="PZ8" s="245"/>
      <c r="QA8" s="245"/>
      <c r="QB8" s="245"/>
      <c r="QC8" s="245"/>
      <c r="QD8" s="245"/>
      <c r="QE8" s="245"/>
      <c r="QF8" s="245"/>
      <c r="QG8" s="245"/>
      <c r="QH8" s="245"/>
      <c r="QI8" s="245"/>
      <c r="QJ8" s="245"/>
      <c r="QK8" s="245"/>
      <c r="QL8" s="245"/>
      <c r="QM8" s="245"/>
      <c r="QN8" s="245"/>
      <c r="QO8" s="245"/>
      <c r="QP8" s="245"/>
      <c r="QQ8" s="245"/>
      <c r="QR8" s="245"/>
      <c r="QS8" s="245"/>
      <c r="QT8" s="245"/>
      <c r="QU8" s="245"/>
      <c r="QV8" s="245"/>
      <c r="QW8" s="245"/>
      <c r="QX8" s="245"/>
      <c r="QY8" s="245"/>
      <c r="QZ8" s="245"/>
      <c r="RA8" s="245"/>
      <c r="RB8" s="245"/>
      <c r="RC8" s="245"/>
      <c r="RD8" s="245"/>
      <c r="RE8" s="245"/>
      <c r="RF8" s="245"/>
      <c r="RG8" s="245"/>
      <c r="RH8" s="245"/>
      <c r="RI8" s="245"/>
      <c r="RJ8" s="245"/>
      <c r="RK8" s="245"/>
      <c r="RL8" s="245"/>
      <c r="RM8" s="245"/>
      <c r="RN8" s="245"/>
      <c r="RO8" s="245"/>
      <c r="RP8" s="245"/>
      <c r="RQ8" s="245"/>
      <c r="RR8" s="245"/>
      <c r="RS8" s="245"/>
      <c r="RT8" s="245"/>
      <c r="RU8" s="245"/>
      <c r="RV8" s="245"/>
      <c r="RW8" s="245"/>
      <c r="RX8" s="245"/>
      <c r="RY8" s="245"/>
      <c r="RZ8" s="245"/>
      <c r="SA8" s="245"/>
      <c r="SB8" s="245"/>
      <c r="SC8" s="245"/>
      <c r="SD8" s="245"/>
      <c r="SE8" s="245"/>
      <c r="SF8" s="245"/>
      <c r="SG8" s="245"/>
      <c r="SH8" s="245"/>
      <c r="SI8" s="245"/>
      <c r="SJ8" s="245"/>
      <c r="SK8" s="245"/>
      <c r="SL8" s="245"/>
      <c r="SM8" s="245"/>
      <c r="SN8" s="245"/>
      <c r="SO8" s="245"/>
      <c r="SP8" s="245"/>
      <c r="SQ8" s="245"/>
      <c r="SR8" s="245"/>
      <c r="SS8" s="245"/>
      <c r="ST8" s="245"/>
      <c r="SU8" s="245"/>
      <c r="SV8" s="245"/>
      <c r="SW8" s="245"/>
      <c r="SX8" s="245"/>
      <c r="SY8" s="245"/>
      <c r="SZ8" s="245"/>
      <c r="TA8" s="245"/>
      <c r="TB8" s="245"/>
      <c r="TC8" s="245"/>
      <c r="TD8" s="245"/>
      <c r="TE8" s="245"/>
      <c r="TF8" s="245"/>
      <c r="TG8" s="245"/>
      <c r="TH8" s="245"/>
      <c r="TI8" s="245"/>
      <c r="TJ8" s="245"/>
      <c r="TK8" s="245"/>
      <c r="TL8" s="245"/>
      <c r="TM8" s="245"/>
      <c r="TN8" s="245"/>
      <c r="TO8" s="245"/>
      <c r="TP8" s="245"/>
      <c r="TQ8" s="245"/>
      <c r="TR8" s="245"/>
      <c r="TS8" s="245"/>
      <c r="TT8" s="245"/>
      <c r="TU8" s="245"/>
      <c r="TV8" s="245"/>
      <c r="TW8" s="245"/>
      <c r="TX8" s="245"/>
      <c r="TY8" s="245"/>
      <c r="TZ8" s="245"/>
      <c r="UA8" s="245"/>
      <c r="UB8" s="245"/>
      <c r="UC8" s="245"/>
      <c r="UD8" s="245"/>
      <c r="UE8" s="245"/>
      <c r="UF8" s="245"/>
      <c r="UG8" s="245"/>
      <c r="UH8" s="245"/>
      <c r="UI8" s="245"/>
      <c r="UJ8" s="245"/>
      <c r="UK8" s="245"/>
      <c r="UL8" s="245"/>
      <c r="UM8" s="245"/>
      <c r="UN8" s="245"/>
      <c r="UO8" s="245"/>
      <c r="UP8" s="245"/>
      <c r="UQ8" s="245"/>
      <c r="UR8" s="245"/>
      <c r="US8" s="245"/>
      <c r="UT8" s="245"/>
      <c r="UU8" s="245"/>
      <c r="UV8" s="245"/>
      <c r="UW8" s="245"/>
      <c r="UX8" s="245"/>
      <c r="UY8" s="245"/>
      <c r="UZ8" s="245"/>
      <c r="VA8" s="245"/>
      <c r="VB8" s="245"/>
      <c r="VC8" s="245"/>
      <c r="VD8" s="245"/>
      <c r="VE8" s="245"/>
      <c r="VF8" s="245"/>
      <c r="VG8" s="245"/>
      <c r="VH8" s="245"/>
      <c r="VI8" s="245"/>
      <c r="VJ8" s="245"/>
      <c r="VK8" s="245"/>
      <c r="VL8" s="245"/>
      <c r="VM8" s="245"/>
      <c r="VN8" s="245"/>
      <c r="VO8" s="245"/>
      <c r="VP8" s="245"/>
      <c r="VQ8" s="245"/>
      <c r="VR8" s="245"/>
      <c r="VS8" s="245"/>
      <c r="VT8" s="245"/>
      <c r="VU8" s="245"/>
      <c r="VV8" s="245"/>
      <c r="VW8" s="245"/>
      <c r="VX8" s="245"/>
      <c r="VY8" s="245"/>
      <c r="VZ8" s="245"/>
      <c r="WA8" s="245"/>
      <c r="WB8" s="245"/>
      <c r="WC8" s="245"/>
      <c r="WD8" s="245"/>
      <c r="WE8" s="245"/>
      <c r="WF8" s="245"/>
      <c r="WG8" s="245"/>
      <c r="WH8" s="245"/>
      <c r="WI8" s="245"/>
      <c r="WJ8" s="245"/>
      <c r="WK8" s="245"/>
      <c r="WL8" s="245"/>
      <c r="WM8" s="245"/>
      <c r="WN8" s="245"/>
      <c r="WO8" s="245"/>
      <c r="WP8" s="245"/>
      <c r="WQ8" s="245"/>
      <c r="WR8" s="245"/>
      <c r="WS8" s="245"/>
      <c r="WT8" s="245"/>
      <c r="WU8" s="245"/>
      <c r="WV8" s="245"/>
      <c r="WW8" s="245"/>
      <c r="WX8" s="245"/>
      <c r="WY8" s="245"/>
      <c r="WZ8" s="245"/>
      <c r="XA8" s="245"/>
      <c r="ZF8" s="334" t="s">
        <v>621</v>
      </c>
      <c r="ZQ8" s="334" t="s">
        <v>755</v>
      </c>
    </row>
    <row r="9" spans="1:702" ht="15" customHeight="1" thickBot="1" x14ac:dyDescent="0.4">
      <c r="A9" s="152" t="s">
        <v>714</v>
      </c>
      <c r="B9" s="153"/>
      <c r="D9" s="335"/>
      <c r="F9" s="90"/>
      <c r="G9" s="98" t="s">
        <v>583</v>
      </c>
      <c r="H9" s="79"/>
      <c r="I9" s="79"/>
      <c r="J9" s="80"/>
      <c r="L9" s="107" t="s">
        <v>382</v>
      </c>
      <c r="M9" s="86" t="s">
        <v>375</v>
      </c>
      <c r="N9" s="86" t="s">
        <v>713</v>
      </c>
      <c r="O9" s="86" t="s">
        <v>381</v>
      </c>
      <c r="P9" s="86" t="s">
        <v>390</v>
      </c>
      <c r="Q9" s="86" t="s">
        <v>391</v>
      </c>
      <c r="R9" s="86" t="s">
        <v>931</v>
      </c>
      <c r="S9" s="86" t="s">
        <v>1153</v>
      </c>
      <c r="T9" s="86" t="s">
        <v>394</v>
      </c>
      <c r="U9" s="151" t="s">
        <v>399</v>
      </c>
      <c r="V9" s="87" t="s">
        <v>389</v>
      </c>
      <c r="W9" s="75"/>
      <c r="AO9" s="372"/>
      <c r="AQ9" s="373"/>
      <c r="AR9" s="374"/>
      <c r="AS9" s="374"/>
      <c r="AT9" s="374"/>
      <c r="AU9" s="338"/>
      <c r="AW9" s="375"/>
      <c r="AX9" s="336"/>
      <c r="AY9" s="337"/>
      <c r="AZ9" s="337"/>
      <c r="BA9" s="337"/>
      <c r="BB9" s="337"/>
      <c r="BC9" s="337"/>
      <c r="BD9" s="376"/>
      <c r="BE9" s="375"/>
      <c r="BF9" s="337"/>
      <c r="BG9" s="377"/>
      <c r="BH9" s="337"/>
      <c r="BI9" s="337"/>
      <c r="BJ9" s="338"/>
      <c r="BO9" s="432"/>
      <c r="BX9" s="372">
        <f>IF($B$6="",$D$9,$B$6)</f>
        <v>0</v>
      </c>
      <c r="BZ9" s="100" t="s">
        <v>0</v>
      </c>
      <c r="CA9" s="101" t="s">
        <v>6</v>
      </c>
      <c r="CB9" s="101" t="s">
        <v>376</v>
      </c>
      <c r="CC9" s="102" t="s">
        <v>932</v>
      </c>
      <c r="CD9" s="122" t="s">
        <v>377</v>
      </c>
      <c r="CE9" s="101" t="s">
        <v>378</v>
      </c>
      <c r="CF9" s="101" t="s">
        <v>379</v>
      </c>
      <c r="CG9" s="101" t="s">
        <v>584</v>
      </c>
      <c r="CH9" s="101" t="s">
        <v>922</v>
      </c>
      <c r="CI9" s="101" t="s">
        <v>585</v>
      </c>
      <c r="CJ9" s="101" t="s">
        <v>15</v>
      </c>
      <c r="CK9" s="101" t="s">
        <v>16</v>
      </c>
      <c r="CL9" s="101" t="s">
        <v>23</v>
      </c>
      <c r="CM9" s="101" t="s">
        <v>1</v>
      </c>
      <c r="CN9" s="122" t="s">
        <v>374</v>
      </c>
      <c r="CO9" s="122" t="s">
        <v>5</v>
      </c>
      <c r="CP9" s="122" t="s">
        <v>1148</v>
      </c>
      <c r="CQ9" s="101" t="s">
        <v>380</v>
      </c>
      <c r="CR9" s="102" t="s">
        <v>933</v>
      </c>
      <c r="CS9" s="103" t="s">
        <v>934</v>
      </c>
      <c r="CT9" s="103" t="s">
        <v>1161</v>
      </c>
      <c r="CV9" s="105"/>
      <c r="CW9" s="79"/>
      <c r="CX9" s="79"/>
      <c r="CY9" s="79"/>
      <c r="CZ9" s="79"/>
      <c r="DA9" s="80"/>
      <c r="DH9" s="245"/>
      <c r="EC9" s="442"/>
      <c r="EE9" s="831"/>
      <c r="EF9" s="829"/>
      <c r="EG9" s="825"/>
      <c r="EH9" s="825"/>
      <c r="EI9" s="825"/>
      <c r="EJ9" s="825"/>
      <c r="EK9" s="827"/>
      <c r="FF9" s="331"/>
      <c r="FG9" s="331"/>
      <c r="FH9" s="331"/>
      <c r="FI9" s="331"/>
      <c r="FJ9" s="331"/>
      <c r="FK9" s="331"/>
      <c r="FL9" s="331"/>
      <c r="FM9" s="331"/>
      <c r="FN9" s="331"/>
      <c r="FO9" s="331"/>
      <c r="FP9" s="331"/>
      <c r="FQ9" s="331"/>
      <c r="FR9" s="331"/>
      <c r="FS9" s="331"/>
      <c r="FT9" s="331"/>
      <c r="FU9" s="331"/>
      <c r="FV9" s="331"/>
      <c r="FW9" s="331"/>
      <c r="FX9" s="331"/>
      <c r="FY9" s="331"/>
      <c r="FZ9" s="331"/>
      <c r="GA9" s="331"/>
      <c r="GB9" s="331"/>
      <c r="GC9" s="331"/>
      <c r="GD9" s="331"/>
      <c r="GE9" s="331"/>
      <c r="GF9" s="331"/>
      <c r="GG9" s="331"/>
      <c r="GH9" s="331"/>
      <c r="GI9" s="331"/>
      <c r="GJ9" s="331"/>
      <c r="GK9" s="331"/>
      <c r="GL9" s="331"/>
      <c r="GM9" s="331"/>
      <c r="GN9" s="331"/>
      <c r="GO9" s="331"/>
      <c r="GP9" s="331"/>
      <c r="GQ9" s="331"/>
      <c r="GR9" s="331"/>
      <c r="GS9" s="331"/>
      <c r="GT9" s="331"/>
      <c r="GU9" s="331"/>
      <c r="GV9" s="331"/>
      <c r="GW9" s="331"/>
      <c r="GX9" s="331"/>
      <c r="GY9" s="331"/>
      <c r="GZ9" s="331"/>
      <c r="HA9" s="331"/>
      <c r="HB9" s="331"/>
      <c r="HC9" s="331"/>
      <c r="HD9" s="331"/>
      <c r="HE9" s="331"/>
      <c r="HF9" s="331"/>
      <c r="HG9" s="331"/>
      <c r="HH9" s="331"/>
      <c r="HI9" s="331"/>
      <c r="HJ9" s="331"/>
      <c r="HK9" s="331"/>
      <c r="HL9" s="331"/>
      <c r="HM9" s="331"/>
      <c r="HN9" s="331"/>
      <c r="HO9" s="331"/>
      <c r="HP9" s="331"/>
      <c r="HQ9" s="331"/>
      <c r="HR9" s="331"/>
      <c r="HS9" s="331"/>
      <c r="HT9" s="331"/>
      <c r="ZF9" s="807" t="s">
        <v>763</v>
      </c>
      <c r="ZG9" s="808"/>
      <c r="ZH9" s="808"/>
      <c r="ZI9" s="808"/>
      <c r="ZJ9" s="808"/>
      <c r="ZK9" s="808"/>
      <c r="ZL9" s="808"/>
      <c r="ZM9" s="808"/>
      <c r="ZN9" s="808"/>
      <c r="ZO9" s="809"/>
      <c r="ZQ9" s="807" t="s">
        <v>763</v>
      </c>
      <c r="ZR9" s="808"/>
      <c r="ZS9" s="808"/>
      <c r="ZT9" s="808"/>
      <c r="ZU9" s="808"/>
      <c r="ZV9" s="808"/>
      <c r="ZW9" s="808"/>
      <c r="ZX9" s="808"/>
      <c r="ZY9" s="808"/>
      <c r="ZZ9" s="809"/>
    </row>
    <row r="10" spans="1:702" ht="15" customHeight="1" x14ac:dyDescent="0.35">
      <c r="B10" s="150"/>
      <c r="D10" s="333" t="s">
        <v>586</v>
      </c>
      <c r="F10" s="91"/>
      <c r="G10" s="844" t="str">
        <f>IF($D$9="",IF($B$6="","Filter the orders by client or select an order from the list",INDEX(clientData[company_name1],MATCH($B$6,clientData[cod_cliente],0))),INDEX(clientData[company_name1],MATCH($D$9,clientData[cod_cliente],0)))</f>
        <v>Filter the orders by client or select an order from the list</v>
      </c>
      <c r="H10" s="845"/>
      <c r="I10" s="846"/>
      <c r="J10" s="82"/>
      <c r="L10" s="443">
        <f t="array" ref="L10">IFERROR(IF($D$9="",IF($D$11="",IF($D$13="",IF($D$15="",INDEX(orderHistory[customer],SMALL(MATCH(ROW(orderHistory[customer]),ROW(orderHistory[customer])),ROWS($A$15:A15)+$B$3)),INDEX(orderHistory[customer],SMALL(IF(ISNUMBER(MATCH(YEAR(orderHistory[invoice_date]),$D$15,0)),MATCH(ROW(orderHistory[customer]),ROW(orderHistory[customer])),""),ROWS($A$15:A15)+$B$3))),IF($D$15="",INDEX(orderHistory[customer],SMALL(IF(ISNUMBER(MATCH(orderHistory[order_type],$D$13,0)),MATCH(ROW(orderHistory[customer]),ROW(orderHistory[customer])),""),ROWS($A$15:A15)+$B$3)),INDEX(orderHistory[customer],SMALL(IF(ISNUMBER(MATCH(orderHistory[order_type],$D$13,0)*MATCH(YEAR(orderHistory[invoice_date]),$D$15,0)),MATCH(ROW(orderHistory[customer]),ROW(orderHistory[customer])),""),ROWS($A$15:A15)+$B$3)))),IF($D$13="",IF($D$15="",INDEX(orderHistory[customer],SMALL(IF(ISNUMBER(MATCH(orderHistory[status],$D$11,0)),MATCH(ROW(orderHistory[customer]),ROW(orderHistory[customer])),""),ROWS($A$15:A15)+$B$3)),INDEX(orderHistory[customer],SMALL(IF(ISNUMBER(MATCH(orderHistory[status],$D$11,0)*MATCH(YEAR(orderHistory[invoice_date]),$D$15,0)),MATCH(ROW(orderHistory[customer]),ROW(orderHistory[customer])),""),ROWS($A$15:A15)+$B$3))),IF($D$15="",INDEX(orderHistory[customer],SMALL(IF(ISNUMBER(MATCH(orderHistory[status],$D$11,0)*MATCH(orderHistory[order_type],$D$13,0)),MATCH(ROW(orderHistory[customer]),ROW(orderHistory[customer])),""),ROWS($A$15:A15)+$B$3)),INDEX(orderHistory[customer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customer],SMALL(IF(ISNUMBER(MATCH(orderHistory[customer],$D$9,0)),MATCH(ROW(orderHistory[customer]),ROW(orderHistory[customer])),""),ROWS($A$15:A15)+$B$3)),INDEX(orderHistory[customer],SMALL(IF(ISNUMBER(MATCH(orderHistory[customer],$D$9,0)*MATCH(YEAR(orderHistory[invoice_date]),$D$15,0)),MATCH(ROW(orderHistory[customer]),ROW(orderHistory[customer])),""),ROWS($A$15:A15)+$B$3))),IF($D$15="",INDEX(orderHistory[customer],SMALL(IF(ISNUMBER(MATCH(orderHistory[customer],$D$9,0)*MATCH(orderHistory[order_type],$D$13,0)),MATCH(ROW(orderHistory[customer]),ROW(orderHistory[customer])),""),ROWS($A$15:A15)+$B$3)),INDEX(orderHistory[customer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YEAR(orderHistory[invoice_date]),$D$15,0)),MATCH(ROW(orderHistory[customer]),ROW(orderHistory[customer])),""),ROWS($A$15:A15)+$B$3))),IF($D$15="",INDEX(orderHistory[customer],SMALL(IF(ISNUMBER(MATCH(orderHistory[customer],$D$9,0)*MATCH(orderHistory[status],$D$11,0)*MATCH(orderHistory[order_type],$D$13,0)),MATCH(ROW(orderHistory[customer]),ROW(orderHistory[customer])),""),ROWS($A$15:A15)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M10" s="444">
        <f t="array" ref="M10">IFERROR(IF($D$9="",IF($D$11="",IF($D$13="",IF($D$15="",INDEX(orderHistory[order_no],SMALL(MATCH(ROW(orderHistory[customer]),ROW(orderHistory[customer])),ROWS($A$15:A15)+$B$3)),INDEX(orderHistory[order_no],SMALL(IF(ISNUMBER(MATCH(YEAR(orderHistory[invoice_date]),$D$15,0)),MATCH(ROW(orderHistory[customer]),ROW(orderHistory[customer])),""),ROWS($A$15:A15)+$B$3))),IF($D$15="",INDEX(orderHistory[order_no],SMALL(IF(ISNUMBER(MATCH(orderHistory[order_type],$D$13,0)),MATCH(ROW(orderHistory[customer]),ROW(orderHistory[customer])),""),ROWS($A$15:A15)+$B$3)),INDEX(orderHistory[order_no],SMALL(IF(ISNUMBER(MATCH(orderHistory[order_type],$D$13,0)*MATCH(YEAR(orderHistory[invoice_date]),$D$15,0)),MATCH(ROW(orderHistory[customer]),ROW(orderHistory[customer])),""),ROWS($A$15:A15)+$B$3)))),IF($D$13="",IF($D$15="",INDEX(orderHistory[order_no],SMALL(IF(ISNUMBER(MATCH(orderHistory[status],$D$11,0)),MATCH(ROW(orderHistory[customer]),ROW(orderHistory[customer])),""),ROWS($A$15:A15)+$B$3)),INDEX(orderHistory[order_no],SMALL(IF(ISNUMBER(MATCH(orderHistory[status],$D$11,0)*MATCH(YEAR(orderHistory[invoice_date]),$D$15,0)),MATCH(ROW(orderHistory[customer]),ROW(orderHistory[customer])),""),ROWS($A$15:A15)+$B$3))),IF($D$15="",INDEX(orderHistory[order_no],SMALL(IF(ISNUMBER(MATCH(orderHistory[status],$D$11,0)*MATCH(orderHistory[order_type],$D$13,0)),MATCH(ROW(orderHistory[customer]),ROW(orderHistory[customer])),""),ROWS($A$15:A15)+$B$3)),INDEX(orderHistory[order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no],SMALL(IF(ISNUMBER(MATCH(orderHistory[customer],$D$9,0)),MATCH(ROW(orderHistory[customer]),ROW(orderHistory[customer])),""),ROWS($A$15:A15)+$B$3)),INDEX(orderHistory[order_no],SMALL(IF(ISNUMBER(MATCH(orderHistory[customer],$D$9,0)*MATCH(YEAR(orderHistory[invoice_date]),$D$15,0)),MATCH(ROW(orderHistory[customer]),ROW(orderHistory[customer])),""),ROWS($A$15:A15)+$B$3))),IF($D$15="",INDEX(orderHistory[order_no],SMALL(IF(ISNUMBER(MATCH(orderHistory[customer],$D$9,0)*MATCH(orderHistory[order_type],$D$13,0)),MATCH(ROW(orderHistory[customer]),ROW(orderHistory[customer])),""),ROWS($A$15:A15)+$B$3)),INDEX(orderHistory[order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YEAR(orderHistory[invoice_date]),$D$15,0)),MATCH(ROW(orderHistory[customer]),ROW(orderHistory[customer])),""),ROWS($A$15:A15)+$B$3))),IF($D$15="",INDEX(orderHistory[order_no],SMALL(IF(ISNUMBER(MATCH(orderHistory[customer],$D$9,0)*MATCH(orderHistory[status],$D$11,0)*MATCH(orderHistory[order_type],$D$13,0)),MATCH(ROW(orderHistory[customer]),ROW(orderHistory[customer])),""),ROWS($A$15:A15)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N10" s="445">
        <f t="array" ref="N10">IFERROR(IF($D$9="",IF($D$11="",IF($D$13="",IF($D$15="",INDEX(orderHistory[order_type],SMALL(MATCH(ROW(orderHistory[customer]),ROW(orderHistory[customer])),ROWS($A$15:A15)+$B$3)),INDEX(orderHistory[order_type],SMALL(IF(ISNUMBER(MATCH(YEAR(orderHistory[invoice_date]),$D$15,0)),MATCH(ROW(orderHistory[customer]),ROW(orderHistory[customer])),""),ROWS($A$15:A15)+$B$3))),IF($D$15="",INDEX(orderHistory[order_type],SMALL(IF(ISNUMBER(MATCH(orderHistory[order_type],$D$13,0)),MATCH(ROW(orderHistory[customer]),ROW(orderHistory[customer])),""),ROWS($A$15:A15)+$B$3)),INDEX(orderHistory[order_type],SMALL(IF(ISNUMBER(MATCH(orderHistory[order_type],$D$13,0)*MATCH(YEAR(orderHistory[invoice_date]),$D$15,0)),MATCH(ROW(orderHistory[customer]),ROW(orderHistory[customer])),""),ROWS($A$15:A15)+$B$3)))),IF($D$13="",IF($D$15="",INDEX(orderHistory[order_type],SMALL(IF(ISNUMBER(MATCH(orderHistory[status],$D$11,0)),MATCH(ROW(orderHistory[customer]),ROW(orderHistory[customer])),""),ROWS($A$15:A15)+$B$3)),INDEX(orderHistory[order_type],SMALL(IF(ISNUMBER(MATCH(orderHistory[status],$D$11,0)*MATCH(YEAR(orderHistory[invoice_date]),$D$15,0)),MATCH(ROW(orderHistory[customer]),ROW(orderHistory[customer])),""),ROWS($A$15:A15)+$B$3))),IF($D$15="",INDEX(orderHistory[order_type],SMALL(IF(ISNUMBER(MATCH(orderHistory[status],$D$11,0)*MATCH(orderHistory[order_type],$D$13,0)),MATCH(ROW(orderHistory[customer]),ROW(orderHistory[customer])),""),ROWS($A$15:A15)+$B$3)),INDEX(orderHistory[order_typ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type],SMALL(IF(ISNUMBER(MATCH(orderHistory[customer],$D$9,0)),MATCH(ROW(orderHistory[customer]),ROW(orderHistory[customer])),""),ROWS($A$15:A15)+$B$3)),INDEX(orderHistory[order_type],SMALL(IF(ISNUMBER(MATCH(orderHistory[customer],$D$9,0)*MATCH(YEAR(orderHistory[invoice_date]),$D$15,0)),MATCH(ROW(orderHistory[customer]),ROW(orderHistory[customer])),""),ROWS($A$15:A15)+$B$3))),IF($D$15="",INDEX(orderHistory[order_type],SMALL(IF(ISNUMBER(MATCH(orderHistory[customer],$D$9,0)*MATCH(orderHistory[order_type],$D$13,0)),MATCH(ROW(orderHistory[customer]),ROW(orderHistory[customer])),""),ROWS($A$15:A15)+$B$3)),INDEX(orderHistory[order_typ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YEAR(orderHistory[invoice_date]),$D$15,0)),MATCH(ROW(orderHistory[customer]),ROW(orderHistory[customer])),""),ROWS($A$15:A15)+$B$3))),IF($D$15="",INDEX(orderHistory[order_type],SMALL(IF(ISNUMBER(MATCH(orderHistory[customer],$D$9,0)*MATCH(orderHistory[status],$D$11,0)*MATCH(orderHistory[order_type],$D$13,0)),MATCH(ROW(orderHistory[customer]),ROW(orderHistory[customer])),""),ROWS($A$15:A15)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O10" s="446">
        <f t="array" ref="O10">IFERROR(IF($D$9="",IF($D$11="",IF($D$13="",IF($D$15="",INDEX(orderHistory[order_date],SMALL(MATCH(ROW(orderHistory[customer]),ROW(orderHistory[customer])),ROWS($A$15:A15)+$B$3)),INDEX(orderHistory[order_date],SMALL(IF(ISNUMBER(MATCH(YEAR(orderHistory[invoice_date]),$D$15,0)),MATCH(ROW(orderHistory[customer]),ROW(orderHistory[customer])),""),ROWS($A$15:A15)+$B$3))),IF($D$15="",INDEX(orderHistory[order_date],SMALL(IF(ISNUMBER(MATCH(orderHistory[order_type],$D$13,0)),MATCH(ROW(orderHistory[customer]),ROW(orderHistory[customer])),""),ROWS($A$15:A15)+$B$3)),INDEX(orderHistory[order_date],SMALL(IF(ISNUMBER(MATCH(orderHistory[order_type],$D$13,0)*MATCH(YEAR(orderHistory[invoice_date]),$D$15,0)),MATCH(ROW(orderHistory[customer]),ROW(orderHistory[customer])),""),ROWS($A$15:A15)+$B$3)))),IF($D$13="",IF($D$15="",INDEX(orderHistory[order_date],SMALL(IF(ISNUMBER(MATCH(orderHistory[status],$D$11,0)),MATCH(ROW(orderHistory[customer]),ROW(orderHistory[customer])),""),ROWS($A$15:A15)+$B$3)),INDEX(orderHistory[order_date],SMALL(IF(ISNUMBER(MATCH(orderHistory[status],$D$11,0)*MATCH(YEAR(orderHistory[invoice_date]),$D$15,0)),MATCH(ROW(orderHistory[customer]),ROW(orderHistory[customer])),""),ROWS($A$15:A15)+$B$3))),IF($D$15="",INDEX(orderHistory[order_date],SMALL(IF(ISNUMBER(MATCH(orderHistory[status],$D$11,0)*MATCH(orderHistory[order_type],$D$13,0)),MATCH(ROW(orderHistory[customer]),ROW(orderHistory[customer])),""),ROWS($A$15:A15)+$B$3)),INDEX(orderHistory[order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date],SMALL(IF(ISNUMBER(MATCH(orderHistory[customer],$D$9,0)),MATCH(ROW(orderHistory[customer]),ROW(orderHistory[customer])),""),ROWS($A$15:A15)+$B$3)),INDEX(orderHistory[order_date],SMALL(IF(ISNUMBER(MATCH(orderHistory[customer],$D$9,0)*MATCH(YEAR(orderHistory[invoice_date]),$D$15,0)),MATCH(ROW(orderHistory[customer]),ROW(orderHistory[customer])),""),ROWS($A$15:A15)+$B$3))),IF($D$15="",INDEX(orderHistory[order_date],SMALL(IF(ISNUMBER(MATCH(orderHistory[customer],$D$9,0)*MATCH(orderHistory[order_type],$D$13,0)),MATCH(ROW(orderHistory[customer]),ROW(orderHistory[customer])),""),ROWS($A$15:A15)+$B$3)),INDEX(orderHistory[order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YEAR(orderHistory[invoice_date]),$D$15,0)),MATCH(ROW(orderHistory[customer]),ROW(orderHistory[customer])),""),ROWS($A$15:A15)+$B$3))),IF($D$15="",INDEX(orderHistory[order_date],SMALL(IF(ISNUMBER(MATCH(orderHistory[customer],$D$9,0)*MATCH(orderHistory[status],$D$11,0)*MATCH(orderHistory[order_type],$D$13,0)),MATCH(ROW(orderHistory[customer]),ROW(orderHistory[customer])),""),ROWS($A$15:A15)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P10" s="447">
        <f t="array" ref="P10">IFERROR(IF($D$9="",IF($D$11="",IF($D$13="",IF($D$15="",INDEX(orderHistory[invoice_no],SMALL(MATCH(ROW(orderHistory[customer]),ROW(orderHistory[customer])),ROWS($A$15:A15)+$B$3)),INDEX(orderHistory[invoice_no],SMALL(IF(ISNUMBER(MATCH(YEAR(orderHistory[invoice_date]),$D$15,0)),MATCH(ROW(orderHistory[customer]),ROW(orderHistory[customer])),""),ROWS($A$15:A15)+$B$3))),IF($D$15="",INDEX(orderHistory[invoice_no],SMALL(IF(ISNUMBER(MATCH(orderHistory[order_type],$D$13,0)),MATCH(ROW(orderHistory[customer]),ROW(orderHistory[customer])),""),ROWS($A$15:A15)+$B$3)),INDEX(orderHistory[invoice_no],SMALL(IF(ISNUMBER(MATCH(orderHistory[order_type],$D$13,0)*MATCH(YEAR(orderHistory[invoice_date]),$D$15,0)),MATCH(ROW(orderHistory[customer]),ROW(orderHistory[customer])),""),ROWS($A$15:A15)+$B$3)))),IF($D$13="",IF($D$15="",INDEX(orderHistory[invoice_no],SMALL(IF(ISNUMBER(MATCH(orderHistory[status],$D$11,0)),MATCH(ROW(orderHistory[customer]),ROW(orderHistory[customer])),""),ROWS($A$15:A15)+$B$3)),INDEX(orderHistory[invoice_no],SMALL(IF(ISNUMBER(MATCH(orderHistory[status],$D$11,0)*MATCH(YEAR(orderHistory[invoice_date]),$D$15,0)),MATCH(ROW(orderHistory[customer]),ROW(orderHistory[customer])),""),ROWS($A$15:A15)+$B$3))),IF($D$15="",INDEX(orderHistory[invoice_no],SMALL(IF(ISNUMBER(MATCH(orderHistory[status],$D$11,0)*MATCH(orderHistory[order_type],$D$13,0)),MATCH(ROW(orderHistory[customer]),ROW(orderHistory[customer])),""),ROWS($A$15:A15)+$B$3)),INDEX(orderHistory[invoice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no],SMALL(IF(ISNUMBER(MATCH(orderHistory[customer],$D$9,0)),MATCH(ROW(orderHistory[customer]),ROW(orderHistory[customer])),""),ROWS($A$15:A15)+$B$3)),INDEX(orderHistory[invoice_no],SMALL(IF(ISNUMBER(MATCH(orderHistory[customer],$D$9,0)*MATCH(YEAR(orderHistory[invoice_date]),$D$15,0)),MATCH(ROW(orderHistory[customer]),ROW(orderHistory[customer])),""),ROWS($A$15:A15)+$B$3))),IF($D$15="",INDEX(orderHistory[invoice_no],SMALL(IF(ISNUMBER(MATCH(orderHistory[customer],$D$9,0)*MATCH(orderHistory[order_type],$D$13,0)),MATCH(ROW(orderHistory[customer]),ROW(orderHistory[customer])),""),ROWS($A$15:A15)+$B$3)),INDEX(orderHistory[invoice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YEAR(orderHistory[invoice_date]),$D$15,0)),MATCH(ROW(orderHistory[customer]),ROW(orderHistory[customer])),""),ROWS($A$15:A15)+$B$3))),IF($D$15="",INDEX(orderHistory[invoice_no],SMALL(IF(ISNUMBER(MATCH(orderHistory[customer],$D$9,0)*MATCH(orderHistory[status],$D$11,0)*MATCH(orderHistory[order_type],$D$13,0)),MATCH(ROW(orderHistory[customer]),ROW(orderHistory[customer])),""),ROWS($A$15:A15)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Q10" s="448">
        <f t="array" ref="Q10">IFERROR(IF($D$9="",IF($D$11="",IF($D$13="",IF($D$15="",INDEX(orderHistory[invoice_date],SMALL(MATCH(ROW(orderHistory[customer]),ROW(orderHistory[customer])),ROWS($A$15:A15)+$B$3)),INDEX(orderHistory[invoice_date],SMALL(IF(ISNUMBER(MATCH(YEAR(orderHistory[invoice_date]),$D$15,0)),MATCH(ROW(orderHistory[customer]),ROW(orderHistory[customer])),""),ROWS($A$15:A15)+$B$3))),IF($D$15="",INDEX(orderHistory[invoice_date],SMALL(IF(ISNUMBER(MATCH(orderHistory[order_type],$D$13,0)),MATCH(ROW(orderHistory[customer]),ROW(orderHistory[customer])),""),ROWS($A$15:A15)+$B$3)),INDEX(orderHistory[invoice_date],SMALL(IF(ISNUMBER(MATCH(orderHistory[order_type],$D$13,0)*MATCH(YEAR(orderHistory[invoice_date]),$D$15,0)),MATCH(ROW(orderHistory[customer]),ROW(orderHistory[customer])),""),ROWS($A$15:A15)+$B$3)))),IF($D$13="",IF($D$15="",INDEX(orderHistory[invoice_date],SMALL(IF(ISNUMBER(MATCH(orderHistory[status],$D$11,0)),MATCH(ROW(orderHistory[customer]),ROW(orderHistory[customer])),""),ROWS($A$15:A15)+$B$3)),INDEX(orderHistory[invoice_date],SMALL(IF(ISNUMBER(MATCH(orderHistory[status],$D$11,0)*MATCH(YEAR(orderHistory[invoice_date]),$D$15,0)),MATCH(ROW(orderHistory[customer]),ROW(orderHistory[customer])),""),ROWS($A$15:A15)+$B$3))),IF($D$15="",INDEX(orderHistory[invoice_date],SMALL(IF(ISNUMBER(MATCH(orderHistory[status],$D$11,0)*MATCH(orderHistory[order_type],$D$13,0)),MATCH(ROW(orderHistory[customer]),ROW(orderHistory[customer])),""),ROWS($A$15:A15)+$B$3)),INDEX(orderHistory[invoice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date],SMALL(IF(ISNUMBER(MATCH(orderHistory[customer],$D$9,0)),MATCH(ROW(orderHistory[customer]),ROW(orderHistory[customer])),""),ROWS($A$15:A15)+$B$3)),INDEX(orderHistory[invoice_date],SMALL(IF(ISNUMBER(MATCH(orderHistory[customer],$D$9,0)*MATCH(YEAR(orderHistory[invoice_date]),$D$15,0)),MATCH(ROW(orderHistory[customer]),ROW(orderHistory[customer])),""),ROWS($A$15:A15)+$B$3))),IF($D$15="",INDEX(orderHistory[invoice_date],SMALL(IF(ISNUMBER(MATCH(orderHistory[customer],$D$9,0)*MATCH(orderHistory[order_type],$D$13,0)),MATCH(ROW(orderHistory[customer]),ROW(orderHistory[customer])),""),ROWS($A$15:A15)+$B$3)),INDEX(orderHistory[invoice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YEAR(orderHistory[invoice_date]),$D$15,0)),MATCH(ROW(orderHistory[customer]),ROW(orderHistory[customer])),""),ROWS($A$15:A15)+$B$3))),IF($D$15="",INDEX(orderHistory[invoice_date],SMALL(IF(ISNUMBER(MATCH(orderHistory[customer],$D$9,0)*MATCH(orderHistory[status],$D$11,0)*MATCH(orderHistory[order_type],$D$13,0)),MATCH(ROW(orderHistory[customer]),ROW(orderHistory[customer])),""),ROWS($A$15:A15)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R10" s="449">
        <f t="array" ref="R10">IFERROR(IF($D$9="",IF($D$11="",IF($D$13="",IF($D$15="",INDEX(orderHistory[inv_amount],SMALL(MATCH(ROW(orderHistory[customer]),ROW(orderHistory[customer])),ROWS($A$15:A15)+$B$3)),INDEX(orderHistory[inv_amount],SMALL(IF(ISNUMBER(MATCH(YEAR(orderHistory[invoice_date]),$D$15,0)),MATCH(ROW(orderHistory[customer]),ROW(orderHistory[customer])),""),ROWS($A$15:A15)+$B$3))),IF($D$15="",INDEX(orderHistory[inv_amount],SMALL(IF(ISNUMBER(MATCH(orderHistory[order_type],$D$13,0)),MATCH(ROW(orderHistory[customer]),ROW(orderHistory[customer])),""),ROWS($A$15:A15)+$B$3)),INDEX(orderHistory[inv_amount],SMALL(IF(ISNUMBER(MATCH(orderHistory[order_type],$D$13,0)*MATCH(YEAR(orderHistory[invoice_date]),$D$15,0)),MATCH(ROW(orderHistory[customer]),ROW(orderHistory[customer])),""),ROWS($A$15:A15)+$B$3)))),IF($D$13="",IF($D$15="",INDEX(orderHistory[inv_amount],SMALL(IF(ISNUMBER(MATCH(orderHistory[status],$D$11,0)),MATCH(ROW(orderHistory[customer]),ROW(orderHistory[customer])),""),ROWS($A$15:A15)+$B$3)),INDEX(orderHistory[inv_amount],SMALL(IF(ISNUMBER(MATCH(orderHistory[status],$D$11,0)*MATCH(YEAR(orderHistory[invoice_date]),$D$15,0)),MATCH(ROW(orderHistory[customer]),ROW(orderHistory[customer])),""),ROWS($A$15:A15)+$B$3))),IF($D$15="",INDEX(orderHistory[inv_amount],SMALL(IF(ISNUMBER(MATCH(orderHistory[status],$D$11,0)*MATCH(orderHistory[order_type],$D$13,0)),MATCH(ROW(orderHistory[customer]),ROW(orderHistory[customer])),""),ROWS($A$15:A15)+$B$3)),INDEX(orderHistory[inv_amount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_amount],SMALL(IF(ISNUMBER(MATCH(orderHistory[customer],$D$9,0)),MATCH(ROW(orderHistory[customer]),ROW(orderHistory[customer])),""),ROWS($A$15:A15)+$B$3)),INDEX(orderHistory[inv_amount],SMALL(IF(ISNUMBER(MATCH(orderHistory[customer],$D$9,0)*MATCH(YEAR(orderHistory[invoice_date]),$D$15,0)),MATCH(ROW(orderHistory[customer]),ROW(orderHistory[customer])),""),ROWS($A$15:A15)+$B$3))),IF($D$15="",INDEX(orderHistory[inv_amount],SMALL(IF(ISNUMBER(MATCH(orderHistory[customer],$D$9,0)*MATCH(orderHistory[order_type],$D$13,0)),MATCH(ROW(orderHistory[customer]),ROW(orderHistory[customer])),""),ROWS($A$15:A15)+$B$3)),INDEX(orderHistory[inv_amount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YEAR(orderHistory[inv_amount]),$D$15,0)),MATCH(ROW(orderHistory[customer]),ROW(orderHistory[customer])),""),ROWS($A$15:A15)+$B$3))),IF($D$15="",INDEX(orderHistory[inv_amount],SMALL(IF(ISNUMBER(MATCH(orderHistory[customer],$D$9,0)*MATCH(orderHistory[status],$D$11,0)*MATCH(orderHistory[order_type],$D$13,0)),MATCH(ROW(orderHistory[customer]),ROW(orderHistory[customer])),""),ROWS($A$15:A15)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S10" s="568">
        <f t="array" ref="S10">IFERROR(IF($D$9="",IF($D$11="",IF($D$13="",IF($D$15="",INDEX(orderHistory[lock_goods],SMALL(MATCH(ROW(orderHistory[customer]),ROW(orderHistory[customer])),ROWS($A$15:A15)+$B$3)),INDEX(orderHistory[lock_goods],SMALL(IF(ISNUMBER(MATCH(YEAR(orderHistory[invoice_date]),$D$15,0)),MATCH(ROW(orderHistory[customer]),ROW(orderHistory[customer])),""),ROWS($A$15:A15)+$B$3))),IF($D$15="",INDEX(orderHistory[lock_goods],SMALL(IF(ISNUMBER(MATCH(orderHistory[order_type],$D$13,0)),MATCH(ROW(orderHistory[customer]),ROW(orderHistory[customer])),""),ROWS($A$15:A15)+$B$3)),INDEX(orderHistory[lock_goods],SMALL(IF(ISNUMBER(MATCH(orderHistory[order_type],$D$13,0)*MATCH(YEAR(orderHistory[invoice_date]),$D$15,0)),MATCH(ROW(orderHistory[customer]),ROW(orderHistory[customer])),""),ROWS($A$15:A15)+$B$3)))),IF($D$13="",IF($D$15="",INDEX(orderHistory[lock_goods],SMALL(IF(ISNUMBER(MATCH(orderHistory[status],$D$11,0)),MATCH(ROW(orderHistory[customer]),ROW(orderHistory[customer])),""),ROWS($A$15:A15)+$B$3)),INDEX(orderHistory[lock_goods],SMALL(IF(ISNUMBER(MATCH(orderHistory[status],$D$11,0)*MATCH(YEAR(orderHistory[invoice_date]),$D$15,0)),MATCH(ROW(orderHistory[customer]),ROW(orderHistory[customer])),""),ROWS($A$15:A15)+$B$3))),IF($D$15="",INDEX(orderHistory[lock_goods],SMALL(IF(ISNUMBER(MATCH(orderHistory[status],$D$11,0)*MATCH(orderHistory[order_type],$D$13,0)),MATCH(ROW(orderHistory[customer]),ROW(orderHistory[customer])),""),ROWS($A$15:A15)+$B$3)),INDEX(orderHistory[lock_good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lock_goods],SMALL(IF(ISNUMBER(MATCH(orderHistory[customer],$D$9,0)),MATCH(ROW(orderHistory[customer]),ROW(orderHistory[customer])),""),ROWS($A$15:A15)+$B$3)),INDEX(orderHistory[lock_goods],SMALL(IF(ISNUMBER(MATCH(orderHistory[customer],$D$9,0)*MATCH(YEAR(orderHistory[invoice_date]),$D$15,0)),MATCH(ROW(orderHistory[customer]),ROW(orderHistory[customer])),""),ROWS($A$15:A15)+$B$3))),IF($D$15="",INDEX(orderHistory[lock_goods],SMALL(IF(ISNUMBER(MATCH(orderHistory[customer],$D$9,0)*MATCH(orderHistory[order_type],$D$13,0)),MATCH(ROW(orderHistory[customer]),ROW(orderHistory[customer])),""),ROWS($A$15:A15)+$B$3)),INDEX(orderHistory[lock_good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lock_goods],SMALL(IF(ISNUMBER(MATCH(orderHistory[customer],$D$9,0)*MATCH(orderHistory[status],$D$11,0)),MATCH(ROW(orderHistory[customer]),ROW(orderHistory[customer])),""),ROWS($A$15:A15)+$B$3)),INDEX(orderHistory[lock_goods],SMALL(IF(ISNUMBER(MATCH(orderHistory[customer],$D$9,0)*MATCH(orderHistory[status],$D$11,0)*MATCH(YEAR(orderHistory[payed]),$D$15,0)),MATCH(ROW(orderHistory[customer]),ROW(orderHistory[customer])),""),ROWS($A$15:A15)+$B$3))),IF($D$15="",INDEX(orderHistory[lock_goods],SMALL(IF(ISNUMBER(MATCH(orderHistory[customer],$D$9,0)*MATCH(orderHistory[status],$D$11,0)*MATCH(orderHistory[order_type],$D$13,0)),MATCH(ROW(orderHistory[customer]),ROW(orderHistory[customer])),""),ROWS($A$15:A15)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T10" s="450">
        <f t="array" ref="T10">IFERROR(IF($D$9="",IF($D$11="",IF($D$13="",IF($D$15="",INDEX(orderHistory[payed],SMALL(MATCH(ROW(orderHistory[customer]),ROW(orderHistory[customer])),ROWS($A$15:A15)+$B$3)),INDEX(orderHistory[payed],SMALL(IF(ISNUMBER(MATCH(YEAR(orderHistory[invoice_date]),$D$15,0)),MATCH(ROW(orderHistory[customer]),ROW(orderHistory[customer])),""),ROWS($A$15:A15)+$B$3))),IF($D$15="",INDEX(orderHistory[payed],SMALL(IF(ISNUMBER(MATCH(orderHistory[order_type],$D$13,0)),MATCH(ROW(orderHistory[customer]),ROW(orderHistory[customer])),""),ROWS($A$15:A15)+$B$3)),INDEX(orderHistory[payed],SMALL(IF(ISNUMBER(MATCH(orderHistory[order_type],$D$13,0)*MATCH(YEAR(orderHistory[invoice_date]),$D$15,0)),MATCH(ROW(orderHistory[customer]),ROW(orderHistory[customer])),""),ROWS($A$15:A15)+$B$3)))),IF($D$13="",IF($D$15="",INDEX(orderHistory[payed],SMALL(IF(ISNUMBER(MATCH(orderHistory[status],$D$11,0)),MATCH(ROW(orderHistory[customer]),ROW(orderHistory[customer])),""),ROWS($A$15:A15)+$B$3)),INDEX(orderHistory[payed],SMALL(IF(ISNUMBER(MATCH(orderHistory[status],$D$11,0)*MATCH(YEAR(orderHistory[invoice_date]),$D$15,0)),MATCH(ROW(orderHistory[customer]),ROW(orderHistory[customer])),""),ROWS($A$15:A15)+$B$3))),IF($D$15="",INDEX(orderHistory[payed],SMALL(IF(ISNUMBER(MATCH(orderHistory[status],$D$11,0)*MATCH(orderHistory[order_type],$D$13,0)),MATCH(ROW(orderHistory[customer]),ROW(orderHistory[customer])),""),ROWS($A$15:A15)+$B$3)),INDEX(orderHistory[paye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payed],SMALL(IF(ISNUMBER(MATCH(orderHistory[customer],$D$9,0)),MATCH(ROW(orderHistory[customer]),ROW(orderHistory[customer])),""),ROWS($A$15:A15)+$B$3)),INDEX(orderHistory[payed],SMALL(IF(ISNUMBER(MATCH(orderHistory[customer],$D$9,0)*MATCH(YEAR(orderHistory[invoice_date]),$D$15,0)),MATCH(ROW(orderHistory[customer]),ROW(orderHistory[customer])),""),ROWS($A$15:A15)+$B$3))),IF($D$15="",INDEX(orderHistory[payed],SMALL(IF(ISNUMBER(MATCH(orderHistory[customer],$D$9,0)*MATCH(orderHistory[order_type],$D$13,0)),MATCH(ROW(orderHistory[customer]),ROW(orderHistory[customer])),""),ROWS($A$15:A15)+$B$3)),INDEX(orderHistory[paye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YEAR(orderHistory[payed]),$D$15,0)),MATCH(ROW(orderHistory[customer]),ROW(orderHistory[customer])),""),ROWS($A$15:A15)+$B$3))),IF($D$15="",INDEX(orderHistory[payed],SMALL(IF(ISNUMBER(MATCH(orderHistory[customer],$D$9,0)*MATCH(orderHistory[status],$D$11,0)*MATCH(orderHistory[order_type],$D$13,0)),MATCH(ROW(orderHistory[customer]),ROW(orderHistory[customer])),""),ROWS($A$15:A15)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U10" s="445">
        <f t="array" ref="U10">IFERROR(IF($D$9="",IF($D$11="",IF($D$13="",IF($D$15="",INDEX(orderHistory[shipping_method],SMALL(MATCH(ROW(orderHistory[customer]),ROW(orderHistory[customer])),ROWS($A$15:A15)+$B$3)),INDEX(orderHistory[shipping_method],SMALL(IF(ISNUMBER(MATCH(YEAR(orderHistory[invoice_date]),$D$15,0)),MATCH(ROW(orderHistory[customer]),ROW(orderHistory[customer])),""),ROWS($A$15:A15)+$B$3))),IF($D$15="",INDEX(orderHistory[shipping_method],SMALL(IF(ISNUMBER(MATCH(orderHistory[order_type],$D$13,0)),MATCH(ROW(orderHistory[customer]),ROW(orderHistory[customer])),""),ROWS($A$15:A15)+$B$3)),INDEX(orderHistory[shipping_method],SMALL(IF(ISNUMBER(MATCH(orderHistory[order_type],$D$13,0)*MATCH(YEAR(orderHistory[invoice_date]),$D$15,0)),MATCH(ROW(orderHistory[customer]),ROW(orderHistory[customer])),""),ROWS($A$15:A15)+$B$3)))),IF($D$13="",IF($D$15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YEAR(orderHistory[invoice_date]),$D$15,0)),MATCH(ROW(orderHistory[customer]),ROW(orderHistory[customer])),""),ROWS($A$15:A15)+$B$3))),IF($D$15="",INDEX(orderHistory[shipping_method],SMALL(IF(ISNUMBER(MATCH(orderHistory[status],$D$11,0)*MATCH(orderHistory[order_type],$D$13,0)),MATCH(ROW(orderHistory[customer]),ROW(orderHistory[customer])),""),ROWS($A$15:A15)+$B$3)),INDEX(orderHistory[shipping_metho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YEAR(orderHistory[invoice_date]),$D$15,0)),MATCH(ROW(orderHistory[customer]),ROW(orderHistory[customer])),""),ROWS($A$15:A15)+$B$3))),IF($D$15="",INDEX(orderHistory[shipping_method],SMALL(IF(ISNUMBER(MATCH(orderHistory[customer],$D$9,0)*MATCH(orderHistory[order_type],$D$13,0)),MATCH(ROW(orderHistory[customer]),ROW(orderHistory[customer])),""),ROWS($A$15:A15)+$B$3)),INDEX(orderHistory[shipping_metho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YEAR(orderHistory[shipping_method]),$D$15,0)),MATCH(ROW(orderHistory[customer]),ROW(orderHistory[customer])),""),ROWS($A$15:A15)+$B$3))),IF($D$15="",INDEX(orderHistory[shipping_method],SMALL(IF(ISNUMBER(MATCH(orderHistory[customer],$D$9,0)*MATCH(orderHistory[status],$D$11,0)*MATCH(orderHistory[order_type],$D$13,0)),MATCH(ROW(orderHistory[customer]),ROW(orderHistory[customer])),""),ROWS($A$15:A15)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V10" s="451">
        <f t="array" ref="V10">IFERROR(IF($D$9="",IF($D$11="",IF($D$13="",IF($D$15="",INDEX(orderHistory[status],SMALL(MATCH(ROW(orderHistory[customer]),ROW(orderHistory[customer])),ROWS($A$15:A15)+$B$3)),INDEX(orderHistory[status],SMALL(IF(ISNUMBER(MATCH(YEAR(orderHistory[invoice_date]),$D$15,0)),MATCH(ROW(orderHistory[customer]),ROW(orderHistory[customer])),""),ROWS($A$15:A15)+$B$3))),IF($D$15="",INDEX(orderHistory[status],SMALL(IF(ISNUMBER(MATCH(orderHistory[order_type],$D$13,0)),MATCH(ROW(orderHistory[customer]),ROW(orderHistory[customer])),""),ROWS($A$15:A15)+$B$3)),INDEX(orderHistory[status],SMALL(IF(ISNUMBER(MATCH(orderHistory[order_type],$D$13,0)*MATCH(YEAR(orderHistory[invoice_date]),$D$15,0)),MATCH(ROW(orderHistory[customer]),ROW(orderHistory[customer])),""),ROWS($A$15:A15)+$B$3)))),IF($D$13="",IF($D$15="",INDEX(orderHistory[status],SMALL(IF(ISNUMBER(MATCH(orderHistory[status],$D$11,0)),MATCH(ROW(orderHistory[customer]),ROW(orderHistory[customer])),""),ROWS($A$15:A15)+$B$3)),INDEX(orderHistory[status],SMALL(IF(ISNUMBER(MATCH(orderHistory[status],$D$11,0)*MATCH(YEAR(orderHistory[invoice_date]),$D$15,0)),MATCH(ROW(orderHistory[customer]),ROW(orderHistory[customer])),""),ROWS($A$15:A15)+$B$3))),IF($D$15="",INDEX(orderHistory[status],SMALL(IF(ISNUMBER(MATCH(orderHistory[status],$D$11,0)*MATCH(orderHistory[order_type],$D$13,0)),MATCH(ROW(orderHistory[customer]),ROW(orderHistory[customer])),""),ROWS($A$15:A15)+$B$3)),INDEX(orderHistory[statu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tatus],SMALL(IF(ISNUMBER(MATCH(orderHistory[customer],$D$9,0)),MATCH(ROW(orderHistory[customer]),ROW(orderHistory[customer])),""),ROWS($A$15:A15)+$B$3)),INDEX(orderHistory[status],SMALL(IF(ISNUMBER(MATCH(orderHistory[customer],$D$9,0)*MATCH(YEAR(orderHistory[invoice_date]),$D$15,0)),MATCH(ROW(orderHistory[customer]),ROW(orderHistory[customer])),""),ROWS($A$15:A15)+$B$3))),IF($D$15="",INDEX(orderHistory[status],SMALL(IF(ISNUMBER(MATCH(orderHistory[customer],$D$9,0)*MATCH(orderHistory[order_type],$D$13,0)),MATCH(ROW(orderHistory[customer]),ROW(orderHistory[customer])),""),ROWS($A$15:A15)+$B$3)),INDEX(orderHistory[statu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YEAR(orderHistory[status]),$D$15,0)),MATCH(ROW(orderHistory[customer]),ROW(orderHistory[customer])),""),ROWS($A$15:A15)+$B$3))),IF($D$15="",INDEX(orderHistory[status],SMALL(IF(ISNUMBER(MATCH(orderHistory[customer],$D$9,0)*MATCH(orderHistory[status],$D$11,0)*MATCH(orderHistory[order_type],$D$13,0)),MATCH(ROW(orderHistory[customer]),ROW(orderHistory[customer])),""),ROWS($A$15:A15)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W10" s="75"/>
      <c r="AO10" s="331"/>
      <c r="AQ10" s="378"/>
      <c r="AR10" s="379"/>
      <c r="AS10" s="380"/>
      <c r="AT10" s="381"/>
      <c r="AU10" s="339"/>
      <c r="AW10" s="378"/>
      <c r="AX10" s="341"/>
      <c r="AZ10" s="332"/>
      <c r="BD10" s="376"/>
      <c r="BE10" s="376"/>
      <c r="BF10" s="382"/>
      <c r="BJ10" s="339"/>
      <c r="BK10" s="383"/>
      <c r="BL10" s="384"/>
      <c r="BM10" s="433"/>
      <c r="BN10" s="384"/>
      <c r="BO10" s="433"/>
      <c r="BX10" s="331" t="s">
        <v>587</v>
      </c>
      <c r="BZ10" s="520" t="s">
        <v>114</v>
      </c>
      <c r="CA10" s="521" t="str">
        <f>IF(BZ10="","",INDEX(bhpc_data[description],MATCH(BZ10,bhpc_data[sku],0)))</f>
        <v>BHPC PRESTIGE TROPHY 100ML EDP MEN</v>
      </c>
      <c r="CB10" s="522">
        <v>720</v>
      </c>
      <c r="CC10" s="523">
        <v>14.53</v>
      </c>
      <c r="CD10" s="581"/>
      <c r="CE10" s="524"/>
      <c r="CF10" s="525">
        <v>100</v>
      </c>
      <c r="CG10" s="526">
        <f>IFERROR(ROUNDUP(CB10/INDEX(bhpc_data[units_per_carton],MATCH(BZ10,bhpc_data[sku],0)),0),"")</f>
        <v>30</v>
      </c>
      <c r="CH10" s="527">
        <f>IFERROR(ROUNDUP(CD10/INDEX(bhpc_data[units_per_carton],MATCH(BZ10,bhpc_data[sku],0)),0),"")</f>
        <v>0</v>
      </c>
      <c r="CI10" s="527">
        <f>IFERROR(ROUNDUP(CF10/INDEX(bhpc_data[units_per_carton],MATCH(BZ10,bhpc_data[sku])),0),"")</f>
        <v>5</v>
      </c>
      <c r="CJ10" s="527">
        <f>IFERROR(((CB10+CD10+CF10)/INDEX(bhpc_data[units_per_carton],MATCH(BZ10,bhpc_data[sku],0)))*INDEX(bhpc_data[net_weight],MATCH(BZ10,bhpc_data[sku],0)),"")</f>
        <v>323.89999999999998</v>
      </c>
      <c r="CK10" s="527">
        <f>IFERROR(((CB10+CD10+CF10)/INDEX(bhpc_data[units_per_carton],MATCH(BZ10,bhpc_data[sku],0)))*INDEX(bhpc_data[gross_weight],MATCH(BZ10,bhpc_data[sku],0)),"")</f>
        <v>338.25</v>
      </c>
      <c r="CL10" s="528">
        <f>IFERROR((CB10+CD10+CF10)/INDEX(bhpc_data[units_per_carton],MATCH(BZ10,bhpc_data[sku],0))*INDEX(bhpc_data[lenght],MATCH(BZ10,bhpc_data[sku],0))*INDEX(bhpc_data[width],MATCH(BZ10,bhpc_data[sku],0))*INDEX(bhpc_data[height],MATCH(BZ10,bhpc_data[sku],0))/1000000000,"")</f>
        <v>0.59099791666666668</v>
      </c>
      <c r="CM10" s="529" t="str">
        <f>IFERROR(INDEX(bhpc_data[category],MATCH(BZ10,bhpc_data[sku],0)),"")</f>
        <v>PRESTIGE</v>
      </c>
      <c r="CN10" s="529">
        <f>IFERROR(INDEX(bhpc_data[size1],MATCH(BZ10,bhpc_data[sku],0)),"")</f>
        <v>100</v>
      </c>
      <c r="CO10" s="530" t="str">
        <f>IFERROR(INDEX(bhpc_data[hs_code],MATCH(BZ10,bhpc_data[sku],0)),"")</f>
        <v>33030010</v>
      </c>
      <c r="CP10" s="525">
        <v>11.68</v>
      </c>
      <c r="CQ10" s="582" t="str">
        <f>IFERROR(IF(BZ10="","",IF($BX$15="SALE",INDEX(inventory[COSTO UNITARIO],MATCH(BZ10,inventory[ARTICOLO],0)),IF($BX$15="SAMPLING",INDEX(inventory[COSTO UNITARIO],MATCH(BZ10,inventory[ARTICOLO],0)),""))),"")</f>
        <v/>
      </c>
      <c r="CR10" s="582" t="str">
        <f t="shared" ref="CR10:CR41" si="0">IFERROR(IF(BZ10="","",(CB10+CD10)*CQ10),"")</f>
        <v/>
      </c>
      <c r="CS10" s="531">
        <f t="shared" ref="CS10:CS41" si="1">IF(BZ10="","",CB10*CC10+CD10*CE10)</f>
        <v>10461.6</v>
      </c>
      <c r="CT10" s="572" t="e">
        <f t="shared" ref="CT10:CT41" si="2">IF(BZ10="","",IF(OR($BX$15="PRODUCTION",$BX$15="SUPPLY"),"",IF($CX$32="VERO","OK",VLOOKUP(BZ10,$EE$8:$EK$250,7,FALSE)+IF(OR($BX$15="SALE",$BX$15="SAMPLING"),-(CB10+CD10+CF10),(CB10+CD10+CF10)))))</f>
        <v>#N/A</v>
      </c>
      <c r="CV10" s="85"/>
      <c r="CW10" s="89" t="s">
        <v>588</v>
      </c>
      <c r="CX10" s="230">
        <f>COUNTA($BZ$10:$BZ$110)</f>
        <v>8</v>
      </c>
      <c r="CY10" s="81"/>
      <c r="CZ10" s="81"/>
      <c r="DA10" s="82"/>
      <c r="DH10" s="245"/>
      <c r="EC10" s="331" t="s">
        <v>896</v>
      </c>
      <c r="EE10" s="535" t="str" cm="1">
        <f t="array" ref="EE10">IFERROR(IF($EC$9="",IF($EC$11="",IF($EC$13="",INDEX(bhpc_data[sku],SMALL(MATCH(ROW(bhpc_data[sku]),ROW(bhpc_data[sku])),ROWS($A$15:A15)+$B$3)),INDEX(bhpc_data[sku],SMALL(IF(ISNUMBER(MATCH(bhpc_data[size1],$EC$13,0)),MATCH(ROW(bhpc_data[sku]),ROW(bhpc_data[sku])),""),ROWS($A$15:A15)+$B$3))),IF($EC$13="",INDEX(bhpc_data[sku],SMALL(IF(ISNUMBER(MATCH(bhpc_data[sex],$EC$11,0)),MATCH(ROW(bhpc_data[sku]),ROW(bhpc_data[sku])),""),ROWS($A$15:A15)+$B$3)),INDEX(bhpc_data[sku],SMALL(IF(ISNUMBER(MATCH(bhpc_data[sex],$EC$11,0)*MATCH(bhpc_data[size1],$EC$13,0)),MATCH(ROW(bhpc_data[sku]),ROW(bhpc_data[sku])),""),ROWS($A$15:A15)+$B$3)))),IF($EC$11="",IF($EC$13="",INDEX(bhpc_data[sku],SMALL(IF(ISNUMBER(MATCH(bhpc_data[category],$EC$9,0)),MATCH(ROW(bhpc_data[sku]),ROW(bhpc_data[sku])),""),ROWS($A$15:A15)+$B$3)),INDEX(bhpc_data[sku],SMALL(IF(ISNUMBER(MATCH(bhpc_data[category],$EC$9,0)*MATCH(bhpc_data[size1],$EC$13,0)),MATCH(ROW(bhpc_data[sku]),ROW(bhpc_data[sku])),""),ROWS($A$15:A15)+$B$3))),IF($EC$13="",INDEX(bhpc_data[sku],SMALL(IF(ISNUMBER(MATCH(bhpc_data[category],$EC$9,0)*MATCH(bhpc_data[sex],$EC$11,0)),MATCH(ROW(bhpc_data[sku]),ROW(bhpc_data[sku])),""),ROWS($A$15:A15)+$B$3)),INDEX(bhpc_data[sku],SMALL(IF(ISNUMBER(MATCH(bhpc_data[category],$EC$9,0)*MATCH(bhpc_data[sex],$EC$11,0)*MATCH(bhpc_data[size1],$EC$13,0)),MATCH(ROW(bhpc_data[sku]),ROW(bhpc_data[sku])),""),ROWS($A$15:A15)+$B$3))))),"")</f>
        <v>GS5004</v>
      </c>
      <c r="EF10" s="536" t="str" cm="1">
        <f t="array" ref="EF10">IFERROR(IF($EC$9="",IF($EC$11="",IF($EC$13="",INDEX(bhpc_data[description],SMALL(MATCH(ROW(bhpc_data[sku]),ROW(bhpc_data[sku])),ROWS($A$15:A15)+$B$3)),INDEX(bhpc_data[description],SMALL(IF(ISNUMBER(MATCH(bhpc_data[size1],$EC$13,0)),MATCH(ROW(bhpc_data[sku]),ROW(bhpc_data[sku])),""),ROWS($A$15:A15)+$B$3))),IF($EC$13="",INDEX(bhpc_data[description],SMALL(IF(ISNUMBER(MATCH(bhpc_data[sex],$EC$11,0)),MATCH(ROW(bhpc_data[sku]),ROW(bhpc_data[sku])),""),ROWS($A$15:A15)+$B$3)),INDEX(bhpc_data[description],SMALL(IF(ISNUMBER(MATCH(bhpc_data[sex],$EC$11,0)*MATCH(bhpc_data[size1],$EC$13,0)),MATCH(ROW(bhpc_data[sku]),ROW(bhpc_data[sku])),""),ROWS($A$15:A15)+$B$3)))),IF($EC$11="",IF($EC$13="",INDEX(bhpc_data[description],SMALL(IF(ISNUMBER(MATCH(bhpc_data[category],$EC$9,0)),MATCH(ROW(bhpc_data[sku]),ROW(bhpc_data[sku])),""),ROWS($A$15:A15)+$B$3)),INDEX(bhpc_data[description],SMALL(IF(ISNUMBER(MATCH(bhpc_data[category],$EC$9,0)*MATCH(bhpc_data[size1],$EC$13,0)),MATCH(ROW(bhpc_data[sku]),ROW(bhpc_data[sku])),""),ROWS($A$15:A15)+$B$3))),IF($EC$13="",INDEX(bhpc_data[description],SMALL(IF(ISNUMBER(MATCH(bhpc_data[category],$EC$9,0)*MATCH(bhpc_data[sex],$EC$11,0)),MATCH(ROW(bhpc_data[sku]),ROW(bhpc_data[sku])),""),ROWS($A$15:A15)+$B$3)),INDEX(bhpc_data[description],SMALL(IF(ISNUMBER(MATCH(bhpc_data[category],$EC$9,0)*MATCH(bhpc_data[sex],$EC$11,0)*MATCH(bhpc_data[size1],$EC$13,0)),MATCH(ROW(bhpc_data[sku]),ROW(bhpc_data[sku])),""),ROWS($A$15:A15)+$B$3))))),"")</f>
        <v>BHPC GIFT SET SPORT MEN 1 EDT 100ML + DEO 175ML</v>
      </c>
      <c r="EG10" s="537">
        <f>IFERROR(IF('BHPC MANAGER'!$EE10="","",INDEX(inventory[ESISTENZA],MATCH('BHPC MANAGER'!$EE10,inventory[ARTICOLO],0))),0)</f>
        <v>0</v>
      </c>
      <c r="EH10" s="538">
        <v>94</v>
      </c>
      <c r="EI10" s="538">
        <f>IF(EE10="","",IFERROR(EG10+EH10,EG10))</f>
        <v>94</v>
      </c>
      <c r="EJ10" s="539">
        <v>-200</v>
      </c>
      <c r="EK10" s="540">
        <f>IF(EE10="","",IFERROR(EI10+EJ10,EI10))</f>
        <v>-106</v>
      </c>
      <c r="FF10" s="331"/>
      <c r="FG10" s="331"/>
      <c r="FH10" s="331"/>
      <c r="FI10" s="331"/>
      <c r="FJ10" s="331"/>
      <c r="FK10" s="331"/>
      <c r="FL10" s="331"/>
      <c r="FM10" s="331"/>
      <c r="FN10" s="331"/>
      <c r="FO10" s="331"/>
      <c r="FP10" s="331"/>
      <c r="FQ10" s="331"/>
      <c r="FR10" s="331"/>
      <c r="FS10" s="331"/>
      <c r="FT10" s="331"/>
      <c r="FU10" s="331"/>
      <c r="FV10" s="331"/>
      <c r="FW10" s="331"/>
      <c r="FX10" s="331"/>
      <c r="FY10" s="331"/>
      <c r="FZ10" s="331"/>
      <c r="GA10" s="331"/>
      <c r="GB10" s="331"/>
      <c r="GC10" s="331"/>
      <c r="GD10" s="331"/>
      <c r="GE10" s="331"/>
      <c r="GF10" s="331"/>
      <c r="GG10" s="331"/>
      <c r="GH10" s="331"/>
      <c r="GI10" s="331"/>
      <c r="GJ10" s="331"/>
      <c r="GK10" s="331"/>
      <c r="GL10" s="331"/>
      <c r="GM10" s="331"/>
      <c r="GN10" s="331"/>
      <c r="GO10" s="331"/>
      <c r="GP10" s="331"/>
      <c r="GQ10" s="331"/>
      <c r="GR10" s="331"/>
      <c r="GS10" s="331"/>
      <c r="GT10" s="331"/>
      <c r="GU10" s="331"/>
      <c r="GV10" s="331"/>
      <c r="GW10" s="331"/>
      <c r="GX10" s="331"/>
      <c r="GY10" s="331"/>
      <c r="GZ10" s="331"/>
      <c r="HA10" s="331"/>
      <c r="HB10" s="331"/>
      <c r="HC10" s="331"/>
      <c r="HD10" s="331"/>
      <c r="HE10" s="331"/>
      <c r="HF10" s="331"/>
      <c r="HG10" s="331"/>
      <c r="HH10" s="331"/>
      <c r="HI10" s="331"/>
      <c r="HJ10" s="331"/>
      <c r="HK10" s="331"/>
      <c r="HL10" s="331"/>
      <c r="HM10" s="331"/>
      <c r="HN10" s="331"/>
      <c r="HO10" s="331"/>
      <c r="HP10" s="331"/>
      <c r="HQ10" s="331"/>
      <c r="HR10" s="331"/>
      <c r="HS10" s="331"/>
      <c r="HT10" s="331"/>
    </row>
    <row r="11" spans="1:702" ht="15" customHeight="1" x14ac:dyDescent="0.35">
      <c r="B11" s="150"/>
      <c r="D11" s="340"/>
      <c r="F11" s="91"/>
      <c r="G11" s="99" t="s">
        <v>589</v>
      </c>
      <c r="H11" s="81"/>
      <c r="I11" s="81"/>
      <c r="J11" s="82"/>
      <c r="L11" s="452" t="str">
        <f t="array" ref="L11">IFERROR(IF($D$9="",IF($D$11="",IF($D$13="",IF($D$15="",INDEX(orderHistory[customer],SMALL(MATCH(ROW(orderHistory[customer]),ROW(orderHistory[customer])),ROWS($A$15:A16)+$B$3)),INDEX(orderHistory[customer],SMALL(IF(ISNUMBER(MATCH(YEAR(orderHistory[invoice_date]),$D$15,0)),MATCH(ROW(orderHistory[customer]),ROW(orderHistory[customer])),""),ROWS($A$15:A16)+$B$3))),IF($D$15="",INDEX(orderHistory[customer],SMALL(IF(ISNUMBER(MATCH(orderHistory[order_type],$D$13,0)),MATCH(ROW(orderHistory[customer]),ROW(orderHistory[customer])),""),ROWS($A$15:A16)+$B$3)),INDEX(orderHistory[customer],SMALL(IF(ISNUMBER(MATCH(orderHistory[order_type],$D$13,0)*MATCH(YEAR(orderHistory[invoice_date]),$D$15,0)),MATCH(ROW(orderHistory[customer]),ROW(orderHistory[customer])),""),ROWS($A$15:A16)+$B$3)))),IF($D$13="",IF($D$15="",INDEX(orderHistory[customer],SMALL(IF(ISNUMBER(MATCH(orderHistory[status],$D$11,0)),MATCH(ROW(orderHistory[customer]),ROW(orderHistory[customer])),""),ROWS($A$15:A16)+$B$3)),INDEX(orderHistory[customer],SMALL(IF(ISNUMBER(MATCH(orderHistory[status],$D$11,0)*MATCH(YEAR(orderHistory[invoice_date]),$D$15,0)),MATCH(ROW(orderHistory[customer]),ROW(orderHistory[customer])),""),ROWS($A$15:A16)+$B$3))),IF($D$15="",INDEX(orderHistory[customer],SMALL(IF(ISNUMBER(MATCH(orderHistory[status],$D$11,0)*MATCH(orderHistory[order_type],$D$13,0)),MATCH(ROW(orderHistory[customer]),ROW(orderHistory[customer])),""),ROWS($A$15:A16)+$B$3)),INDEX(orderHistory[customer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customer],SMALL(IF(ISNUMBER(MATCH(orderHistory[customer],$D$9,0)),MATCH(ROW(orderHistory[customer]),ROW(orderHistory[customer])),""),ROWS($A$15:A16)+$B$3)),INDEX(orderHistory[customer],SMALL(IF(ISNUMBER(MATCH(orderHistory[customer],$D$9,0)*MATCH(YEAR(orderHistory[invoice_date]),$D$15,0)),MATCH(ROW(orderHistory[customer]),ROW(orderHistory[customer])),""),ROWS($A$15:A16)+$B$3))),IF($D$15="",INDEX(orderHistory[customer],SMALL(IF(ISNUMBER(MATCH(orderHistory[customer],$D$9,0)*MATCH(orderHistory[order_type],$D$13,0)),MATCH(ROW(orderHistory[customer]),ROW(orderHistory[customer])),""),ROWS($A$15:A16)+$B$3)),INDEX(orderHistory[customer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YEAR(orderHistory[invoice_date]),$D$15,0)),MATCH(ROW(orderHistory[customer]),ROW(orderHistory[customer])),""),ROWS($A$15:A16)+$B$3))),IF($D$15="",INDEX(orderHistory[customer],SMALL(IF(ISNUMBER(MATCH(orderHistory[customer],$D$9,0)*MATCH(orderHistory[status],$D$11,0)*MATCH(orderHistory[order_type],$D$13,0)),MATCH(ROW(orderHistory[customer]),ROW(orderHistory[customer])),""),ROWS($A$15:A16)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M11" s="453" t="str">
        <f t="array" ref="M11">IFERROR(IF($D$9="",IF($D$11="",IF($D$13="",IF($D$15="",INDEX(orderHistory[order_no],SMALL(MATCH(ROW(orderHistory[customer]),ROW(orderHistory[customer])),ROWS($A$15:A16)+$B$3)),INDEX(orderHistory[order_no],SMALL(IF(ISNUMBER(MATCH(YEAR(orderHistory[invoice_date]),$D$15,0)),MATCH(ROW(orderHistory[customer]),ROW(orderHistory[customer])),""),ROWS($A$15:A16)+$B$3))),IF($D$15="",INDEX(orderHistory[order_no],SMALL(IF(ISNUMBER(MATCH(orderHistory[order_type],$D$13,0)),MATCH(ROW(orderHistory[customer]),ROW(orderHistory[customer])),""),ROWS($A$15:A16)+$B$3)),INDEX(orderHistory[order_no],SMALL(IF(ISNUMBER(MATCH(orderHistory[order_type],$D$13,0)*MATCH(YEAR(orderHistory[invoice_date]),$D$15,0)),MATCH(ROW(orderHistory[customer]),ROW(orderHistory[customer])),""),ROWS($A$15:A16)+$B$3)))),IF($D$13="",IF($D$15="",INDEX(orderHistory[order_no],SMALL(IF(ISNUMBER(MATCH(orderHistory[status],$D$11,0)),MATCH(ROW(orderHistory[customer]),ROW(orderHistory[customer])),""),ROWS($A$15:A16)+$B$3)),INDEX(orderHistory[order_no],SMALL(IF(ISNUMBER(MATCH(orderHistory[status],$D$11,0)*MATCH(YEAR(orderHistory[invoice_date]),$D$15,0)),MATCH(ROW(orderHistory[customer]),ROW(orderHistory[customer])),""),ROWS($A$15:A16)+$B$3))),IF($D$15="",INDEX(orderHistory[order_no],SMALL(IF(ISNUMBER(MATCH(orderHistory[status],$D$11,0)*MATCH(orderHistory[order_type],$D$13,0)),MATCH(ROW(orderHistory[customer]),ROW(orderHistory[customer])),""),ROWS($A$15:A16)+$B$3)),INDEX(orderHistory[order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no],SMALL(IF(ISNUMBER(MATCH(orderHistory[customer],$D$9,0)),MATCH(ROW(orderHistory[customer]),ROW(orderHistory[customer])),""),ROWS($A$15:A16)+$B$3)),INDEX(orderHistory[order_no],SMALL(IF(ISNUMBER(MATCH(orderHistory[customer],$D$9,0)*MATCH(YEAR(orderHistory[invoice_date]),$D$15,0)),MATCH(ROW(orderHistory[customer]),ROW(orderHistory[customer])),""),ROWS($A$15:A16)+$B$3))),IF($D$15="",INDEX(orderHistory[order_no],SMALL(IF(ISNUMBER(MATCH(orderHistory[customer],$D$9,0)*MATCH(orderHistory[order_type],$D$13,0)),MATCH(ROW(orderHistory[customer]),ROW(orderHistory[customer])),""),ROWS($A$15:A16)+$B$3)),INDEX(orderHistory[order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YEAR(orderHistory[invoice_date]),$D$15,0)),MATCH(ROW(orderHistory[customer]),ROW(orderHistory[customer])),""),ROWS($A$15:A16)+$B$3))),IF($D$15="",INDEX(orderHistory[order_no],SMALL(IF(ISNUMBER(MATCH(orderHistory[customer],$D$9,0)*MATCH(orderHistory[status],$D$11,0)*MATCH(orderHistory[order_type],$D$13,0)),MATCH(ROW(orderHistory[customer]),ROW(orderHistory[customer])),""),ROWS($A$15:A16)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N11" s="454" t="str">
        <f t="array" ref="N11">IFERROR(IF($D$9="",IF($D$11="",IF($D$13="",IF($D$15="",INDEX(orderHistory[order_type],SMALL(MATCH(ROW(orderHistory[customer]),ROW(orderHistory[customer])),ROWS($A$15:A16)+$B$3)),INDEX(orderHistory[order_type],SMALL(IF(ISNUMBER(MATCH(YEAR(orderHistory[invoice_date]),$D$15,0)),MATCH(ROW(orderHistory[customer]),ROW(orderHistory[customer])),""),ROWS($A$15:A16)+$B$3))),IF($D$15="",INDEX(orderHistory[order_type],SMALL(IF(ISNUMBER(MATCH(orderHistory[order_type],$D$13,0)),MATCH(ROW(orderHistory[customer]),ROW(orderHistory[customer])),""),ROWS($A$15:A16)+$B$3)),INDEX(orderHistory[order_type],SMALL(IF(ISNUMBER(MATCH(orderHistory[order_type],$D$13,0)*MATCH(YEAR(orderHistory[invoice_date]),$D$15,0)),MATCH(ROW(orderHistory[customer]),ROW(orderHistory[customer])),""),ROWS($A$15:A16)+$B$3)))),IF($D$13="",IF($D$15="",INDEX(orderHistory[order_type],SMALL(IF(ISNUMBER(MATCH(orderHistory[status],$D$11,0)),MATCH(ROW(orderHistory[customer]),ROW(orderHistory[customer])),""),ROWS($A$15:A16)+$B$3)),INDEX(orderHistory[order_type],SMALL(IF(ISNUMBER(MATCH(orderHistory[status],$D$11,0)*MATCH(YEAR(orderHistory[invoice_date]),$D$15,0)),MATCH(ROW(orderHistory[customer]),ROW(orderHistory[customer])),""),ROWS($A$15:A16)+$B$3))),IF($D$15="",INDEX(orderHistory[order_type],SMALL(IF(ISNUMBER(MATCH(orderHistory[status],$D$11,0)*MATCH(orderHistory[order_type],$D$13,0)),MATCH(ROW(orderHistory[customer]),ROW(orderHistory[customer])),""),ROWS($A$15:A16)+$B$3)),INDEX(orderHistory[order_typ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type],SMALL(IF(ISNUMBER(MATCH(orderHistory[customer],$D$9,0)),MATCH(ROW(orderHistory[customer]),ROW(orderHistory[customer])),""),ROWS($A$15:A16)+$B$3)),INDEX(orderHistory[order_type],SMALL(IF(ISNUMBER(MATCH(orderHistory[customer],$D$9,0)*MATCH(YEAR(orderHistory[invoice_date]),$D$15,0)),MATCH(ROW(orderHistory[customer]),ROW(orderHistory[customer])),""),ROWS($A$15:A16)+$B$3))),IF($D$15="",INDEX(orderHistory[order_type],SMALL(IF(ISNUMBER(MATCH(orderHistory[customer],$D$9,0)*MATCH(orderHistory[order_type],$D$13,0)),MATCH(ROW(orderHistory[customer]),ROW(orderHistory[customer])),""),ROWS($A$15:A16)+$B$3)),INDEX(orderHistory[order_typ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YEAR(orderHistory[invoice_date]),$D$15,0)),MATCH(ROW(orderHistory[customer]),ROW(orderHistory[customer])),""),ROWS($A$15:A16)+$B$3))),IF($D$15="",INDEX(orderHistory[order_type],SMALL(IF(ISNUMBER(MATCH(orderHistory[customer],$D$9,0)*MATCH(orderHistory[status],$D$11,0)*MATCH(orderHistory[order_type],$D$13,0)),MATCH(ROW(orderHistory[customer]),ROW(orderHistory[customer])),""),ROWS($A$15:A16)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O11" s="455" t="str">
        <f t="array" ref="O11">IFERROR(IF($D$9="",IF($D$11="",IF($D$13="",IF($D$15="",INDEX(orderHistory[order_date],SMALL(MATCH(ROW(orderHistory[customer]),ROW(orderHistory[customer])),ROWS($A$15:A16)+$B$3)),INDEX(orderHistory[order_date],SMALL(IF(ISNUMBER(MATCH(YEAR(orderHistory[invoice_date]),$D$15,0)),MATCH(ROW(orderHistory[customer]),ROW(orderHistory[customer])),""),ROWS($A$15:A16)+$B$3))),IF($D$15="",INDEX(orderHistory[order_date],SMALL(IF(ISNUMBER(MATCH(orderHistory[order_type],$D$13,0)),MATCH(ROW(orderHistory[customer]),ROW(orderHistory[customer])),""),ROWS($A$15:A16)+$B$3)),INDEX(orderHistory[order_date],SMALL(IF(ISNUMBER(MATCH(orderHistory[order_type],$D$13,0)*MATCH(YEAR(orderHistory[invoice_date]),$D$15,0)),MATCH(ROW(orderHistory[customer]),ROW(orderHistory[customer])),""),ROWS($A$15:A16)+$B$3)))),IF($D$13="",IF($D$15="",INDEX(orderHistory[order_date],SMALL(IF(ISNUMBER(MATCH(orderHistory[status],$D$11,0)),MATCH(ROW(orderHistory[customer]),ROW(orderHistory[customer])),""),ROWS($A$15:A16)+$B$3)),INDEX(orderHistory[order_date],SMALL(IF(ISNUMBER(MATCH(orderHistory[status],$D$11,0)*MATCH(YEAR(orderHistory[invoice_date]),$D$15,0)),MATCH(ROW(orderHistory[customer]),ROW(orderHistory[customer])),""),ROWS($A$15:A16)+$B$3))),IF($D$15="",INDEX(orderHistory[order_date],SMALL(IF(ISNUMBER(MATCH(orderHistory[status],$D$11,0)*MATCH(orderHistory[order_type],$D$13,0)),MATCH(ROW(orderHistory[customer]),ROW(orderHistory[customer])),""),ROWS($A$15:A16)+$B$3)),INDEX(orderHistory[order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date],SMALL(IF(ISNUMBER(MATCH(orderHistory[customer],$D$9,0)),MATCH(ROW(orderHistory[customer]),ROW(orderHistory[customer])),""),ROWS($A$15:A16)+$B$3)),INDEX(orderHistory[order_date],SMALL(IF(ISNUMBER(MATCH(orderHistory[customer],$D$9,0)*MATCH(YEAR(orderHistory[invoice_date]),$D$15,0)),MATCH(ROW(orderHistory[customer]),ROW(orderHistory[customer])),""),ROWS($A$15:A16)+$B$3))),IF($D$15="",INDEX(orderHistory[order_date],SMALL(IF(ISNUMBER(MATCH(orderHistory[customer],$D$9,0)*MATCH(orderHistory[order_type],$D$13,0)),MATCH(ROW(orderHistory[customer]),ROW(orderHistory[customer])),""),ROWS($A$15:A16)+$B$3)),INDEX(orderHistory[order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YEAR(orderHistory[invoice_date]),$D$15,0)),MATCH(ROW(orderHistory[customer]),ROW(orderHistory[customer])),""),ROWS($A$15:A16)+$B$3))),IF($D$15="",INDEX(orderHistory[order_date],SMALL(IF(ISNUMBER(MATCH(orderHistory[customer],$D$9,0)*MATCH(orderHistory[status],$D$11,0)*MATCH(orderHistory[order_type],$D$13,0)),MATCH(ROW(orderHistory[customer]),ROW(orderHistory[customer])),""),ROWS($A$15:A16)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P11" s="456" t="str">
        <f t="array" ref="P11">IFERROR(IF($D$9="",IF($D$11="",IF($D$13="",IF($D$15="",INDEX(orderHistory[invoice_no],SMALL(MATCH(ROW(orderHistory[customer]),ROW(orderHistory[customer])),ROWS($A$15:A16)+$B$3)),INDEX(orderHistory[invoice_no],SMALL(IF(ISNUMBER(MATCH(YEAR(orderHistory[invoice_date]),$D$15,0)),MATCH(ROW(orderHistory[customer]),ROW(orderHistory[customer])),""),ROWS($A$15:A16)+$B$3))),IF($D$15="",INDEX(orderHistory[invoice_no],SMALL(IF(ISNUMBER(MATCH(orderHistory[order_type],$D$13,0)),MATCH(ROW(orderHistory[customer]),ROW(orderHistory[customer])),""),ROWS($A$15:A16)+$B$3)),INDEX(orderHistory[invoice_no],SMALL(IF(ISNUMBER(MATCH(orderHistory[order_type],$D$13,0)*MATCH(YEAR(orderHistory[invoice_date]),$D$15,0)),MATCH(ROW(orderHistory[customer]),ROW(orderHistory[customer])),""),ROWS($A$15:A16)+$B$3)))),IF($D$13="",IF($D$15="",INDEX(orderHistory[invoice_no],SMALL(IF(ISNUMBER(MATCH(orderHistory[status],$D$11,0)),MATCH(ROW(orderHistory[customer]),ROW(orderHistory[customer])),""),ROWS($A$15:A16)+$B$3)),INDEX(orderHistory[invoice_no],SMALL(IF(ISNUMBER(MATCH(orderHistory[status],$D$11,0)*MATCH(YEAR(orderHistory[invoice_date]),$D$15,0)),MATCH(ROW(orderHistory[customer]),ROW(orderHistory[customer])),""),ROWS($A$15:A16)+$B$3))),IF($D$15="",INDEX(orderHistory[invoice_no],SMALL(IF(ISNUMBER(MATCH(orderHistory[status],$D$11,0)*MATCH(orderHistory[order_type],$D$13,0)),MATCH(ROW(orderHistory[customer]),ROW(orderHistory[customer])),""),ROWS($A$15:A16)+$B$3)),INDEX(orderHistory[invoice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no],SMALL(IF(ISNUMBER(MATCH(orderHistory[customer],$D$9,0)),MATCH(ROW(orderHistory[customer]),ROW(orderHistory[customer])),""),ROWS($A$15:A16)+$B$3)),INDEX(orderHistory[invoice_no],SMALL(IF(ISNUMBER(MATCH(orderHistory[customer],$D$9,0)*MATCH(YEAR(orderHistory[invoice_date]),$D$15,0)),MATCH(ROW(orderHistory[customer]),ROW(orderHistory[customer])),""),ROWS($A$15:A16)+$B$3))),IF($D$15="",INDEX(orderHistory[invoice_no],SMALL(IF(ISNUMBER(MATCH(orderHistory[customer],$D$9,0)*MATCH(orderHistory[order_type],$D$13,0)),MATCH(ROW(orderHistory[customer]),ROW(orderHistory[customer])),""),ROWS($A$15:A16)+$B$3)),INDEX(orderHistory[invoice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YEAR(orderHistory[invoice_date]),$D$15,0)),MATCH(ROW(orderHistory[customer]),ROW(orderHistory[customer])),""),ROWS($A$15:A16)+$B$3))),IF($D$15="",INDEX(orderHistory[invoice_no],SMALL(IF(ISNUMBER(MATCH(orderHistory[customer],$D$9,0)*MATCH(orderHistory[status],$D$11,0)*MATCH(orderHistory[order_type],$D$13,0)),MATCH(ROW(orderHistory[customer]),ROW(orderHistory[customer])),""),ROWS($A$15:A16)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Q11" s="457" t="str">
        <f t="array" ref="Q11">IFERROR(IF($D$9="",IF($D$11="",IF($D$13="",IF($D$15="",INDEX(orderHistory[invoice_date],SMALL(MATCH(ROW(orderHistory[customer]),ROW(orderHistory[customer])),ROWS($A$15:A16)+$B$3)),INDEX(orderHistory[invoice_date],SMALL(IF(ISNUMBER(MATCH(YEAR(orderHistory[invoice_date]),$D$15,0)),MATCH(ROW(orderHistory[customer]),ROW(orderHistory[customer])),""),ROWS($A$15:A16)+$B$3))),IF($D$15="",INDEX(orderHistory[invoice_date],SMALL(IF(ISNUMBER(MATCH(orderHistory[order_type],$D$13,0)),MATCH(ROW(orderHistory[customer]),ROW(orderHistory[customer])),""),ROWS($A$15:A16)+$B$3)),INDEX(orderHistory[invoice_date],SMALL(IF(ISNUMBER(MATCH(orderHistory[order_type],$D$13,0)*MATCH(YEAR(orderHistory[invoice_date]),$D$15,0)),MATCH(ROW(orderHistory[customer]),ROW(orderHistory[customer])),""),ROWS($A$15:A16)+$B$3)))),IF($D$13="",IF($D$15="",INDEX(orderHistory[invoice_date],SMALL(IF(ISNUMBER(MATCH(orderHistory[status],$D$11,0)),MATCH(ROW(orderHistory[customer]),ROW(orderHistory[customer])),""),ROWS($A$15:A16)+$B$3)),INDEX(orderHistory[invoice_date],SMALL(IF(ISNUMBER(MATCH(orderHistory[status],$D$11,0)*MATCH(YEAR(orderHistory[invoice_date]),$D$15,0)),MATCH(ROW(orderHistory[customer]),ROW(orderHistory[customer])),""),ROWS($A$15:A16)+$B$3))),IF($D$15="",INDEX(orderHistory[invoice_date],SMALL(IF(ISNUMBER(MATCH(orderHistory[status],$D$11,0)*MATCH(orderHistory[order_type],$D$13,0)),MATCH(ROW(orderHistory[customer]),ROW(orderHistory[customer])),""),ROWS($A$15:A16)+$B$3)),INDEX(orderHistory[invoice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date],SMALL(IF(ISNUMBER(MATCH(orderHistory[customer],$D$9,0)),MATCH(ROW(orderHistory[customer]),ROW(orderHistory[customer])),""),ROWS($A$15:A16)+$B$3)),INDEX(orderHistory[invoice_date],SMALL(IF(ISNUMBER(MATCH(orderHistory[customer],$D$9,0)*MATCH(YEAR(orderHistory[invoice_date]),$D$15,0)),MATCH(ROW(orderHistory[customer]),ROW(orderHistory[customer])),""),ROWS($A$15:A16)+$B$3))),IF($D$15="",INDEX(orderHistory[invoice_date],SMALL(IF(ISNUMBER(MATCH(orderHistory[customer],$D$9,0)*MATCH(orderHistory[order_type],$D$13,0)),MATCH(ROW(orderHistory[customer]),ROW(orderHistory[customer])),""),ROWS($A$15:A16)+$B$3)),INDEX(orderHistory[invoice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YEAR(orderHistory[invoice_date]),$D$15,0)),MATCH(ROW(orderHistory[customer]),ROW(orderHistory[customer])),""),ROWS($A$15:A16)+$B$3))),IF($D$15="",INDEX(orderHistory[invoice_date],SMALL(IF(ISNUMBER(MATCH(orderHistory[customer],$D$9,0)*MATCH(orderHistory[status],$D$11,0)*MATCH(orderHistory[order_type],$D$13,0)),MATCH(ROW(orderHistory[customer]),ROW(orderHistory[customer])),""),ROWS($A$15:A16)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R11" s="458" t="str">
        <f t="array" ref="R11">IFERROR(IF($D$9="",IF($D$11="",IF($D$13="",IF($D$15="",INDEX(orderHistory[inv_amount],SMALL(MATCH(ROW(orderHistory[customer]),ROW(orderHistory[customer])),ROWS($A$15:A16)+$B$3)),INDEX(orderHistory[inv_amount],SMALL(IF(ISNUMBER(MATCH(YEAR(orderHistory[invoice_date]),$D$15,0)),MATCH(ROW(orderHistory[customer]),ROW(orderHistory[customer])),""),ROWS($A$15:A16)+$B$3))),IF($D$15="",INDEX(orderHistory[inv_amount],SMALL(IF(ISNUMBER(MATCH(orderHistory[order_type],$D$13,0)),MATCH(ROW(orderHistory[customer]),ROW(orderHistory[customer])),""),ROWS($A$15:A16)+$B$3)),INDEX(orderHistory[inv_amount],SMALL(IF(ISNUMBER(MATCH(orderHistory[order_type],$D$13,0)*MATCH(YEAR(orderHistory[invoice_date]),$D$15,0)),MATCH(ROW(orderHistory[customer]),ROW(orderHistory[customer])),""),ROWS($A$15:A16)+$B$3)))),IF($D$13="",IF($D$15="",INDEX(orderHistory[inv_amount],SMALL(IF(ISNUMBER(MATCH(orderHistory[status],$D$11,0)),MATCH(ROW(orderHistory[customer]),ROW(orderHistory[customer])),""),ROWS($A$15:A16)+$B$3)),INDEX(orderHistory[inv_amount],SMALL(IF(ISNUMBER(MATCH(orderHistory[status],$D$11,0)*MATCH(YEAR(orderHistory[invoice_date]),$D$15,0)),MATCH(ROW(orderHistory[customer]),ROW(orderHistory[customer])),""),ROWS($A$15:A16)+$B$3))),IF($D$15="",INDEX(orderHistory[inv_amount],SMALL(IF(ISNUMBER(MATCH(orderHistory[status],$D$11,0)*MATCH(orderHistory[order_type],$D$13,0)),MATCH(ROW(orderHistory[customer]),ROW(orderHistory[customer])),""),ROWS($A$15:A16)+$B$3)),INDEX(orderHistory[inv_amount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_amount],SMALL(IF(ISNUMBER(MATCH(orderHistory[customer],$D$9,0)),MATCH(ROW(orderHistory[customer]),ROW(orderHistory[customer])),""),ROWS($A$15:A16)+$B$3)),INDEX(orderHistory[inv_amount],SMALL(IF(ISNUMBER(MATCH(orderHistory[customer],$D$9,0)*MATCH(YEAR(orderHistory[invoice_date]),$D$15,0)),MATCH(ROW(orderHistory[customer]),ROW(orderHistory[customer])),""),ROWS($A$15:A16)+$B$3))),IF($D$15="",INDEX(orderHistory[inv_amount],SMALL(IF(ISNUMBER(MATCH(orderHistory[customer],$D$9,0)*MATCH(orderHistory[order_type],$D$13,0)),MATCH(ROW(orderHistory[customer]),ROW(orderHistory[customer])),""),ROWS($A$15:A16)+$B$3)),INDEX(orderHistory[inv_amount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YEAR(orderHistory[inv_amount]),$D$15,0)),MATCH(ROW(orderHistory[customer]),ROW(orderHistory[customer])),""),ROWS($A$15:A16)+$B$3))),IF($D$15="",INDEX(orderHistory[inv_amount],SMALL(IF(ISNUMBER(MATCH(orderHistory[customer],$D$9,0)*MATCH(orderHistory[status],$D$11,0)*MATCH(orderHistory[order_type],$D$13,0)),MATCH(ROW(orderHistory[customer]),ROW(orderHistory[customer])),""),ROWS($A$15:A16)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S11" s="569" t="str">
        <f t="array" ref="S11">IFERROR(IF($D$9="",IF($D$11="",IF($D$13="",IF($D$15="",INDEX(orderHistory[lock_goods],SMALL(MATCH(ROW(orderHistory[customer]),ROW(orderHistory[customer])),ROWS($A$15:A16)+$B$3)),INDEX(orderHistory[lock_goods],SMALL(IF(ISNUMBER(MATCH(YEAR(orderHistory[invoice_date]),$D$15,0)),MATCH(ROW(orderHistory[customer]),ROW(orderHistory[customer])),""),ROWS($A$15:A16)+$B$3))),IF($D$15="",INDEX(orderHistory[lock_goods],SMALL(IF(ISNUMBER(MATCH(orderHistory[order_type],$D$13,0)),MATCH(ROW(orderHistory[customer]),ROW(orderHistory[customer])),""),ROWS($A$15:A16)+$B$3)),INDEX(orderHistory[lock_goods],SMALL(IF(ISNUMBER(MATCH(orderHistory[order_type],$D$13,0)*MATCH(YEAR(orderHistory[invoice_date]),$D$15,0)),MATCH(ROW(orderHistory[customer]),ROW(orderHistory[customer])),""),ROWS($A$15:A16)+$B$3)))),IF($D$13="",IF($D$15="",INDEX(orderHistory[lock_goods],SMALL(IF(ISNUMBER(MATCH(orderHistory[status],$D$11,0)),MATCH(ROW(orderHistory[customer]),ROW(orderHistory[customer])),""),ROWS($A$15:A16)+$B$3)),INDEX(orderHistory[lock_goods],SMALL(IF(ISNUMBER(MATCH(orderHistory[status],$D$11,0)*MATCH(YEAR(orderHistory[invoice_date]),$D$15,0)),MATCH(ROW(orderHistory[customer]),ROW(orderHistory[customer])),""),ROWS($A$15:A16)+$B$3))),IF($D$15="",INDEX(orderHistory[lock_goods],SMALL(IF(ISNUMBER(MATCH(orderHistory[status],$D$11,0)*MATCH(orderHistory[order_type],$D$13,0)),MATCH(ROW(orderHistory[customer]),ROW(orderHistory[customer])),""),ROWS($A$15:A16)+$B$3)),INDEX(orderHistory[lock_good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lock_goods],SMALL(IF(ISNUMBER(MATCH(orderHistory[customer],$D$9,0)),MATCH(ROW(orderHistory[customer]),ROW(orderHistory[customer])),""),ROWS($A$15:A16)+$B$3)),INDEX(orderHistory[lock_goods],SMALL(IF(ISNUMBER(MATCH(orderHistory[customer],$D$9,0)*MATCH(YEAR(orderHistory[invoice_date]),$D$15,0)),MATCH(ROW(orderHistory[customer]),ROW(orderHistory[customer])),""),ROWS($A$15:A16)+$B$3))),IF($D$15="",INDEX(orderHistory[lock_goods],SMALL(IF(ISNUMBER(MATCH(orderHistory[customer],$D$9,0)*MATCH(orderHistory[order_type],$D$13,0)),MATCH(ROW(orderHistory[customer]),ROW(orderHistory[customer])),""),ROWS($A$15:A16)+$B$3)),INDEX(orderHistory[lock_good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lock_goods],SMALL(IF(ISNUMBER(MATCH(orderHistory[customer],$D$9,0)*MATCH(orderHistory[status],$D$11,0)),MATCH(ROW(orderHistory[customer]),ROW(orderHistory[customer])),""),ROWS($A$15:A16)+$B$3)),INDEX(orderHistory[lock_goods],SMALL(IF(ISNUMBER(MATCH(orderHistory[customer],$D$9,0)*MATCH(orderHistory[status],$D$11,0)*MATCH(YEAR(orderHistory[payed]),$D$15,0)),MATCH(ROW(orderHistory[customer]),ROW(orderHistory[customer])),""),ROWS($A$15:A16)+$B$3))),IF($D$15="",INDEX(orderHistory[lock_goods],SMALL(IF(ISNUMBER(MATCH(orderHistory[customer],$D$9,0)*MATCH(orderHistory[status],$D$11,0)*MATCH(orderHistory[order_type],$D$13,0)),MATCH(ROW(orderHistory[customer]),ROW(orderHistory[customer])),""),ROWS($A$15:A16)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T11" s="459" t="str">
        <f t="array" ref="T11">IFERROR(IF($D$9="",IF($D$11="",IF($D$13="",IF($D$15="",INDEX(orderHistory[payed],SMALL(MATCH(ROW(orderHistory[customer]),ROW(orderHistory[customer])),ROWS($A$15:A16)+$B$3)),INDEX(orderHistory[payed],SMALL(IF(ISNUMBER(MATCH(YEAR(orderHistory[invoice_date]),$D$15,0)),MATCH(ROW(orderHistory[customer]),ROW(orderHistory[customer])),""),ROWS($A$15:A16)+$B$3))),IF($D$15="",INDEX(orderHistory[payed],SMALL(IF(ISNUMBER(MATCH(orderHistory[order_type],$D$13,0)),MATCH(ROW(orderHistory[customer]),ROW(orderHistory[customer])),""),ROWS($A$15:A16)+$B$3)),INDEX(orderHistory[payed],SMALL(IF(ISNUMBER(MATCH(orderHistory[order_type],$D$13,0)*MATCH(YEAR(orderHistory[invoice_date]),$D$15,0)),MATCH(ROW(orderHistory[customer]),ROW(orderHistory[customer])),""),ROWS($A$15:A16)+$B$3)))),IF($D$13="",IF($D$15="",INDEX(orderHistory[payed],SMALL(IF(ISNUMBER(MATCH(orderHistory[status],$D$11,0)),MATCH(ROW(orderHistory[customer]),ROW(orderHistory[customer])),""),ROWS($A$15:A16)+$B$3)),INDEX(orderHistory[payed],SMALL(IF(ISNUMBER(MATCH(orderHistory[status],$D$11,0)*MATCH(YEAR(orderHistory[invoice_date]),$D$15,0)),MATCH(ROW(orderHistory[customer]),ROW(orderHistory[customer])),""),ROWS($A$15:A16)+$B$3))),IF($D$15="",INDEX(orderHistory[payed],SMALL(IF(ISNUMBER(MATCH(orderHistory[status],$D$11,0)*MATCH(orderHistory[order_type],$D$13,0)),MATCH(ROW(orderHistory[customer]),ROW(orderHistory[customer])),""),ROWS($A$15:A16)+$B$3)),INDEX(orderHistory[paye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payed],SMALL(IF(ISNUMBER(MATCH(orderHistory[customer],$D$9,0)),MATCH(ROW(orderHistory[customer]),ROW(orderHistory[customer])),""),ROWS($A$15:A16)+$B$3)),INDEX(orderHistory[payed],SMALL(IF(ISNUMBER(MATCH(orderHistory[customer],$D$9,0)*MATCH(YEAR(orderHistory[invoice_date]),$D$15,0)),MATCH(ROW(orderHistory[customer]),ROW(orderHistory[customer])),""),ROWS($A$15:A16)+$B$3))),IF($D$15="",INDEX(orderHistory[payed],SMALL(IF(ISNUMBER(MATCH(orderHistory[customer],$D$9,0)*MATCH(orderHistory[order_type],$D$13,0)),MATCH(ROW(orderHistory[customer]),ROW(orderHistory[customer])),""),ROWS($A$15:A16)+$B$3)),INDEX(orderHistory[paye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YEAR(orderHistory[payed]),$D$15,0)),MATCH(ROW(orderHistory[customer]),ROW(orderHistory[customer])),""),ROWS($A$15:A16)+$B$3))),IF($D$15="",INDEX(orderHistory[payed],SMALL(IF(ISNUMBER(MATCH(orderHistory[customer],$D$9,0)*MATCH(orderHistory[status],$D$11,0)*MATCH(orderHistory[order_type],$D$13,0)),MATCH(ROW(orderHistory[customer]),ROW(orderHistory[customer])),""),ROWS($A$15:A16)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U11" s="454" t="str">
        <f t="array" ref="U11">IFERROR(IF($D$9="",IF($D$11="",IF($D$13="",IF($D$15="",INDEX(orderHistory[shipping_method],SMALL(MATCH(ROW(orderHistory[customer]),ROW(orderHistory[customer])),ROWS($A$15:A16)+$B$3)),INDEX(orderHistory[shipping_method],SMALL(IF(ISNUMBER(MATCH(YEAR(orderHistory[invoice_date]),$D$15,0)),MATCH(ROW(orderHistory[customer]),ROW(orderHistory[customer])),""),ROWS($A$15:A16)+$B$3))),IF($D$15="",INDEX(orderHistory[shipping_method],SMALL(IF(ISNUMBER(MATCH(orderHistory[order_type],$D$13,0)),MATCH(ROW(orderHistory[customer]),ROW(orderHistory[customer])),""),ROWS($A$15:A16)+$B$3)),INDEX(orderHistory[shipping_method],SMALL(IF(ISNUMBER(MATCH(orderHistory[order_type],$D$13,0)*MATCH(YEAR(orderHistory[invoice_date]),$D$15,0)),MATCH(ROW(orderHistory[customer]),ROW(orderHistory[customer])),""),ROWS($A$15:A16)+$B$3)))),IF($D$13="",IF($D$15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YEAR(orderHistory[invoice_date]),$D$15,0)),MATCH(ROW(orderHistory[customer]),ROW(orderHistory[customer])),""),ROWS($A$15:A16)+$B$3))),IF($D$15="",INDEX(orderHistory[shipping_method],SMALL(IF(ISNUMBER(MATCH(orderHistory[status],$D$11,0)*MATCH(orderHistory[order_type],$D$13,0)),MATCH(ROW(orderHistory[customer]),ROW(orderHistory[customer])),""),ROWS($A$15:A16)+$B$3)),INDEX(orderHistory[shipping_metho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YEAR(orderHistory[invoice_date]),$D$15,0)),MATCH(ROW(orderHistory[customer]),ROW(orderHistory[customer])),""),ROWS($A$15:A16)+$B$3))),IF($D$15="",INDEX(orderHistory[shipping_method],SMALL(IF(ISNUMBER(MATCH(orderHistory[customer],$D$9,0)*MATCH(orderHistory[order_type],$D$13,0)),MATCH(ROW(orderHistory[customer]),ROW(orderHistory[customer])),""),ROWS($A$15:A16)+$B$3)),INDEX(orderHistory[shipping_metho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YEAR(orderHistory[shipping_method]),$D$15,0)),MATCH(ROW(orderHistory[customer]),ROW(orderHistory[customer])),""),ROWS($A$15:A16)+$B$3))),IF($D$15="",INDEX(orderHistory[shipping_method],SMALL(IF(ISNUMBER(MATCH(orderHistory[customer],$D$9,0)*MATCH(orderHistory[status],$D$11,0)*MATCH(orderHistory[order_type],$D$13,0)),MATCH(ROW(orderHistory[customer]),ROW(orderHistory[customer])),""),ROWS($A$15:A16)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V11" s="460" t="str">
        <f t="array" ref="V11">IFERROR(IF($D$9="",IF($D$11="",IF($D$13="",IF($D$15="",INDEX(orderHistory[status],SMALL(MATCH(ROW(orderHistory[customer]),ROW(orderHistory[customer])),ROWS($A$15:A16)+$B$3)),INDEX(orderHistory[status],SMALL(IF(ISNUMBER(MATCH(YEAR(orderHistory[invoice_date]),$D$15,0)),MATCH(ROW(orderHistory[customer]),ROW(orderHistory[customer])),""),ROWS($A$15:A16)+$B$3))),IF($D$15="",INDEX(orderHistory[status],SMALL(IF(ISNUMBER(MATCH(orderHistory[order_type],$D$13,0)),MATCH(ROW(orderHistory[customer]),ROW(orderHistory[customer])),""),ROWS($A$15:A16)+$B$3)),INDEX(orderHistory[status],SMALL(IF(ISNUMBER(MATCH(orderHistory[order_type],$D$13,0)*MATCH(YEAR(orderHistory[invoice_date]),$D$15,0)),MATCH(ROW(orderHistory[customer]),ROW(orderHistory[customer])),""),ROWS($A$15:A16)+$B$3)))),IF($D$13="",IF($D$15="",INDEX(orderHistory[status],SMALL(IF(ISNUMBER(MATCH(orderHistory[status],$D$11,0)),MATCH(ROW(orderHistory[customer]),ROW(orderHistory[customer])),""),ROWS($A$15:A16)+$B$3)),INDEX(orderHistory[status],SMALL(IF(ISNUMBER(MATCH(orderHistory[status],$D$11,0)*MATCH(YEAR(orderHistory[invoice_date]),$D$15,0)),MATCH(ROW(orderHistory[customer]),ROW(orderHistory[customer])),""),ROWS($A$15:A16)+$B$3))),IF($D$15="",INDEX(orderHistory[status],SMALL(IF(ISNUMBER(MATCH(orderHistory[status],$D$11,0)*MATCH(orderHistory[order_type],$D$13,0)),MATCH(ROW(orderHistory[customer]),ROW(orderHistory[customer])),""),ROWS($A$15:A16)+$B$3)),INDEX(orderHistory[statu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tatus],SMALL(IF(ISNUMBER(MATCH(orderHistory[customer],$D$9,0)),MATCH(ROW(orderHistory[customer]),ROW(orderHistory[customer])),""),ROWS($A$15:A16)+$B$3)),INDEX(orderHistory[status],SMALL(IF(ISNUMBER(MATCH(orderHistory[customer],$D$9,0)*MATCH(YEAR(orderHistory[invoice_date]),$D$15,0)),MATCH(ROW(orderHistory[customer]),ROW(orderHistory[customer])),""),ROWS($A$15:A16)+$B$3))),IF($D$15="",INDEX(orderHistory[status],SMALL(IF(ISNUMBER(MATCH(orderHistory[customer],$D$9,0)*MATCH(orderHistory[order_type],$D$13,0)),MATCH(ROW(orderHistory[customer]),ROW(orderHistory[customer])),""),ROWS($A$15:A16)+$B$3)),INDEX(orderHistory[statu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YEAR(orderHistory[status]),$D$15,0)),MATCH(ROW(orderHistory[customer]),ROW(orderHistory[customer])),""),ROWS($A$15:A16)+$B$3))),IF($D$15="",INDEX(orderHistory[status],SMALL(IF(ISNUMBER(MATCH(orderHistory[customer],$D$9,0)*MATCH(orderHistory[status],$D$11,0)*MATCH(orderHistory[order_type],$D$13,0)),MATCH(ROW(orderHistory[customer]),ROW(orderHistory[customer])),""),ROWS($A$15:A16)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W11" s="75"/>
      <c r="AO11" s="385"/>
      <c r="AQ11" s="378"/>
      <c r="AR11" s="386"/>
      <c r="AS11" s="380"/>
      <c r="AT11" s="387"/>
      <c r="AU11" s="339"/>
      <c r="AW11" s="378"/>
      <c r="AX11" s="388"/>
      <c r="AZ11" s="389"/>
      <c r="BD11" s="376"/>
      <c r="BE11" s="376"/>
      <c r="BF11" s="390"/>
      <c r="BG11" s="382"/>
      <c r="BH11" s="390"/>
      <c r="BJ11" s="339"/>
      <c r="BK11" s="391"/>
      <c r="BL11" s="367"/>
      <c r="BM11" s="368"/>
      <c r="BN11" s="367"/>
      <c r="BO11" s="368"/>
      <c r="BX11" s="385" t="str">
        <f>$B$4</f>
        <v/>
      </c>
      <c r="BZ11" s="520" t="s">
        <v>117</v>
      </c>
      <c r="CA11" s="477" t="str">
        <f>IF(BZ11="","",INDEX(bhpc_data[description],MATCH(BZ11,bhpc_data[sku],0)))</f>
        <v>BHPC PRESTIGE HERITAGE OUD 100ML EDP MEN</v>
      </c>
      <c r="CB11" s="478">
        <v>720</v>
      </c>
      <c r="CC11" s="523">
        <v>14.53</v>
      </c>
      <c r="CD11" s="480"/>
      <c r="CE11" s="481"/>
      <c r="CF11" s="482">
        <v>100</v>
      </c>
      <c r="CG11" s="483">
        <f>IFERROR(ROUNDUP(CB11/INDEX(bhpc_data[units_per_carton],MATCH(BZ11,bhpc_data[sku],0)),0),"")</f>
        <v>30</v>
      </c>
      <c r="CH11" s="484">
        <f>IFERROR(ROUNDUP(CD11/INDEX(bhpc_data[units_per_carton],MATCH(BZ11,bhpc_data[sku],0)),0),"")</f>
        <v>0</v>
      </c>
      <c r="CI11" s="484">
        <f>IFERROR(ROUNDUP(CF11/INDEX(bhpc_data[units_per_carton],MATCH(BZ11,bhpc_data[sku])),0),"")</f>
        <v>5</v>
      </c>
      <c r="CJ11" s="484">
        <f>IFERROR(((CB11+CD11+CF11)/INDEX(bhpc_data[units_per_carton],MATCH(BZ11,bhpc_data[sku],0)))*INDEX(bhpc_data[net_weight],MATCH(BZ11,bhpc_data[sku],0)),"")</f>
        <v>323.89999999999998</v>
      </c>
      <c r="CK11" s="484">
        <f>IFERROR(((CB11+CD11+CF11)/INDEX(bhpc_data[units_per_carton],MATCH(BZ11,bhpc_data[sku],0)))*INDEX(bhpc_data[gross_weight],MATCH(BZ11,bhpc_data[sku],0)),"")</f>
        <v>338.25</v>
      </c>
      <c r="CL11" s="485">
        <f>IFERROR((CB11+CD11+CF11)/INDEX(bhpc_data[units_per_carton],MATCH(BZ11,bhpc_data[sku],0))*INDEX(bhpc_data[lenght],MATCH(BZ11,bhpc_data[sku],0))*INDEX(bhpc_data[width],MATCH(BZ11,bhpc_data[sku],0))*INDEX(bhpc_data[height],MATCH(BZ11,bhpc_data[sku],0))/1000000000,"")</f>
        <v>0.59099791666666668</v>
      </c>
      <c r="CM11" s="486" t="str">
        <f>IFERROR(INDEX(bhpc_data[category],MATCH(BZ11,bhpc_data[sku],0)),"")</f>
        <v>PRESTIGE</v>
      </c>
      <c r="CN11" s="486">
        <f>IFERROR(INDEX(bhpc_data[size1],MATCH(BZ11,bhpc_data[sku],0)),"")</f>
        <v>100</v>
      </c>
      <c r="CO11" s="487" t="str">
        <f>IFERROR(INDEX(bhpc_data[hs_code],MATCH(BZ11,bhpc_data[sku],0)),"")</f>
        <v>33030010</v>
      </c>
      <c r="CP11" s="482">
        <v>11.68</v>
      </c>
      <c r="CQ11" s="492" t="str">
        <f>IFERROR(IF(BZ11="","",IF($BX$15="SALE",INDEX(inventory[COSTO UNITARIO],MATCH(BZ11,inventory[ARTICOLO],0)),IF($BX$15="SAMPLING",INDEX(inventory[COSTO UNITARIO],MATCH(BZ11,inventory[ARTICOLO],0)),""))),"")</f>
        <v/>
      </c>
      <c r="CR11" s="492" t="str">
        <f t="shared" si="0"/>
        <v/>
      </c>
      <c r="CS11" s="489">
        <f t="shared" si="1"/>
        <v>10461.6</v>
      </c>
      <c r="CT11" s="573" t="e">
        <f t="shared" si="2"/>
        <v>#N/A</v>
      </c>
      <c r="CV11" s="85"/>
      <c r="CW11" s="89" t="s">
        <v>935</v>
      </c>
      <c r="CX11" s="230">
        <f>COUNTA($CB$10:$CB$110)</f>
        <v>8</v>
      </c>
      <c r="CY11" s="301" t="s">
        <v>1187</v>
      </c>
      <c r="CZ11" s="234">
        <f>SUM(CS10:CS110)</f>
        <v>83692.800000000003</v>
      </c>
      <c r="DA11" s="82"/>
      <c r="DH11" s="245"/>
      <c r="EC11" s="385"/>
      <c r="EE11" s="541" t="str" cm="1">
        <f t="array" ref="EE11">IFERROR(IF($EC$9="",IF($EC$11="",IF($EC$13="",INDEX(bhpc_data[sku],SMALL(MATCH(ROW(bhpc_data[sku]),ROW(bhpc_data[sku])),ROWS($A$15:A16)+$B$3)),INDEX(bhpc_data[sku],SMALL(IF(ISNUMBER(MATCH(bhpc_data[size1],$EC$13,0)),MATCH(ROW(bhpc_data[sku]),ROW(bhpc_data[sku])),""),ROWS($A$15:A16)+$B$3))),IF($EC$13="",INDEX(bhpc_data[sku],SMALL(IF(ISNUMBER(MATCH(bhpc_data[sex],$EC$11,0)),MATCH(ROW(bhpc_data[sku]),ROW(bhpc_data[sku])),""),ROWS($A$15:A16)+$B$3)),INDEX(bhpc_data[sku],SMALL(IF(ISNUMBER(MATCH(bhpc_data[sex],$EC$11,0)*MATCH(bhpc_data[size1],$EC$13,0)),MATCH(ROW(bhpc_data[sku]),ROW(bhpc_data[sku])),""),ROWS($A$15:A16)+$B$3)))),IF($EC$11="",IF($EC$13="",INDEX(bhpc_data[sku],SMALL(IF(ISNUMBER(MATCH(bhpc_data[category],$EC$9,0)),MATCH(ROW(bhpc_data[sku]),ROW(bhpc_data[sku])),""),ROWS($A$15:A16)+$B$3)),INDEX(bhpc_data[sku],SMALL(IF(ISNUMBER(MATCH(bhpc_data[category],$EC$9,0)*MATCH(bhpc_data[size1],$EC$13,0)),MATCH(ROW(bhpc_data[sku]),ROW(bhpc_data[sku])),""),ROWS($A$15:A16)+$B$3))),IF($EC$13="",INDEX(bhpc_data[sku],SMALL(IF(ISNUMBER(MATCH(bhpc_data[category],$EC$9,0)*MATCH(bhpc_data[sex],$EC$11,0)),MATCH(ROW(bhpc_data[sku]),ROW(bhpc_data[sku])),""),ROWS($A$15:A16)+$B$3)),INDEX(bhpc_data[sku],SMALL(IF(ISNUMBER(MATCH(bhpc_data[category],$EC$9,0)*MATCH(bhpc_data[sex],$EC$11,0)*MATCH(bhpc_data[size1],$EC$13,0)),MATCH(ROW(bhpc_data[sku]),ROW(bhpc_data[sku])),""),ROWS($A$15:A16)+$B$3))))),"")</f>
        <v>GS5005</v>
      </c>
      <c r="EF11" s="542" t="str" cm="1">
        <f t="array" ref="EF11">IFERROR(IF($EC$9="",IF($EC$11="",IF($EC$13="",INDEX(bhpc_data[description],SMALL(MATCH(ROW(bhpc_data[sku]),ROW(bhpc_data[sku])),ROWS($A$15:A16)+$B$3)),INDEX(bhpc_data[description],SMALL(IF(ISNUMBER(MATCH(bhpc_data[size1],$EC$13,0)),MATCH(ROW(bhpc_data[sku]),ROW(bhpc_data[sku])),""),ROWS($A$15:A16)+$B$3))),IF($EC$13="",INDEX(bhpc_data[description],SMALL(IF(ISNUMBER(MATCH(bhpc_data[sex],$EC$11,0)),MATCH(ROW(bhpc_data[sku]),ROW(bhpc_data[sku])),""),ROWS($A$15:A16)+$B$3)),INDEX(bhpc_data[description],SMALL(IF(ISNUMBER(MATCH(bhpc_data[sex],$EC$11,0)*MATCH(bhpc_data[size1],$EC$13,0)),MATCH(ROW(bhpc_data[sku]),ROW(bhpc_data[sku])),""),ROWS($A$15:A16)+$B$3)))),IF($EC$11="",IF($EC$13="",INDEX(bhpc_data[description],SMALL(IF(ISNUMBER(MATCH(bhpc_data[category],$EC$9,0)),MATCH(ROW(bhpc_data[sku]),ROW(bhpc_data[sku])),""),ROWS($A$15:A16)+$B$3)),INDEX(bhpc_data[description],SMALL(IF(ISNUMBER(MATCH(bhpc_data[category],$EC$9,0)*MATCH(bhpc_data[size1],$EC$13,0)),MATCH(ROW(bhpc_data[sku]),ROW(bhpc_data[sku])),""),ROWS($A$15:A16)+$B$3))),IF($EC$13="",INDEX(bhpc_data[description],SMALL(IF(ISNUMBER(MATCH(bhpc_data[category],$EC$9,0)*MATCH(bhpc_data[sex],$EC$11,0)),MATCH(ROW(bhpc_data[sku]),ROW(bhpc_data[sku])),""),ROWS($A$15:A16)+$B$3)),INDEX(bhpc_data[description],SMALL(IF(ISNUMBER(MATCH(bhpc_data[category],$EC$9,0)*MATCH(bhpc_data[sex],$EC$11,0)*MATCH(bhpc_data[size1],$EC$13,0)),MATCH(ROW(bhpc_data[sku]),ROW(bhpc_data[sku])),""),ROWS($A$15:A16)+$B$3))))),"")</f>
        <v>BHPC GIFT SET SPORT MEN 9 EDT 100ML + DEO 175ML</v>
      </c>
      <c r="EG11" s="543">
        <f>IFERROR(IF('BHPC MANAGER'!$EE11="","",INDEX(inventory[ESISTENZA],MATCH('BHPC MANAGER'!$EE11,inventory[ARTICOLO],0))),0)</f>
        <v>0</v>
      </c>
      <c r="EH11" s="544">
        <v>-56</v>
      </c>
      <c r="EI11" s="544">
        <f t="shared" ref="EI11:EI74" si="3">IF(EE11="","",IFERROR(EG11+EH11,EG11))</f>
        <v>-56</v>
      </c>
      <c r="EJ11" s="545">
        <v>-200</v>
      </c>
      <c r="EK11" s="546">
        <f t="shared" ref="EK11:EK74" si="4">IF(EE11="","",IFERROR(EI11+EJ11,EI11))</f>
        <v>-256</v>
      </c>
      <c r="FF11" s="331"/>
      <c r="FG11" s="331"/>
      <c r="FH11" s="331"/>
      <c r="FI11" s="331"/>
      <c r="FJ11" s="331"/>
      <c r="FK11" s="331"/>
      <c r="FL11" s="331"/>
      <c r="FM11" s="331"/>
      <c r="FN11" s="331"/>
      <c r="FO11" s="331"/>
      <c r="FP11" s="331"/>
      <c r="FQ11" s="331"/>
      <c r="FR11" s="331"/>
      <c r="FS11" s="331"/>
      <c r="FT11" s="331"/>
      <c r="FU11" s="331"/>
      <c r="FV11" s="331"/>
      <c r="FW11" s="331"/>
      <c r="FX11" s="331"/>
      <c r="FY11" s="331"/>
      <c r="FZ11" s="331"/>
      <c r="GA11" s="331"/>
      <c r="GB11" s="331"/>
      <c r="GC11" s="331"/>
      <c r="GD11" s="331"/>
      <c r="GE11" s="331"/>
      <c r="GF11" s="331"/>
      <c r="GG11" s="331"/>
      <c r="GH11" s="331"/>
      <c r="GI11" s="331"/>
      <c r="GJ11" s="331"/>
      <c r="GK11" s="331"/>
      <c r="GL11" s="331"/>
      <c r="GM11" s="331"/>
      <c r="GN11" s="331"/>
      <c r="GO11" s="331"/>
      <c r="GP11" s="331"/>
      <c r="GQ11" s="331"/>
      <c r="GR11" s="331"/>
      <c r="GS11" s="331"/>
      <c r="GT11" s="331"/>
      <c r="GU11" s="331"/>
      <c r="GV11" s="331"/>
      <c r="GW11" s="331"/>
      <c r="GX11" s="331"/>
      <c r="GY11" s="331"/>
      <c r="GZ11" s="331"/>
      <c r="HA11" s="331"/>
      <c r="HB11" s="331"/>
      <c r="HC11" s="331"/>
      <c r="HD11" s="331"/>
      <c r="HE11" s="331"/>
      <c r="HF11" s="331"/>
      <c r="HG11" s="331"/>
      <c r="HH11" s="331"/>
      <c r="HI11" s="331"/>
      <c r="HJ11" s="331"/>
      <c r="HK11" s="331"/>
      <c r="HL11" s="331"/>
      <c r="HM11" s="331"/>
      <c r="HN11" s="331"/>
      <c r="HO11" s="331"/>
      <c r="HP11" s="331"/>
      <c r="HQ11" s="331"/>
      <c r="HR11" s="331"/>
      <c r="HS11" s="331"/>
      <c r="HT11" s="331"/>
    </row>
    <row r="12" spans="1:702" ht="15" customHeight="1" x14ac:dyDescent="0.35">
      <c r="B12" s="150"/>
      <c r="D12" s="333" t="s">
        <v>754</v>
      </c>
      <c r="F12" s="91"/>
      <c r="G12" s="804" t="str">
        <f>IFERROR(INDEX(clientData[country],MATCH($B$6,clientData[cod_cliente],0)),"")</f>
        <v/>
      </c>
      <c r="H12" s="805"/>
      <c r="I12" s="806"/>
      <c r="J12" s="82"/>
      <c r="L12" s="452" t="str">
        <f t="array" ref="L12">IFERROR(IF($D$9="",IF($D$11="",IF($D$13="",IF($D$15="",INDEX(orderHistory[customer],SMALL(MATCH(ROW(orderHistory[customer]),ROW(orderHistory[customer])),ROWS($A$15:A17)+$B$3)),INDEX(orderHistory[customer],SMALL(IF(ISNUMBER(MATCH(YEAR(orderHistory[invoice_date]),$D$15,0)),MATCH(ROW(orderHistory[customer]),ROW(orderHistory[customer])),""),ROWS($A$15:A17)+$B$3))),IF($D$15="",INDEX(orderHistory[customer],SMALL(IF(ISNUMBER(MATCH(orderHistory[order_type],$D$13,0)),MATCH(ROW(orderHistory[customer]),ROW(orderHistory[customer])),""),ROWS($A$15:A17)+$B$3)),INDEX(orderHistory[customer],SMALL(IF(ISNUMBER(MATCH(orderHistory[order_type],$D$13,0)*MATCH(YEAR(orderHistory[invoice_date]),$D$15,0)),MATCH(ROW(orderHistory[customer]),ROW(orderHistory[customer])),""),ROWS($A$15:A17)+$B$3)))),IF($D$13="",IF($D$15="",INDEX(orderHistory[customer],SMALL(IF(ISNUMBER(MATCH(orderHistory[status],$D$11,0)),MATCH(ROW(orderHistory[customer]),ROW(orderHistory[customer])),""),ROWS($A$15:A17)+$B$3)),INDEX(orderHistory[customer],SMALL(IF(ISNUMBER(MATCH(orderHistory[status],$D$11,0)*MATCH(YEAR(orderHistory[invoice_date]),$D$15,0)),MATCH(ROW(orderHistory[customer]),ROW(orderHistory[customer])),""),ROWS($A$15:A17)+$B$3))),IF($D$15="",INDEX(orderHistory[customer],SMALL(IF(ISNUMBER(MATCH(orderHistory[status],$D$11,0)*MATCH(orderHistory[order_type],$D$13,0)),MATCH(ROW(orderHistory[customer]),ROW(orderHistory[customer])),""),ROWS($A$15:A17)+$B$3)),INDEX(orderHistory[customer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customer],SMALL(IF(ISNUMBER(MATCH(orderHistory[customer],$D$9,0)),MATCH(ROW(orderHistory[customer]),ROW(orderHistory[customer])),""),ROWS($A$15:A17)+$B$3)),INDEX(orderHistory[customer],SMALL(IF(ISNUMBER(MATCH(orderHistory[customer],$D$9,0)*MATCH(YEAR(orderHistory[invoice_date]),$D$15,0)),MATCH(ROW(orderHistory[customer]),ROW(orderHistory[customer])),""),ROWS($A$15:A17)+$B$3))),IF($D$15="",INDEX(orderHistory[customer],SMALL(IF(ISNUMBER(MATCH(orderHistory[customer],$D$9,0)*MATCH(orderHistory[order_type],$D$13,0)),MATCH(ROW(orderHistory[customer]),ROW(orderHistory[customer])),""),ROWS($A$15:A17)+$B$3)),INDEX(orderHistory[customer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YEAR(orderHistory[invoice_date]),$D$15,0)),MATCH(ROW(orderHistory[customer]),ROW(orderHistory[customer])),""),ROWS($A$15:A17)+$B$3))),IF($D$15="",INDEX(orderHistory[customer],SMALL(IF(ISNUMBER(MATCH(orderHistory[customer],$D$9,0)*MATCH(orderHistory[status],$D$11,0)*MATCH(orderHistory[order_type],$D$13,0)),MATCH(ROW(orderHistory[customer]),ROW(orderHistory[customer])),""),ROWS($A$15:A17)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M12" s="453" t="str">
        <f t="array" ref="M12">IFERROR(IF($D$9="",IF($D$11="",IF($D$13="",IF($D$15="",INDEX(orderHistory[order_no],SMALL(MATCH(ROW(orderHistory[customer]),ROW(orderHistory[customer])),ROWS($A$15:A17)+$B$3)),INDEX(orderHistory[order_no],SMALL(IF(ISNUMBER(MATCH(YEAR(orderHistory[invoice_date]),$D$15,0)),MATCH(ROW(orderHistory[customer]),ROW(orderHistory[customer])),""),ROWS($A$15:A17)+$B$3))),IF($D$15="",INDEX(orderHistory[order_no],SMALL(IF(ISNUMBER(MATCH(orderHistory[order_type],$D$13,0)),MATCH(ROW(orderHistory[customer]),ROW(orderHistory[customer])),""),ROWS($A$15:A17)+$B$3)),INDEX(orderHistory[order_no],SMALL(IF(ISNUMBER(MATCH(orderHistory[order_type],$D$13,0)*MATCH(YEAR(orderHistory[invoice_date]),$D$15,0)),MATCH(ROW(orderHistory[customer]),ROW(orderHistory[customer])),""),ROWS($A$15:A17)+$B$3)))),IF($D$13="",IF($D$15="",INDEX(orderHistory[order_no],SMALL(IF(ISNUMBER(MATCH(orderHistory[status],$D$11,0)),MATCH(ROW(orderHistory[customer]),ROW(orderHistory[customer])),""),ROWS($A$15:A17)+$B$3)),INDEX(orderHistory[order_no],SMALL(IF(ISNUMBER(MATCH(orderHistory[status],$D$11,0)*MATCH(YEAR(orderHistory[invoice_date]),$D$15,0)),MATCH(ROW(orderHistory[customer]),ROW(orderHistory[customer])),""),ROWS($A$15:A17)+$B$3))),IF($D$15="",INDEX(orderHistory[order_no],SMALL(IF(ISNUMBER(MATCH(orderHistory[status],$D$11,0)*MATCH(orderHistory[order_type],$D$13,0)),MATCH(ROW(orderHistory[customer]),ROW(orderHistory[customer])),""),ROWS($A$15:A17)+$B$3)),INDEX(orderHistory[order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no],SMALL(IF(ISNUMBER(MATCH(orderHistory[customer],$D$9,0)),MATCH(ROW(orderHistory[customer]),ROW(orderHistory[customer])),""),ROWS($A$15:A17)+$B$3)),INDEX(orderHistory[order_no],SMALL(IF(ISNUMBER(MATCH(orderHistory[customer],$D$9,0)*MATCH(YEAR(orderHistory[invoice_date]),$D$15,0)),MATCH(ROW(orderHistory[customer]),ROW(orderHistory[customer])),""),ROWS($A$15:A17)+$B$3))),IF($D$15="",INDEX(orderHistory[order_no],SMALL(IF(ISNUMBER(MATCH(orderHistory[customer],$D$9,0)*MATCH(orderHistory[order_type],$D$13,0)),MATCH(ROW(orderHistory[customer]),ROW(orderHistory[customer])),""),ROWS($A$15:A17)+$B$3)),INDEX(orderHistory[order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YEAR(orderHistory[invoice_date]),$D$15,0)),MATCH(ROW(orderHistory[customer]),ROW(orderHistory[customer])),""),ROWS($A$15:A17)+$B$3))),IF($D$15="",INDEX(orderHistory[order_no],SMALL(IF(ISNUMBER(MATCH(orderHistory[customer],$D$9,0)*MATCH(orderHistory[status],$D$11,0)*MATCH(orderHistory[order_type],$D$13,0)),MATCH(ROW(orderHistory[customer]),ROW(orderHistory[customer])),""),ROWS($A$15:A17)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N12" s="454" t="str">
        <f t="array" ref="N12">IFERROR(IF($D$9="",IF($D$11="",IF($D$13="",IF($D$15="",INDEX(orderHistory[order_type],SMALL(MATCH(ROW(orderHistory[customer]),ROW(orderHistory[customer])),ROWS($A$15:A17)+$B$3)),INDEX(orderHistory[order_type],SMALL(IF(ISNUMBER(MATCH(YEAR(orderHistory[invoice_date]),$D$15,0)),MATCH(ROW(orderHistory[customer]),ROW(orderHistory[customer])),""),ROWS($A$15:A17)+$B$3))),IF($D$15="",INDEX(orderHistory[order_type],SMALL(IF(ISNUMBER(MATCH(orderHistory[order_type],$D$13,0)),MATCH(ROW(orderHistory[customer]),ROW(orderHistory[customer])),""),ROWS($A$15:A17)+$B$3)),INDEX(orderHistory[order_type],SMALL(IF(ISNUMBER(MATCH(orderHistory[order_type],$D$13,0)*MATCH(YEAR(orderHistory[invoice_date]),$D$15,0)),MATCH(ROW(orderHistory[customer]),ROW(orderHistory[customer])),""),ROWS($A$15:A17)+$B$3)))),IF($D$13="",IF($D$15="",INDEX(orderHistory[order_type],SMALL(IF(ISNUMBER(MATCH(orderHistory[status],$D$11,0)),MATCH(ROW(orderHistory[customer]),ROW(orderHistory[customer])),""),ROWS($A$15:A17)+$B$3)),INDEX(orderHistory[order_type],SMALL(IF(ISNUMBER(MATCH(orderHistory[status],$D$11,0)*MATCH(YEAR(orderHistory[invoice_date]),$D$15,0)),MATCH(ROW(orderHistory[customer]),ROW(orderHistory[customer])),""),ROWS($A$15:A17)+$B$3))),IF($D$15="",INDEX(orderHistory[order_type],SMALL(IF(ISNUMBER(MATCH(orderHistory[status],$D$11,0)*MATCH(orderHistory[order_type],$D$13,0)),MATCH(ROW(orderHistory[customer]),ROW(orderHistory[customer])),""),ROWS($A$15:A17)+$B$3)),INDEX(orderHistory[order_typ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type],SMALL(IF(ISNUMBER(MATCH(orderHistory[customer],$D$9,0)),MATCH(ROW(orderHistory[customer]),ROW(orderHistory[customer])),""),ROWS($A$15:A17)+$B$3)),INDEX(orderHistory[order_type],SMALL(IF(ISNUMBER(MATCH(orderHistory[customer],$D$9,0)*MATCH(YEAR(orderHistory[invoice_date]),$D$15,0)),MATCH(ROW(orderHistory[customer]),ROW(orderHistory[customer])),""),ROWS($A$15:A17)+$B$3))),IF($D$15="",INDEX(orderHistory[order_type],SMALL(IF(ISNUMBER(MATCH(orderHistory[customer],$D$9,0)*MATCH(orderHistory[order_type],$D$13,0)),MATCH(ROW(orderHistory[customer]),ROW(orderHistory[customer])),""),ROWS($A$15:A17)+$B$3)),INDEX(orderHistory[order_typ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YEAR(orderHistory[invoice_date]),$D$15,0)),MATCH(ROW(orderHistory[customer]),ROW(orderHistory[customer])),""),ROWS($A$15:A17)+$B$3))),IF($D$15="",INDEX(orderHistory[order_type],SMALL(IF(ISNUMBER(MATCH(orderHistory[customer],$D$9,0)*MATCH(orderHistory[status],$D$11,0)*MATCH(orderHistory[order_type],$D$13,0)),MATCH(ROW(orderHistory[customer]),ROW(orderHistory[customer])),""),ROWS($A$15:A17)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O12" s="455" t="str">
        <f t="array" ref="O12">IFERROR(IF($D$9="",IF($D$11="",IF($D$13="",IF($D$15="",INDEX(orderHistory[order_date],SMALL(MATCH(ROW(orderHistory[customer]),ROW(orderHistory[customer])),ROWS($A$15:A17)+$B$3)),INDEX(orderHistory[order_date],SMALL(IF(ISNUMBER(MATCH(YEAR(orderHistory[invoice_date]),$D$15,0)),MATCH(ROW(orderHistory[customer]),ROW(orderHistory[customer])),""),ROWS($A$15:A17)+$B$3))),IF($D$15="",INDEX(orderHistory[order_date],SMALL(IF(ISNUMBER(MATCH(orderHistory[order_type],$D$13,0)),MATCH(ROW(orderHistory[customer]),ROW(orderHistory[customer])),""),ROWS($A$15:A17)+$B$3)),INDEX(orderHistory[order_date],SMALL(IF(ISNUMBER(MATCH(orderHistory[order_type],$D$13,0)*MATCH(YEAR(orderHistory[invoice_date]),$D$15,0)),MATCH(ROW(orderHistory[customer]),ROW(orderHistory[customer])),""),ROWS($A$15:A17)+$B$3)))),IF($D$13="",IF($D$15="",INDEX(orderHistory[order_date],SMALL(IF(ISNUMBER(MATCH(orderHistory[status],$D$11,0)),MATCH(ROW(orderHistory[customer]),ROW(orderHistory[customer])),""),ROWS($A$15:A17)+$B$3)),INDEX(orderHistory[order_date],SMALL(IF(ISNUMBER(MATCH(orderHistory[status],$D$11,0)*MATCH(YEAR(orderHistory[invoice_date]),$D$15,0)),MATCH(ROW(orderHistory[customer]),ROW(orderHistory[customer])),""),ROWS($A$15:A17)+$B$3))),IF($D$15="",INDEX(orderHistory[order_date],SMALL(IF(ISNUMBER(MATCH(orderHistory[status],$D$11,0)*MATCH(orderHistory[order_type],$D$13,0)),MATCH(ROW(orderHistory[customer]),ROW(orderHistory[customer])),""),ROWS($A$15:A17)+$B$3)),INDEX(orderHistory[order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date],SMALL(IF(ISNUMBER(MATCH(orderHistory[customer],$D$9,0)),MATCH(ROW(orderHistory[customer]),ROW(orderHistory[customer])),""),ROWS($A$15:A17)+$B$3)),INDEX(orderHistory[order_date],SMALL(IF(ISNUMBER(MATCH(orderHistory[customer],$D$9,0)*MATCH(YEAR(orderHistory[invoice_date]),$D$15,0)),MATCH(ROW(orderHistory[customer]),ROW(orderHistory[customer])),""),ROWS($A$15:A17)+$B$3))),IF($D$15="",INDEX(orderHistory[order_date],SMALL(IF(ISNUMBER(MATCH(orderHistory[customer],$D$9,0)*MATCH(orderHistory[order_type],$D$13,0)),MATCH(ROW(orderHistory[customer]),ROW(orderHistory[customer])),""),ROWS($A$15:A17)+$B$3)),INDEX(orderHistory[order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YEAR(orderHistory[invoice_date]),$D$15,0)),MATCH(ROW(orderHistory[customer]),ROW(orderHistory[customer])),""),ROWS($A$15:A17)+$B$3))),IF($D$15="",INDEX(orderHistory[order_date],SMALL(IF(ISNUMBER(MATCH(orderHistory[customer],$D$9,0)*MATCH(orderHistory[status],$D$11,0)*MATCH(orderHistory[order_type],$D$13,0)),MATCH(ROW(orderHistory[customer]),ROW(orderHistory[customer])),""),ROWS($A$15:A17)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P12" s="456" t="str">
        <f t="array" ref="P12">IFERROR(IF($D$9="",IF($D$11="",IF($D$13="",IF($D$15="",INDEX(orderHistory[invoice_no],SMALL(MATCH(ROW(orderHistory[customer]),ROW(orderHistory[customer])),ROWS($A$15:A17)+$B$3)),INDEX(orderHistory[invoice_no],SMALL(IF(ISNUMBER(MATCH(YEAR(orderHistory[invoice_date]),$D$15,0)),MATCH(ROW(orderHistory[customer]),ROW(orderHistory[customer])),""),ROWS($A$15:A17)+$B$3))),IF($D$15="",INDEX(orderHistory[invoice_no],SMALL(IF(ISNUMBER(MATCH(orderHistory[order_type],$D$13,0)),MATCH(ROW(orderHistory[customer]),ROW(orderHistory[customer])),""),ROWS($A$15:A17)+$B$3)),INDEX(orderHistory[invoice_no],SMALL(IF(ISNUMBER(MATCH(orderHistory[order_type],$D$13,0)*MATCH(YEAR(orderHistory[invoice_date]),$D$15,0)),MATCH(ROW(orderHistory[customer]),ROW(orderHistory[customer])),""),ROWS($A$15:A17)+$B$3)))),IF($D$13="",IF($D$15="",INDEX(orderHistory[invoice_no],SMALL(IF(ISNUMBER(MATCH(orderHistory[status],$D$11,0)),MATCH(ROW(orderHistory[customer]),ROW(orderHistory[customer])),""),ROWS($A$15:A17)+$B$3)),INDEX(orderHistory[invoice_no],SMALL(IF(ISNUMBER(MATCH(orderHistory[status],$D$11,0)*MATCH(YEAR(orderHistory[invoice_date]),$D$15,0)),MATCH(ROW(orderHistory[customer]),ROW(orderHistory[customer])),""),ROWS($A$15:A17)+$B$3))),IF($D$15="",INDEX(orderHistory[invoice_no],SMALL(IF(ISNUMBER(MATCH(orderHistory[status],$D$11,0)*MATCH(orderHistory[order_type],$D$13,0)),MATCH(ROW(orderHistory[customer]),ROW(orderHistory[customer])),""),ROWS($A$15:A17)+$B$3)),INDEX(orderHistory[invoice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no],SMALL(IF(ISNUMBER(MATCH(orderHistory[customer],$D$9,0)),MATCH(ROW(orderHistory[customer]),ROW(orderHistory[customer])),""),ROWS($A$15:A17)+$B$3)),INDEX(orderHistory[invoice_no],SMALL(IF(ISNUMBER(MATCH(orderHistory[customer],$D$9,0)*MATCH(YEAR(orderHistory[invoice_date]),$D$15,0)),MATCH(ROW(orderHistory[customer]),ROW(orderHistory[customer])),""),ROWS($A$15:A17)+$B$3))),IF($D$15="",INDEX(orderHistory[invoice_no],SMALL(IF(ISNUMBER(MATCH(orderHistory[customer],$D$9,0)*MATCH(orderHistory[order_type],$D$13,0)),MATCH(ROW(orderHistory[customer]),ROW(orderHistory[customer])),""),ROWS($A$15:A17)+$B$3)),INDEX(orderHistory[invoice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YEAR(orderHistory[invoice_date]),$D$15,0)),MATCH(ROW(orderHistory[customer]),ROW(orderHistory[customer])),""),ROWS($A$15:A17)+$B$3))),IF($D$15="",INDEX(orderHistory[invoice_no],SMALL(IF(ISNUMBER(MATCH(orderHistory[customer],$D$9,0)*MATCH(orderHistory[status],$D$11,0)*MATCH(orderHistory[order_type],$D$13,0)),MATCH(ROW(orderHistory[customer]),ROW(orderHistory[customer])),""),ROWS($A$15:A17)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Q12" s="457" t="str">
        <f t="array" ref="Q12">IFERROR(IF($D$9="",IF($D$11="",IF($D$13="",IF($D$15="",INDEX(orderHistory[invoice_date],SMALL(MATCH(ROW(orderHistory[customer]),ROW(orderHistory[customer])),ROWS($A$15:A17)+$B$3)),INDEX(orderHistory[invoice_date],SMALL(IF(ISNUMBER(MATCH(YEAR(orderHistory[invoice_date]),$D$15,0)),MATCH(ROW(orderHistory[customer]),ROW(orderHistory[customer])),""),ROWS($A$15:A17)+$B$3))),IF($D$15="",INDEX(orderHistory[invoice_date],SMALL(IF(ISNUMBER(MATCH(orderHistory[order_type],$D$13,0)),MATCH(ROW(orderHistory[customer]),ROW(orderHistory[customer])),""),ROWS($A$15:A17)+$B$3)),INDEX(orderHistory[invoice_date],SMALL(IF(ISNUMBER(MATCH(orderHistory[order_type],$D$13,0)*MATCH(YEAR(orderHistory[invoice_date]),$D$15,0)),MATCH(ROW(orderHistory[customer]),ROW(orderHistory[customer])),""),ROWS($A$15:A17)+$B$3)))),IF($D$13="",IF($D$15="",INDEX(orderHistory[invoice_date],SMALL(IF(ISNUMBER(MATCH(orderHistory[status],$D$11,0)),MATCH(ROW(orderHistory[customer]),ROW(orderHistory[customer])),""),ROWS($A$15:A17)+$B$3)),INDEX(orderHistory[invoice_date],SMALL(IF(ISNUMBER(MATCH(orderHistory[status],$D$11,0)*MATCH(YEAR(orderHistory[invoice_date]),$D$15,0)),MATCH(ROW(orderHistory[customer]),ROW(orderHistory[customer])),""),ROWS($A$15:A17)+$B$3))),IF($D$15="",INDEX(orderHistory[invoice_date],SMALL(IF(ISNUMBER(MATCH(orderHistory[status],$D$11,0)*MATCH(orderHistory[order_type],$D$13,0)),MATCH(ROW(orderHistory[customer]),ROW(orderHistory[customer])),""),ROWS($A$15:A17)+$B$3)),INDEX(orderHistory[invoice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date],SMALL(IF(ISNUMBER(MATCH(orderHistory[customer],$D$9,0)),MATCH(ROW(orderHistory[customer]),ROW(orderHistory[customer])),""),ROWS($A$15:A17)+$B$3)),INDEX(orderHistory[invoice_date],SMALL(IF(ISNUMBER(MATCH(orderHistory[customer],$D$9,0)*MATCH(YEAR(orderHistory[invoice_date]),$D$15,0)),MATCH(ROW(orderHistory[customer]),ROW(orderHistory[customer])),""),ROWS($A$15:A17)+$B$3))),IF($D$15="",INDEX(orderHistory[invoice_date],SMALL(IF(ISNUMBER(MATCH(orderHistory[customer],$D$9,0)*MATCH(orderHistory[order_type],$D$13,0)),MATCH(ROW(orderHistory[customer]),ROW(orderHistory[customer])),""),ROWS($A$15:A17)+$B$3)),INDEX(orderHistory[invoice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YEAR(orderHistory[invoice_date]),$D$15,0)),MATCH(ROW(orderHistory[customer]),ROW(orderHistory[customer])),""),ROWS($A$15:A17)+$B$3))),IF($D$15="",INDEX(orderHistory[invoice_date],SMALL(IF(ISNUMBER(MATCH(orderHistory[customer],$D$9,0)*MATCH(orderHistory[status],$D$11,0)*MATCH(orderHistory[order_type],$D$13,0)),MATCH(ROW(orderHistory[customer]),ROW(orderHistory[customer])),""),ROWS($A$15:A17)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R12" s="458" t="str">
        <f t="array" ref="R12">IFERROR(IF($D$9="",IF($D$11="",IF($D$13="",IF($D$15="",INDEX(orderHistory[inv_amount],SMALL(MATCH(ROW(orderHistory[customer]),ROW(orderHistory[customer])),ROWS($A$15:A17)+$B$3)),INDEX(orderHistory[inv_amount],SMALL(IF(ISNUMBER(MATCH(YEAR(orderHistory[invoice_date]),$D$15,0)),MATCH(ROW(orderHistory[customer]),ROW(orderHistory[customer])),""),ROWS($A$15:A17)+$B$3))),IF($D$15="",INDEX(orderHistory[inv_amount],SMALL(IF(ISNUMBER(MATCH(orderHistory[order_type],$D$13,0)),MATCH(ROW(orderHistory[customer]),ROW(orderHistory[customer])),""),ROWS($A$15:A17)+$B$3)),INDEX(orderHistory[inv_amount],SMALL(IF(ISNUMBER(MATCH(orderHistory[order_type],$D$13,0)*MATCH(YEAR(orderHistory[invoice_date]),$D$15,0)),MATCH(ROW(orderHistory[customer]),ROW(orderHistory[customer])),""),ROWS($A$15:A17)+$B$3)))),IF($D$13="",IF($D$15="",INDEX(orderHistory[inv_amount],SMALL(IF(ISNUMBER(MATCH(orderHistory[status],$D$11,0)),MATCH(ROW(orderHistory[customer]),ROW(orderHistory[customer])),""),ROWS($A$15:A17)+$B$3)),INDEX(orderHistory[inv_amount],SMALL(IF(ISNUMBER(MATCH(orderHistory[status],$D$11,0)*MATCH(YEAR(orderHistory[invoice_date]),$D$15,0)),MATCH(ROW(orderHistory[customer]),ROW(orderHistory[customer])),""),ROWS($A$15:A17)+$B$3))),IF($D$15="",INDEX(orderHistory[inv_amount],SMALL(IF(ISNUMBER(MATCH(orderHistory[status],$D$11,0)*MATCH(orderHistory[order_type],$D$13,0)),MATCH(ROW(orderHistory[customer]),ROW(orderHistory[customer])),""),ROWS($A$15:A17)+$B$3)),INDEX(orderHistory[inv_amount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_amount],SMALL(IF(ISNUMBER(MATCH(orderHistory[customer],$D$9,0)),MATCH(ROW(orderHistory[customer]),ROW(orderHistory[customer])),""),ROWS($A$15:A17)+$B$3)),INDEX(orderHistory[inv_amount],SMALL(IF(ISNUMBER(MATCH(orderHistory[customer],$D$9,0)*MATCH(YEAR(orderHistory[invoice_date]),$D$15,0)),MATCH(ROW(orderHistory[customer]),ROW(orderHistory[customer])),""),ROWS($A$15:A17)+$B$3))),IF($D$15="",INDEX(orderHistory[inv_amount],SMALL(IF(ISNUMBER(MATCH(orderHistory[customer],$D$9,0)*MATCH(orderHistory[order_type],$D$13,0)),MATCH(ROW(orderHistory[customer]),ROW(orderHistory[customer])),""),ROWS($A$15:A17)+$B$3)),INDEX(orderHistory[inv_amount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YEAR(orderHistory[inv_amount]),$D$15,0)),MATCH(ROW(orderHistory[customer]),ROW(orderHistory[customer])),""),ROWS($A$15:A17)+$B$3))),IF($D$15="",INDEX(orderHistory[inv_amount],SMALL(IF(ISNUMBER(MATCH(orderHistory[customer],$D$9,0)*MATCH(orderHistory[status],$D$11,0)*MATCH(orderHistory[order_type],$D$13,0)),MATCH(ROW(orderHistory[customer]),ROW(orderHistory[customer])),""),ROWS($A$15:A17)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S12" s="569" t="str">
        <f t="array" ref="S12">IFERROR(IF($D$9="",IF($D$11="",IF($D$13="",IF($D$15="",INDEX(orderHistory[lock_goods],SMALL(MATCH(ROW(orderHistory[customer]),ROW(orderHistory[customer])),ROWS($A$15:A17)+$B$3)),INDEX(orderHistory[lock_goods],SMALL(IF(ISNUMBER(MATCH(YEAR(orderHistory[invoice_date]),$D$15,0)),MATCH(ROW(orderHistory[customer]),ROW(orderHistory[customer])),""),ROWS($A$15:A17)+$B$3))),IF($D$15="",INDEX(orderHistory[lock_goods],SMALL(IF(ISNUMBER(MATCH(orderHistory[order_type],$D$13,0)),MATCH(ROW(orderHistory[customer]),ROW(orderHistory[customer])),""),ROWS($A$15:A17)+$B$3)),INDEX(orderHistory[lock_goods],SMALL(IF(ISNUMBER(MATCH(orderHistory[order_type],$D$13,0)*MATCH(YEAR(orderHistory[invoice_date]),$D$15,0)),MATCH(ROW(orderHistory[customer]),ROW(orderHistory[customer])),""),ROWS($A$15:A17)+$B$3)))),IF($D$13="",IF($D$15="",INDEX(orderHistory[lock_goods],SMALL(IF(ISNUMBER(MATCH(orderHistory[status],$D$11,0)),MATCH(ROW(orderHistory[customer]),ROW(orderHistory[customer])),""),ROWS($A$15:A17)+$B$3)),INDEX(orderHistory[lock_goods],SMALL(IF(ISNUMBER(MATCH(orderHistory[status],$D$11,0)*MATCH(YEAR(orderHistory[invoice_date]),$D$15,0)),MATCH(ROW(orderHistory[customer]),ROW(orderHistory[customer])),""),ROWS($A$15:A17)+$B$3))),IF($D$15="",INDEX(orderHistory[lock_goods],SMALL(IF(ISNUMBER(MATCH(orderHistory[status],$D$11,0)*MATCH(orderHistory[order_type],$D$13,0)),MATCH(ROW(orderHistory[customer]),ROW(orderHistory[customer])),""),ROWS($A$15:A17)+$B$3)),INDEX(orderHistory[lock_good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lock_goods],SMALL(IF(ISNUMBER(MATCH(orderHistory[customer],$D$9,0)),MATCH(ROW(orderHistory[customer]),ROW(orderHistory[customer])),""),ROWS($A$15:A17)+$B$3)),INDEX(orderHistory[lock_goods],SMALL(IF(ISNUMBER(MATCH(orderHistory[customer],$D$9,0)*MATCH(YEAR(orderHistory[invoice_date]),$D$15,0)),MATCH(ROW(orderHistory[customer]),ROW(orderHistory[customer])),""),ROWS($A$15:A17)+$B$3))),IF($D$15="",INDEX(orderHistory[lock_goods],SMALL(IF(ISNUMBER(MATCH(orderHistory[customer],$D$9,0)*MATCH(orderHistory[order_type],$D$13,0)),MATCH(ROW(orderHistory[customer]),ROW(orderHistory[customer])),""),ROWS($A$15:A17)+$B$3)),INDEX(orderHistory[lock_good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lock_goods],SMALL(IF(ISNUMBER(MATCH(orderHistory[customer],$D$9,0)*MATCH(orderHistory[status],$D$11,0)),MATCH(ROW(orderHistory[customer]),ROW(orderHistory[customer])),""),ROWS($A$15:A17)+$B$3)),INDEX(orderHistory[lock_goods],SMALL(IF(ISNUMBER(MATCH(orderHistory[customer],$D$9,0)*MATCH(orderHistory[status],$D$11,0)*MATCH(YEAR(orderHistory[payed]),$D$15,0)),MATCH(ROW(orderHistory[customer]),ROW(orderHistory[customer])),""),ROWS($A$15:A17)+$B$3))),IF($D$15="",INDEX(orderHistory[lock_goods],SMALL(IF(ISNUMBER(MATCH(orderHistory[customer],$D$9,0)*MATCH(orderHistory[status],$D$11,0)*MATCH(orderHistory[order_type],$D$13,0)),MATCH(ROW(orderHistory[customer]),ROW(orderHistory[customer])),""),ROWS($A$15:A17)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T12" s="459" t="str">
        <f t="array" ref="T12">IFERROR(IF($D$9="",IF($D$11="",IF($D$13="",IF($D$15="",INDEX(orderHistory[payed],SMALL(MATCH(ROW(orderHistory[customer]),ROW(orderHistory[customer])),ROWS($A$15:A17)+$B$3)),INDEX(orderHistory[payed],SMALL(IF(ISNUMBER(MATCH(YEAR(orderHistory[invoice_date]),$D$15,0)),MATCH(ROW(orderHistory[customer]),ROW(orderHistory[customer])),""),ROWS($A$15:A17)+$B$3))),IF($D$15="",INDEX(orderHistory[payed],SMALL(IF(ISNUMBER(MATCH(orderHistory[order_type],$D$13,0)),MATCH(ROW(orderHistory[customer]),ROW(orderHistory[customer])),""),ROWS($A$15:A17)+$B$3)),INDEX(orderHistory[payed],SMALL(IF(ISNUMBER(MATCH(orderHistory[order_type],$D$13,0)*MATCH(YEAR(orderHistory[invoice_date]),$D$15,0)),MATCH(ROW(orderHistory[customer]),ROW(orderHistory[customer])),""),ROWS($A$15:A17)+$B$3)))),IF($D$13="",IF($D$15="",INDEX(orderHistory[payed],SMALL(IF(ISNUMBER(MATCH(orderHistory[status],$D$11,0)),MATCH(ROW(orderHistory[customer]),ROW(orderHistory[customer])),""),ROWS($A$15:A17)+$B$3)),INDEX(orderHistory[payed],SMALL(IF(ISNUMBER(MATCH(orderHistory[status],$D$11,0)*MATCH(YEAR(orderHistory[invoice_date]),$D$15,0)),MATCH(ROW(orderHistory[customer]),ROW(orderHistory[customer])),""),ROWS($A$15:A17)+$B$3))),IF($D$15="",INDEX(orderHistory[payed],SMALL(IF(ISNUMBER(MATCH(orderHistory[status],$D$11,0)*MATCH(orderHistory[order_type],$D$13,0)),MATCH(ROW(orderHistory[customer]),ROW(orderHistory[customer])),""),ROWS($A$15:A17)+$B$3)),INDEX(orderHistory[paye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payed],SMALL(IF(ISNUMBER(MATCH(orderHistory[customer],$D$9,0)),MATCH(ROW(orderHistory[customer]),ROW(orderHistory[customer])),""),ROWS($A$15:A17)+$B$3)),INDEX(orderHistory[payed],SMALL(IF(ISNUMBER(MATCH(orderHistory[customer],$D$9,0)*MATCH(YEAR(orderHistory[invoice_date]),$D$15,0)),MATCH(ROW(orderHistory[customer]),ROW(orderHistory[customer])),""),ROWS($A$15:A17)+$B$3))),IF($D$15="",INDEX(orderHistory[payed],SMALL(IF(ISNUMBER(MATCH(orderHistory[customer],$D$9,0)*MATCH(orderHistory[order_type],$D$13,0)),MATCH(ROW(orderHistory[customer]),ROW(orderHistory[customer])),""),ROWS($A$15:A17)+$B$3)),INDEX(orderHistory[paye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YEAR(orderHistory[payed]),$D$15,0)),MATCH(ROW(orderHistory[customer]),ROW(orderHistory[customer])),""),ROWS($A$15:A17)+$B$3))),IF($D$15="",INDEX(orderHistory[payed],SMALL(IF(ISNUMBER(MATCH(orderHistory[customer],$D$9,0)*MATCH(orderHistory[status],$D$11,0)*MATCH(orderHistory[order_type],$D$13,0)),MATCH(ROW(orderHistory[customer]),ROW(orderHistory[customer])),""),ROWS($A$15:A17)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U12" s="454" t="str">
        <f t="array" ref="U12">IFERROR(IF($D$9="",IF($D$11="",IF($D$13="",IF($D$15="",INDEX(orderHistory[shipping_method],SMALL(MATCH(ROW(orderHistory[customer]),ROW(orderHistory[customer])),ROWS($A$15:A17)+$B$3)),INDEX(orderHistory[shipping_method],SMALL(IF(ISNUMBER(MATCH(YEAR(orderHistory[invoice_date]),$D$15,0)),MATCH(ROW(orderHistory[customer]),ROW(orderHistory[customer])),""),ROWS($A$15:A17)+$B$3))),IF($D$15="",INDEX(orderHistory[shipping_method],SMALL(IF(ISNUMBER(MATCH(orderHistory[order_type],$D$13,0)),MATCH(ROW(orderHistory[customer]),ROW(orderHistory[customer])),""),ROWS($A$15:A17)+$B$3)),INDEX(orderHistory[shipping_method],SMALL(IF(ISNUMBER(MATCH(orderHistory[order_type],$D$13,0)*MATCH(YEAR(orderHistory[invoice_date]),$D$15,0)),MATCH(ROW(orderHistory[customer]),ROW(orderHistory[customer])),""),ROWS($A$15:A17)+$B$3)))),IF($D$13="",IF($D$15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YEAR(orderHistory[invoice_date]),$D$15,0)),MATCH(ROW(orderHistory[customer]),ROW(orderHistory[customer])),""),ROWS($A$15:A17)+$B$3))),IF($D$15="",INDEX(orderHistory[shipping_method],SMALL(IF(ISNUMBER(MATCH(orderHistory[status],$D$11,0)*MATCH(orderHistory[order_type],$D$13,0)),MATCH(ROW(orderHistory[customer]),ROW(orderHistory[customer])),""),ROWS($A$15:A17)+$B$3)),INDEX(orderHistory[shipping_metho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YEAR(orderHistory[invoice_date]),$D$15,0)),MATCH(ROW(orderHistory[customer]),ROW(orderHistory[customer])),""),ROWS($A$15:A17)+$B$3))),IF($D$15="",INDEX(orderHistory[shipping_method],SMALL(IF(ISNUMBER(MATCH(orderHistory[customer],$D$9,0)*MATCH(orderHistory[order_type],$D$13,0)),MATCH(ROW(orderHistory[customer]),ROW(orderHistory[customer])),""),ROWS($A$15:A17)+$B$3)),INDEX(orderHistory[shipping_metho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YEAR(orderHistory[shipping_method]),$D$15,0)),MATCH(ROW(orderHistory[customer]),ROW(orderHistory[customer])),""),ROWS($A$15:A17)+$B$3))),IF($D$15="",INDEX(orderHistory[shipping_method],SMALL(IF(ISNUMBER(MATCH(orderHistory[customer],$D$9,0)*MATCH(orderHistory[status],$D$11,0)*MATCH(orderHistory[order_type],$D$13,0)),MATCH(ROW(orderHistory[customer]),ROW(orderHistory[customer])),""),ROWS($A$15:A17)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V12" s="460" t="str">
        <f t="array" ref="V12">IFERROR(IF($D$9="",IF($D$11="",IF($D$13="",IF($D$15="",INDEX(orderHistory[status],SMALL(MATCH(ROW(orderHistory[customer]),ROW(orderHistory[customer])),ROWS($A$15:A17)+$B$3)),INDEX(orderHistory[status],SMALL(IF(ISNUMBER(MATCH(YEAR(orderHistory[invoice_date]),$D$15,0)),MATCH(ROW(orderHistory[customer]),ROW(orderHistory[customer])),""),ROWS($A$15:A17)+$B$3))),IF($D$15="",INDEX(orderHistory[status],SMALL(IF(ISNUMBER(MATCH(orderHistory[order_type],$D$13,0)),MATCH(ROW(orderHistory[customer]),ROW(orderHistory[customer])),""),ROWS($A$15:A17)+$B$3)),INDEX(orderHistory[status],SMALL(IF(ISNUMBER(MATCH(orderHistory[order_type],$D$13,0)*MATCH(YEAR(orderHistory[invoice_date]),$D$15,0)),MATCH(ROW(orderHistory[customer]),ROW(orderHistory[customer])),""),ROWS($A$15:A17)+$B$3)))),IF($D$13="",IF($D$15="",INDEX(orderHistory[status],SMALL(IF(ISNUMBER(MATCH(orderHistory[status],$D$11,0)),MATCH(ROW(orderHistory[customer]),ROW(orderHistory[customer])),""),ROWS($A$15:A17)+$B$3)),INDEX(orderHistory[status],SMALL(IF(ISNUMBER(MATCH(orderHistory[status],$D$11,0)*MATCH(YEAR(orderHistory[invoice_date]),$D$15,0)),MATCH(ROW(orderHistory[customer]),ROW(orderHistory[customer])),""),ROWS($A$15:A17)+$B$3))),IF($D$15="",INDEX(orderHistory[status],SMALL(IF(ISNUMBER(MATCH(orderHistory[status],$D$11,0)*MATCH(orderHistory[order_type],$D$13,0)),MATCH(ROW(orderHistory[customer]),ROW(orderHistory[customer])),""),ROWS($A$15:A17)+$B$3)),INDEX(orderHistory[statu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tatus],SMALL(IF(ISNUMBER(MATCH(orderHistory[customer],$D$9,0)),MATCH(ROW(orderHistory[customer]),ROW(orderHistory[customer])),""),ROWS($A$15:A17)+$B$3)),INDEX(orderHistory[status],SMALL(IF(ISNUMBER(MATCH(orderHistory[customer],$D$9,0)*MATCH(YEAR(orderHistory[invoice_date]),$D$15,0)),MATCH(ROW(orderHistory[customer]),ROW(orderHistory[customer])),""),ROWS($A$15:A17)+$B$3))),IF($D$15="",INDEX(orderHistory[status],SMALL(IF(ISNUMBER(MATCH(orderHistory[customer],$D$9,0)*MATCH(orderHistory[order_type],$D$13,0)),MATCH(ROW(orderHistory[customer]),ROW(orderHistory[customer])),""),ROWS($A$15:A17)+$B$3)),INDEX(orderHistory[statu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YEAR(orderHistory[status]),$D$15,0)),MATCH(ROW(orderHistory[customer]),ROW(orderHistory[customer])),""),ROWS($A$15:A17)+$B$3))),IF($D$15="",INDEX(orderHistory[status],SMALL(IF(ISNUMBER(MATCH(orderHistory[customer],$D$9,0)*MATCH(orderHistory[status],$D$11,0)*MATCH(orderHistory[order_type],$D$13,0)),MATCH(ROW(orderHistory[customer]),ROW(orderHistory[customer])),""),ROWS($A$15:A17)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W12" s="75"/>
      <c r="AO12" s="331"/>
      <c r="AQ12" s="376"/>
      <c r="AR12" s="361"/>
      <c r="AS12" s="361"/>
      <c r="AT12" s="361"/>
      <c r="AU12" s="339"/>
      <c r="AW12" s="376"/>
      <c r="AX12" s="392"/>
      <c r="AZ12" s="348"/>
      <c r="BD12" s="376"/>
      <c r="BE12" s="376"/>
      <c r="BF12" s="382"/>
      <c r="BG12" s="382"/>
      <c r="BJ12" s="339"/>
      <c r="BK12" s="391"/>
      <c r="BL12" s="367"/>
      <c r="BM12" s="368"/>
      <c r="BN12" s="367"/>
      <c r="BO12" s="368"/>
      <c r="BX12" s="331" t="s">
        <v>590</v>
      </c>
      <c r="BZ12" s="520" t="s">
        <v>119</v>
      </c>
      <c r="CA12" s="477" t="str">
        <f>IF(BZ12="","",INDEX(bhpc_data[description],MATCH(BZ12,bhpc_data[sku],0)))</f>
        <v>BHPC PRESTIGE TOUR INTENSE 100ML EDP MEN</v>
      </c>
      <c r="CB12" s="480">
        <v>720</v>
      </c>
      <c r="CC12" s="523">
        <v>14.53</v>
      </c>
      <c r="CD12" s="491"/>
      <c r="CE12" s="481"/>
      <c r="CF12" s="482">
        <v>100</v>
      </c>
      <c r="CG12" s="483">
        <f>IFERROR(ROUNDUP(CB12/INDEX(bhpc_data[units_per_carton],MATCH(BZ12,bhpc_data[sku],0)),0),"")</f>
        <v>30</v>
      </c>
      <c r="CH12" s="484">
        <f>IFERROR(ROUNDUP(CD12/INDEX(bhpc_data[units_per_carton],MATCH(BZ12,bhpc_data[sku],0)),0),"")</f>
        <v>0</v>
      </c>
      <c r="CI12" s="484">
        <f>IFERROR(ROUNDUP(CF12/INDEX(bhpc_data[units_per_carton],MATCH(BZ12,bhpc_data[sku])),0),"")</f>
        <v>5</v>
      </c>
      <c r="CJ12" s="484">
        <f>IFERROR(((CB12+CD12+CF12)/INDEX(bhpc_data[units_per_carton],MATCH(BZ12,bhpc_data[sku],0)))*INDEX(bhpc_data[net_weight],MATCH(BZ12,bhpc_data[sku],0)),"")</f>
        <v>323.89999999999998</v>
      </c>
      <c r="CK12" s="484">
        <f>IFERROR(((CB12+CD12+CF12)/INDEX(bhpc_data[units_per_carton],MATCH(BZ12,bhpc_data[sku],0)))*INDEX(bhpc_data[gross_weight],MATCH(BZ12,bhpc_data[sku],0)),"")</f>
        <v>338.25</v>
      </c>
      <c r="CL12" s="485">
        <f>IFERROR((CB12+CD12+CF12)/INDEX(bhpc_data[units_per_carton],MATCH(BZ12,bhpc_data[sku],0))*INDEX(bhpc_data[lenght],MATCH(BZ12,bhpc_data[sku],0))*INDEX(bhpc_data[width],MATCH(BZ12,bhpc_data[sku],0))*INDEX(bhpc_data[height],MATCH(BZ12,bhpc_data[sku],0))/1000000000,"")</f>
        <v>0.59099791666666668</v>
      </c>
      <c r="CM12" s="486" t="str">
        <f>IFERROR(INDEX(bhpc_data[category],MATCH(BZ12,bhpc_data[sku],0)),"")</f>
        <v>PRESTIGE</v>
      </c>
      <c r="CN12" s="486">
        <f>IFERROR(INDEX(bhpc_data[size1],MATCH(BZ12,bhpc_data[sku],0)),"")</f>
        <v>100</v>
      </c>
      <c r="CO12" s="487" t="str">
        <f>IFERROR(INDEX(bhpc_data[hs_code],MATCH(BZ12,bhpc_data[sku],0)),"")</f>
        <v>33030010</v>
      </c>
      <c r="CP12" s="482">
        <v>11.68</v>
      </c>
      <c r="CQ12" s="488" t="str">
        <f>IFERROR(IF(BZ12="","",IF($BX$15="SALE",INDEX(inventory[COSTO UNITARIO],MATCH(BZ12,inventory[ARTICOLO],0)),IF($BX$15="SAMPLING",INDEX(inventory[COSTO UNITARIO],MATCH(BZ12,inventory[ARTICOLO],0)),""))),"")</f>
        <v/>
      </c>
      <c r="CR12" s="488" t="str">
        <f t="shared" si="0"/>
        <v/>
      </c>
      <c r="CS12" s="489">
        <f t="shared" si="1"/>
        <v>10461.6</v>
      </c>
      <c r="CT12" s="573" t="e">
        <f t="shared" si="2"/>
        <v>#N/A</v>
      </c>
      <c r="CV12" s="85"/>
      <c r="CW12" s="89" t="s">
        <v>936</v>
      </c>
      <c r="CX12" s="230">
        <f>COUNTA($CD$10:$CD$110)</f>
        <v>0</v>
      </c>
      <c r="CY12" s="301" t="s">
        <v>1188</v>
      </c>
      <c r="CZ12" s="234">
        <f>SUM(CR10:CR110)</f>
        <v>0</v>
      </c>
      <c r="DA12" s="82"/>
      <c r="DH12" s="245"/>
      <c r="EC12" s="331" t="s">
        <v>897</v>
      </c>
      <c r="EE12" s="547" t="str" cm="1">
        <f t="array" ref="EE12">IFERROR(IF($EC$9="",IF($EC$11="",IF($EC$13="",INDEX(bhpc_data[sku],SMALL(MATCH(ROW(bhpc_data[sku]),ROW(bhpc_data[sku])),ROWS($A$15:A17)+$B$3)),INDEX(bhpc_data[sku],SMALL(IF(ISNUMBER(MATCH(bhpc_data[size1],$EC$13,0)),MATCH(ROW(bhpc_data[sku]),ROW(bhpc_data[sku])),""),ROWS($A$15:A17)+$B$3))),IF($EC$13="",INDEX(bhpc_data[sku],SMALL(IF(ISNUMBER(MATCH(bhpc_data[sex],$EC$11,0)),MATCH(ROW(bhpc_data[sku]),ROW(bhpc_data[sku])),""),ROWS($A$15:A17)+$B$3)),INDEX(bhpc_data[sku],SMALL(IF(ISNUMBER(MATCH(bhpc_data[sex],$EC$11,0)*MATCH(bhpc_data[size1],$EC$13,0)),MATCH(ROW(bhpc_data[sku]),ROW(bhpc_data[sku])),""),ROWS($A$15:A17)+$B$3)))),IF($EC$11="",IF($EC$13="",INDEX(bhpc_data[sku],SMALL(IF(ISNUMBER(MATCH(bhpc_data[category],$EC$9,0)),MATCH(ROW(bhpc_data[sku]),ROW(bhpc_data[sku])),""),ROWS($A$15:A17)+$B$3)),INDEX(bhpc_data[sku],SMALL(IF(ISNUMBER(MATCH(bhpc_data[category],$EC$9,0)*MATCH(bhpc_data[size1],$EC$13,0)),MATCH(ROW(bhpc_data[sku]),ROW(bhpc_data[sku])),""),ROWS($A$15:A17)+$B$3))),IF($EC$13="",INDEX(bhpc_data[sku],SMALL(IF(ISNUMBER(MATCH(bhpc_data[category],$EC$9,0)*MATCH(bhpc_data[sex],$EC$11,0)),MATCH(ROW(bhpc_data[sku]),ROW(bhpc_data[sku])),""),ROWS($A$15:A17)+$B$3)),INDEX(bhpc_data[sku],SMALL(IF(ISNUMBER(MATCH(bhpc_data[category],$EC$9,0)*MATCH(bhpc_data[sex],$EC$11,0)*MATCH(bhpc_data[size1],$EC$13,0)),MATCH(ROW(bhpc_data[sku]),ROW(bhpc_data[sku])),""),ROWS($A$15:A17)+$B$3))))),"")</f>
        <v>GS5006</v>
      </c>
      <c r="EF12" s="548" t="str" cm="1">
        <f t="array" ref="EF12">IFERROR(IF($EC$9="",IF($EC$11="",IF($EC$13="",INDEX(bhpc_data[description],SMALL(MATCH(ROW(bhpc_data[sku]),ROW(bhpc_data[sku])),ROWS($A$15:A17)+$B$3)),INDEX(bhpc_data[description],SMALL(IF(ISNUMBER(MATCH(bhpc_data[size1],$EC$13,0)),MATCH(ROW(bhpc_data[sku]),ROW(bhpc_data[sku])),""),ROWS($A$15:A17)+$B$3))),IF($EC$13="",INDEX(bhpc_data[description],SMALL(IF(ISNUMBER(MATCH(bhpc_data[sex],$EC$11,0)),MATCH(ROW(bhpc_data[sku]),ROW(bhpc_data[sku])),""),ROWS($A$15:A17)+$B$3)),INDEX(bhpc_data[description],SMALL(IF(ISNUMBER(MATCH(bhpc_data[sex],$EC$11,0)*MATCH(bhpc_data[size1],$EC$13,0)),MATCH(ROW(bhpc_data[sku]),ROW(bhpc_data[sku])),""),ROWS($A$15:A17)+$B$3)))),IF($EC$11="",IF($EC$13="",INDEX(bhpc_data[description],SMALL(IF(ISNUMBER(MATCH(bhpc_data[category],$EC$9,0)),MATCH(ROW(bhpc_data[sku]),ROW(bhpc_data[sku])),""),ROWS($A$15:A17)+$B$3)),INDEX(bhpc_data[description],SMALL(IF(ISNUMBER(MATCH(bhpc_data[category],$EC$9,0)*MATCH(bhpc_data[size1],$EC$13,0)),MATCH(ROW(bhpc_data[sku]),ROW(bhpc_data[sku])),""),ROWS($A$15:A17)+$B$3))),IF($EC$13="",INDEX(bhpc_data[description],SMALL(IF(ISNUMBER(MATCH(bhpc_data[category],$EC$9,0)*MATCH(bhpc_data[sex],$EC$11,0)),MATCH(ROW(bhpc_data[sku]),ROW(bhpc_data[sku])),""),ROWS($A$15:A17)+$B$3)),INDEX(bhpc_data[description],SMALL(IF(ISNUMBER(MATCH(bhpc_data[category],$EC$9,0)*MATCH(bhpc_data[sex],$EC$11,0)*MATCH(bhpc_data[size1],$EC$13,0)),MATCH(ROW(bhpc_data[sku]),ROW(bhpc_data[sku])),""),ROWS($A$15:A17)+$B$3))))),"")</f>
        <v>BHPC GIFT SET SPORT MEN 8 EDT 100ML + DEO 175ML</v>
      </c>
      <c r="EG12" s="549">
        <f>IFERROR(IF('BHPC MANAGER'!$EE12="","",INDEX(inventory[ESISTENZA],MATCH('BHPC MANAGER'!$EE12,inventory[ARTICOLO],0))),0)</f>
        <v>0</v>
      </c>
      <c r="EH12" s="550">
        <v>134</v>
      </c>
      <c r="EI12" s="550">
        <f t="shared" si="3"/>
        <v>134</v>
      </c>
      <c r="EJ12" s="551">
        <v>-200</v>
      </c>
      <c r="EK12" s="552">
        <f t="shared" si="4"/>
        <v>-66</v>
      </c>
      <c r="FF12" s="331"/>
      <c r="FG12" s="331"/>
      <c r="FH12" s="331"/>
      <c r="FI12" s="331"/>
      <c r="FJ12" s="331"/>
      <c r="FK12" s="331"/>
      <c r="FL12" s="331"/>
      <c r="FM12" s="331"/>
      <c r="FN12" s="331"/>
      <c r="FO12" s="331"/>
      <c r="FP12" s="331"/>
      <c r="FQ12" s="331"/>
      <c r="FR12" s="331"/>
      <c r="FS12" s="331"/>
      <c r="FT12" s="331"/>
      <c r="FU12" s="331"/>
      <c r="FV12" s="331"/>
      <c r="FW12" s="331"/>
      <c r="FX12" s="331"/>
      <c r="FY12" s="331"/>
      <c r="FZ12" s="331"/>
      <c r="GA12" s="331"/>
      <c r="GB12" s="331"/>
      <c r="GC12" s="331"/>
      <c r="GD12" s="331"/>
      <c r="GE12" s="331"/>
      <c r="GF12" s="331"/>
      <c r="GG12" s="331"/>
      <c r="GH12" s="331"/>
      <c r="GI12" s="331"/>
      <c r="GJ12" s="331"/>
      <c r="GK12" s="331"/>
      <c r="GL12" s="331"/>
      <c r="GM12" s="331"/>
      <c r="GN12" s="331"/>
      <c r="GO12" s="331"/>
      <c r="GP12" s="331"/>
      <c r="GQ12" s="331"/>
      <c r="GR12" s="331"/>
      <c r="GS12" s="331"/>
      <c r="GT12" s="331"/>
      <c r="GU12" s="331"/>
      <c r="GV12" s="331"/>
      <c r="GW12" s="331"/>
      <c r="GX12" s="331"/>
      <c r="GY12" s="331"/>
      <c r="GZ12" s="331"/>
      <c r="HA12" s="331"/>
      <c r="HB12" s="331"/>
      <c r="HC12" s="331"/>
      <c r="HD12" s="331"/>
      <c r="HE12" s="331"/>
      <c r="HF12" s="331"/>
      <c r="HG12" s="331"/>
      <c r="HH12" s="331"/>
      <c r="HI12" s="331"/>
      <c r="HJ12" s="331"/>
      <c r="HK12" s="331"/>
      <c r="HL12" s="331"/>
      <c r="HM12" s="331"/>
      <c r="HN12" s="331"/>
      <c r="HO12" s="331"/>
      <c r="HP12" s="331"/>
      <c r="HQ12" s="331"/>
      <c r="HR12" s="331"/>
      <c r="HS12" s="331"/>
      <c r="HT12" s="331"/>
    </row>
    <row r="13" spans="1:702" ht="15" customHeight="1" x14ac:dyDescent="0.35">
      <c r="B13" s="150"/>
      <c r="D13" s="340"/>
      <c r="F13" s="91"/>
      <c r="G13" s="99" t="s">
        <v>591</v>
      </c>
      <c r="H13" s="81"/>
      <c r="I13" s="81"/>
      <c r="J13" s="82"/>
      <c r="L13" s="452" t="str">
        <f t="array" ref="L13">IFERROR(IF($D$9="",IF($D$11="",IF($D$13="",IF($D$15="",INDEX(orderHistory[customer],SMALL(MATCH(ROW(orderHistory[customer]),ROW(orderHistory[customer])),ROWS($A$15:A18)+$B$3)),INDEX(orderHistory[customer],SMALL(IF(ISNUMBER(MATCH(YEAR(orderHistory[invoice_date]),$D$15,0)),MATCH(ROW(orderHistory[customer]),ROW(orderHistory[customer])),""),ROWS($A$15:A18)+$B$3))),IF($D$15="",INDEX(orderHistory[customer],SMALL(IF(ISNUMBER(MATCH(orderHistory[order_type],$D$13,0)),MATCH(ROW(orderHistory[customer]),ROW(orderHistory[customer])),""),ROWS($A$15:A18)+$B$3)),INDEX(orderHistory[customer],SMALL(IF(ISNUMBER(MATCH(orderHistory[order_type],$D$13,0)*MATCH(YEAR(orderHistory[invoice_date]),$D$15,0)),MATCH(ROW(orderHistory[customer]),ROW(orderHistory[customer])),""),ROWS($A$15:A18)+$B$3)))),IF($D$13="",IF($D$15="",INDEX(orderHistory[customer],SMALL(IF(ISNUMBER(MATCH(orderHistory[status],$D$11,0)),MATCH(ROW(orderHistory[customer]),ROW(orderHistory[customer])),""),ROWS($A$15:A18)+$B$3)),INDEX(orderHistory[customer],SMALL(IF(ISNUMBER(MATCH(orderHistory[status],$D$11,0)*MATCH(YEAR(orderHistory[invoice_date]),$D$15,0)),MATCH(ROW(orderHistory[customer]),ROW(orderHistory[customer])),""),ROWS($A$15:A18)+$B$3))),IF($D$15="",INDEX(orderHistory[customer],SMALL(IF(ISNUMBER(MATCH(orderHistory[status],$D$11,0)*MATCH(orderHistory[order_type],$D$13,0)),MATCH(ROW(orderHistory[customer]),ROW(orderHistory[customer])),""),ROWS($A$15:A18)+$B$3)),INDEX(orderHistory[customer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customer],SMALL(IF(ISNUMBER(MATCH(orderHistory[customer],$D$9,0)),MATCH(ROW(orderHistory[customer]),ROW(orderHistory[customer])),""),ROWS($A$15:A18)+$B$3)),INDEX(orderHistory[customer],SMALL(IF(ISNUMBER(MATCH(orderHistory[customer],$D$9,0)*MATCH(YEAR(orderHistory[invoice_date]),$D$15,0)),MATCH(ROW(orderHistory[customer]),ROW(orderHistory[customer])),""),ROWS($A$15:A18)+$B$3))),IF($D$15="",INDEX(orderHistory[customer],SMALL(IF(ISNUMBER(MATCH(orderHistory[customer],$D$9,0)*MATCH(orderHistory[order_type],$D$13,0)),MATCH(ROW(orderHistory[customer]),ROW(orderHistory[customer])),""),ROWS($A$15:A18)+$B$3)),INDEX(orderHistory[customer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YEAR(orderHistory[invoice_date]),$D$15,0)),MATCH(ROW(orderHistory[customer]),ROW(orderHistory[customer])),""),ROWS($A$15:A18)+$B$3))),IF($D$15="",INDEX(orderHistory[customer],SMALL(IF(ISNUMBER(MATCH(orderHistory[customer],$D$9,0)*MATCH(orderHistory[status],$D$11,0)*MATCH(orderHistory[order_type],$D$13,0)),MATCH(ROW(orderHistory[customer]),ROW(orderHistory[customer])),""),ROWS($A$15:A18)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M13" s="453" t="str">
        <f t="array" ref="M13">IFERROR(IF($D$9="",IF($D$11="",IF($D$13="",IF($D$15="",INDEX(orderHistory[order_no],SMALL(MATCH(ROW(orderHistory[customer]),ROW(orderHistory[customer])),ROWS($A$15:A18)+$B$3)),INDEX(orderHistory[order_no],SMALL(IF(ISNUMBER(MATCH(YEAR(orderHistory[invoice_date]),$D$15,0)),MATCH(ROW(orderHistory[customer]),ROW(orderHistory[customer])),""),ROWS($A$15:A18)+$B$3))),IF($D$15="",INDEX(orderHistory[order_no],SMALL(IF(ISNUMBER(MATCH(orderHistory[order_type],$D$13,0)),MATCH(ROW(orderHistory[customer]),ROW(orderHistory[customer])),""),ROWS($A$15:A18)+$B$3)),INDEX(orderHistory[order_no],SMALL(IF(ISNUMBER(MATCH(orderHistory[order_type],$D$13,0)*MATCH(YEAR(orderHistory[invoice_date]),$D$15,0)),MATCH(ROW(orderHistory[customer]),ROW(orderHistory[customer])),""),ROWS($A$15:A18)+$B$3)))),IF($D$13="",IF($D$15="",INDEX(orderHistory[order_no],SMALL(IF(ISNUMBER(MATCH(orderHistory[status],$D$11,0)),MATCH(ROW(orderHistory[customer]),ROW(orderHistory[customer])),""),ROWS($A$15:A18)+$B$3)),INDEX(orderHistory[order_no],SMALL(IF(ISNUMBER(MATCH(orderHistory[status],$D$11,0)*MATCH(YEAR(orderHistory[invoice_date]),$D$15,0)),MATCH(ROW(orderHistory[customer]),ROW(orderHistory[customer])),""),ROWS($A$15:A18)+$B$3))),IF($D$15="",INDEX(orderHistory[order_no],SMALL(IF(ISNUMBER(MATCH(orderHistory[status],$D$11,0)*MATCH(orderHistory[order_type],$D$13,0)),MATCH(ROW(orderHistory[customer]),ROW(orderHistory[customer])),""),ROWS($A$15:A18)+$B$3)),INDEX(orderHistory[order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no],SMALL(IF(ISNUMBER(MATCH(orderHistory[customer],$D$9,0)),MATCH(ROW(orderHistory[customer]),ROW(orderHistory[customer])),""),ROWS($A$15:A18)+$B$3)),INDEX(orderHistory[order_no],SMALL(IF(ISNUMBER(MATCH(orderHistory[customer],$D$9,0)*MATCH(YEAR(orderHistory[invoice_date]),$D$15,0)),MATCH(ROW(orderHistory[customer]),ROW(orderHistory[customer])),""),ROWS($A$15:A18)+$B$3))),IF($D$15="",INDEX(orderHistory[order_no],SMALL(IF(ISNUMBER(MATCH(orderHistory[customer],$D$9,0)*MATCH(orderHistory[order_type],$D$13,0)),MATCH(ROW(orderHistory[customer]),ROW(orderHistory[customer])),""),ROWS($A$15:A18)+$B$3)),INDEX(orderHistory[order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YEAR(orderHistory[invoice_date]),$D$15,0)),MATCH(ROW(orderHistory[customer]),ROW(orderHistory[customer])),""),ROWS($A$15:A18)+$B$3))),IF($D$15="",INDEX(orderHistory[order_no],SMALL(IF(ISNUMBER(MATCH(orderHistory[customer],$D$9,0)*MATCH(orderHistory[status],$D$11,0)*MATCH(orderHistory[order_type],$D$13,0)),MATCH(ROW(orderHistory[customer]),ROW(orderHistory[customer])),""),ROWS($A$15:A18)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N13" s="454" t="str">
        <f t="array" ref="N13">IFERROR(IF($D$9="",IF($D$11="",IF($D$13="",IF($D$15="",INDEX(orderHistory[order_type],SMALL(MATCH(ROW(orderHistory[customer]),ROW(orderHistory[customer])),ROWS($A$15:A18)+$B$3)),INDEX(orderHistory[order_type],SMALL(IF(ISNUMBER(MATCH(YEAR(orderHistory[invoice_date]),$D$15,0)),MATCH(ROW(orderHistory[customer]),ROW(orderHistory[customer])),""),ROWS($A$15:A18)+$B$3))),IF($D$15="",INDEX(orderHistory[order_type],SMALL(IF(ISNUMBER(MATCH(orderHistory[order_type],$D$13,0)),MATCH(ROW(orderHistory[customer]),ROW(orderHistory[customer])),""),ROWS($A$15:A18)+$B$3)),INDEX(orderHistory[order_type],SMALL(IF(ISNUMBER(MATCH(orderHistory[order_type],$D$13,0)*MATCH(YEAR(orderHistory[invoice_date]),$D$15,0)),MATCH(ROW(orderHistory[customer]),ROW(orderHistory[customer])),""),ROWS($A$15:A18)+$B$3)))),IF($D$13="",IF($D$15="",INDEX(orderHistory[order_type],SMALL(IF(ISNUMBER(MATCH(orderHistory[status],$D$11,0)),MATCH(ROW(orderHistory[customer]),ROW(orderHistory[customer])),""),ROWS($A$15:A18)+$B$3)),INDEX(orderHistory[order_type],SMALL(IF(ISNUMBER(MATCH(orderHistory[status],$D$11,0)*MATCH(YEAR(orderHistory[invoice_date]),$D$15,0)),MATCH(ROW(orderHistory[customer]),ROW(orderHistory[customer])),""),ROWS($A$15:A18)+$B$3))),IF($D$15="",INDEX(orderHistory[order_type],SMALL(IF(ISNUMBER(MATCH(orderHistory[status],$D$11,0)*MATCH(orderHistory[order_type],$D$13,0)),MATCH(ROW(orderHistory[customer]),ROW(orderHistory[customer])),""),ROWS($A$15:A18)+$B$3)),INDEX(orderHistory[order_typ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type],SMALL(IF(ISNUMBER(MATCH(orderHistory[customer],$D$9,0)),MATCH(ROW(orderHistory[customer]),ROW(orderHistory[customer])),""),ROWS($A$15:A18)+$B$3)),INDEX(orderHistory[order_type],SMALL(IF(ISNUMBER(MATCH(orderHistory[customer],$D$9,0)*MATCH(YEAR(orderHistory[invoice_date]),$D$15,0)),MATCH(ROW(orderHistory[customer]),ROW(orderHistory[customer])),""),ROWS($A$15:A18)+$B$3))),IF($D$15="",INDEX(orderHistory[order_type],SMALL(IF(ISNUMBER(MATCH(orderHistory[customer],$D$9,0)*MATCH(orderHistory[order_type],$D$13,0)),MATCH(ROW(orderHistory[customer]),ROW(orderHistory[customer])),""),ROWS($A$15:A18)+$B$3)),INDEX(orderHistory[order_typ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YEAR(orderHistory[invoice_date]),$D$15,0)),MATCH(ROW(orderHistory[customer]),ROW(orderHistory[customer])),""),ROWS($A$15:A18)+$B$3))),IF($D$15="",INDEX(orderHistory[order_type],SMALL(IF(ISNUMBER(MATCH(orderHistory[customer],$D$9,0)*MATCH(orderHistory[status],$D$11,0)*MATCH(orderHistory[order_type],$D$13,0)),MATCH(ROW(orderHistory[customer]),ROW(orderHistory[customer])),""),ROWS($A$15:A18)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O13" s="455" t="str">
        <f t="array" ref="O13">IFERROR(IF($D$9="",IF($D$11="",IF($D$13="",IF($D$15="",INDEX(orderHistory[order_date],SMALL(MATCH(ROW(orderHistory[customer]),ROW(orderHistory[customer])),ROWS($A$15:A18)+$B$3)),INDEX(orderHistory[order_date],SMALL(IF(ISNUMBER(MATCH(YEAR(orderHistory[invoice_date]),$D$15,0)),MATCH(ROW(orderHistory[customer]),ROW(orderHistory[customer])),""),ROWS($A$15:A18)+$B$3))),IF($D$15="",INDEX(orderHistory[order_date],SMALL(IF(ISNUMBER(MATCH(orderHistory[order_type],$D$13,0)),MATCH(ROW(orderHistory[customer]),ROW(orderHistory[customer])),""),ROWS($A$15:A18)+$B$3)),INDEX(orderHistory[order_date],SMALL(IF(ISNUMBER(MATCH(orderHistory[order_type],$D$13,0)*MATCH(YEAR(orderHistory[invoice_date]),$D$15,0)),MATCH(ROW(orderHistory[customer]),ROW(orderHistory[customer])),""),ROWS($A$15:A18)+$B$3)))),IF($D$13="",IF($D$15="",INDEX(orderHistory[order_date],SMALL(IF(ISNUMBER(MATCH(orderHistory[status],$D$11,0)),MATCH(ROW(orderHistory[customer]),ROW(orderHistory[customer])),""),ROWS($A$15:A18)+$B$3)),INDEX(orderHistory[order_date],SMALL(IF(ISNUMBER(MATCH(orderHistory[status],$D$11,0)*MATCH(YEAR(orderHistory[invoice_date]),$D$15,0)),MATCH(ROW(orderHistory[customer]),ROW(orderHistory[customer])),""),ROWS($A$15:A18)+$B$3))),IF($D$15="",INDEX(orderHistory[order_date],SMALL(IF(ISNUMBER(MATCH(orderHistory[status],$D$11,0)*MATCH(orderHistory[order_type],$D$13,0)),MATCH(ROW(orderHistory[customer]),ROW(orderHistory[customer])),""),ROWS($A$15:A18)+$B$3)),INDEX(orderHistory[order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date],SMALL(IF(ISNUMBER(MATCH(orderHistory[customer],$D$9,0)),MATCH(ROW(orderHistory[customer]),ROW(orderHistory[customer])),""),ROWS($A$15:A18)+$B$3)),INDEX(orderHistory[order_date],SMALL(IF(ISNUMBER(MATCH(orderHistory[customer],$D$9,0)*MATCH(YEAR(orderHistory[invoice_date]),$D$15,0)),MATCH(ROW(orderHistory[customer]),ROW(orderHistory[customer])),""),ROWS($A$15:A18)+$B$3))),IF($D$15="",INDEX(orderHistory[order_date],SMALL(IF(ISNUMBER(MATCH(orderHistory[customer],$D$9,0)*MATCH(orderHistory[order_type],$D$13,0)),MATCH(ROW(orderHistory[customer]),ROW(orderHistory[customer])),""),ROWS($A$15:A18)+$B$3)),INDEX(orderHistory[order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YEAR(orderHistory[invoice_date]),$D$15,0)),MATCH(ROW(orderHistory[customer]),ROW(orderHistory[customer])),""),ROWS($A$15:A18)+$B$3))),IF($D$15="",INDEX(orderHistory[order_date],SMALL(IF(ISNUMBER(MATCH(orderHistory[customer],$D$9,0)*MATCH(orderHistory[status],$D$11,0)*MATCH(orderHistory[order_type],$D$13,0)),MATCH(ROW(orderHistory[customer]),ROW(orderHistory[customer])),""),ROWS($A$15:A18)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P13" s="456" t="str">
        <f t="array" ref="P13">IFERROR(IF($D$9="",IF($D$11="",IF($D$13="",IF($D$15="",INDEX(orderHistory[invoice_no],SMALL(MATCH(ROW(orderHistory[customer]),ROW(orderHistory[customer])),ROWS($A$15:A18)+$B$3)),INDEX(orderHistory[invoice_no],SMALL(IF(ISNUMBER(MATCH(YEAR(orderHistory[invoice_date]),$D$15,0)),MATCH(ROW(orderHistory[customer]),ROW(orderHistory[customer])),""),ROWS($A$15:A18)+$B$3))),IF($D$15="",INDEX(orderHistory[invoice_no],SMALL(IF(ISNUMBER(MATCH(orderHistory[order_type],$D$13,0)),MATCH(ROW(orderHistory[customer]),ROW(orderHistory[customer])),""),ROWS($A$15:A18)+$B$3)),INDEX(orderHistory[invoice_no],SMALL(IF(ISNUMBER(MATCH(orderHistory[order_type],$D$13,0)*MATCH(YEAR(orderHistory[invoice_date]),$D$15,0)),MATCH(ROW(orderHistory[customer]),ROW(orderHistory[customer])),""),ROWS($A$15:A18)+$B$3)))),IF($D$13="",IF($D$15="",INDEX(orderHistory[invoice_no],SMALL(IF(ISNUMBER(MATCH(orderHistory[status],$D$11,0)),MATCH(ROW(orderHistory[customer]),ROW(orderHistory[customer])),""),ROWS($A$15:A18)+$B$3)),INDEX(orderHistory[invoice_no],SMALL(IF(ISNUMBER(MATCH(orderHistory[status],$D$11,0)*MATCH(YEAR(orderHistory[invoice_date]),$D$15,0)),MATCH(ROW(orderHistory[customer]),ROW(orderHistory[customer])),""),ROWS($A$15:A18)+$B$3))),IF($D$15="",INDEX(orderHistory[invoice_no],SMALL(IF(ISNUMBER(MATCH(orderHistory[status],$D$11,0)*MATCH(orderHistory[order_type],$D$13,0)),MATCH(ROW(orderHistory[customer]),ROW(orderHistory[customer])),""),ROWS($A$15:A18)+$B$3)),INDEX(orderHistory[invoice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no],SMALL(IF(ISNUMBER(MATCH(orderHistory[customer],$D$9,0)),MATCH(ROW(orderHistory[customer]),ROW(orderHistory[customer])),""),ROWS($A$15:A18)+$B$3)),INDEX(orderHistory[invoice_no],SMALL(IF(ISNUMBER(MATCH(orderHistory[customer],$D$9,0)*MATCH(YEAR(orderHistory[invoice_date]),$D$15,0)),MATCH(ROW(orderHistory[customer]),ROW(orderHistory[customer])),""),ROWS($A$15:A18)+$B$3))),IF($D$15="",INDEX(orderHistory[invoice_no],SMALL(IF(ISNUMBER(MATCH(orderHistory[customer],$D$9,0)*MATCH(orderHistory[order_type],$D$13,0)),MATCH(ROW(orderHistory[customer]),ROW(orderHistory[customer])),""),ROWS($A$15:A18)+$B$3)),INDEX(orderHistory[invoice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YEAR(orderHistory[invoice_date]),$D$15,0)),MATCH(ROW(orderHistory[customer]),ROW(orderHistory[customer])),""),ROWS($A$15:A18)+$B$3))),IF($D$15="",INDEX(orderHistory[invoice_no],SMALL(IF(ISNUMBER(MATCH(orderHistory[customer],$D$9,0)*MATCH(orderHistory[status],$D$11,0)*MATCH(orderHistory[order_type],$D$13,0)),MATCH(ROW(orderHistory[customer]),ROW(orderHistory[customer])),""),ROWS($A$15:A18)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Q13" s="457" t="str">
        <f t="array" ref="Q13">IFERROR(IF($D$9="",IF($D$11="",IF($D$13="",IF($D$15="",INDEX(orderHistory[invoice_date],SMALL(MATCH(ROW(orderHistory[customer]),ROW(orderHistory[customer])),ROWS($A$15:A18)+$B$3)),INDEX(orderHistory[invoice_date],SMALL(IF(ISNUMBER(MATCH(YEAR(orderHistory[invoice_date]),$D$15,0)),MATCH(ROW(orderHistory[customer]),ROW(orderHistory[customer])),""),ROWS($A$15:A18)+$B$3))),IF($D$15="",INDEX(orderHistory[invoice_date],SMALL(IF(ISNUMBER(MATCH(orderHistory[order_type],$D$13,0)),MATCH(ROW(orderHistory[customer]),ROW(orderHistory[customer])),""),ROWS($A$15:A18)+$B$3)),INDEX(orderHistory[invoice_date],SMALL(IF(ISNUMBER(MATCH(orderHistory[order_type],$D$13,0)*MATCH(YEAR(orderHistory[invoice_date]),$D$15,0)),MATCH(ROW(orderHistory[customer]),ROW(orderHistory[customer])),""),ROWS($A$15:A18)+$B$3)))),IF($D$13="",IF($D$15="",INDEX(orderHistory[invoice_date],SMALL(IF(ISNUMBER(MATCH(orderHistory[status],$D$11,0)),MATCH(ROW(orderHistory[customer]),ROW(orderHistory[customer])),""),ROWS($A$15:A18)+$B$3)),INDEX(orderHistory[invoice_date],SMALL(IF(ISNUMBER(MATCH(orderHistory[status],$D$11,0)*MATCH(YEAR(orderHistory[invoice_date]),$D$15,0)),MATCH(ROW(orderHistory[customer]),ROW(orderHistory[customer])),""),ROWS($A$15:A18)+$B$3))),IF($D$15="",INDEX(orderHistory[invoice_date],SMALL(IF(ISNUMBER(MATCH(orderHistory[status],$D$11,0)*MATCH(orderHistory[order_type],$D$13,0)),MATCH(ROW(orderHistory[customer]),ROW(orderHistory[customer])),""),ROWS($A$15:A18)+$B$3)),INDEX(orderHistory[invoice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date],SMALL(IF(ISNUMBER(MATCH(orderHistory[customer],$D$9,0)),MATCH(ROW(orderHistory[customer]),ROW(orderHistory[customer])),""),ROWS($A$15:A18)+$B$3)),INDEX(orderHistory[invoice_date],SMALL(IF(ISNUMBER(MATCH(orderHistory[customer],$D$9,0)*MATCH(YEAR(orderHistory[invoice_date]),$D$15,0)),MATCH(ROW(orderHistory[customer]),ROW(orderHistory[customer])),""),ROWS($A$15:A18)+$B$3))),IF($D$15="",INDEX(orderHistory[invoice_date],SMALL(IF(ISNUMBER(MATCH(orderHistory[customer],$D$9,0)*MATCH(orderHistory[order_type],$D$13,0)),MATCH(ROW(orderHistory[customer]),ROW(orderHistory[customer])),""),ROWS($A$15:A18)+$B$3)),INDEX(orderHistory[invoice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YEAR(orderHistory[invoice_date]),$D$15,0)),MATCH(ROW(orderHistory[customer]),ROW(orderHistory[customer])),""),ROWS($A$15:A18)+$B$3))),IF($D$15="",INDEX(orderHistory[invoice_date],SMALL(IF(ISNUMBER(MATCH(orderHistory[customer],$D$9,0)*MATCH(orderHistory[status],$D$11,0)*MATCH(orderHistory[order_type],$D$13,0)),MATCH(ROW(orderHistory[customer]),ROW(orderHistory[customer])),""),ROWS($A$15:A18)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R13" s="458" t="str">
        <f t="array" ref="R13">IFERROR(IF($D$9="",IF($D$11="",IF($D$13="",IF($D$15="",INDEX(orderHistory[inv_amount],SMALL(MATCH(ROW(orderHistory[customer]),ROW(orderHistory[customer])),ROWS($A$15:A18)+$B$3)),INDEX(orderHistory[inv_amount],SMALL(IF(ISNUMBER(MATCH(YEAR(orderHistory[invoice_date]),$D$15,0)),MATCH(ROW(orderHistory[customer]),ROW(orderHistory[customer])),""),ROWS($A$15:A18)+$B$3))),IF($D$15="",INDEX(orderHistory[inv_amount],SMALL(IF(ISNUMBER(MATCH(orderHistory[order_type],$D$13,0)),MATCH(ROW(orderHistory[customer]),ROW(orderHistory[customer])),""),ROWS($A$15:A18)+$B$3)),INDEX(orderHistory[inv_amount],SMALL(IF(ISNUMBER(MATCH(orderHistory[order_type],$D$13,0)*MATCH(YEAR(orderHistory[invoice_date]),$D$15,0)),MATCH(ROW(orderHistory[customer]),ROW(orderHistory[customer])),""),ROWS($A$15:A18)+$B$3)))),IF($D$13="",IF($D$15="",INDEX(orderHistory[inv_amount],SMALL(IF(ISNUMBER(MATCH(orderHistory[status],$D$11,0)),MATCH(ROW(orderHistory[customer]),ROW(orderHistory[customer])),""),ROWS($A$15:A18)+$B$3)),INDEX(orderHistory[inv_amount],SMALL(IF(ISNUMBER(MATCH(orderHistory[status],$D$11,0)*MATCH(YEAR(orderHistory[invoice_date]),$D$15,0)),MATCH(ROW(orderHistory[customer]),ROW(orderHistory[customer])),""),ROWS($A$15:A18)+$B$3))),IF($D$15="",INDEX(orderHistory[inv_amount],SMALL(IF(ISNUMBER(MATCH(orderHistory[status],$D$11,0)*MATCH(orderHistory[order_type],$D$13,0)),MATCH(ROW(orderHistory[customer]),ROW(orderHistory[customer])),""),ROWS($A$15:A18)+$B$3)),INDEX(orderHistory[inv_amount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_amount],SMALL(IF(ISNUMBER(MATCH(orderHistory[customer],$D$9,0)),MATCH(ROW(orderHistory[customer]),ROW(orderHistory[customer])),""),ROWS($A$15:A18)+$B$3)),INDEX(orderHistory[inv_amount],SMALL(IF(ISNUMBER(MATCH(orderHistory[customer],$D$9,0)*MATCH(YEAR(orderHistory[invoice_date]),$D$15,0)),MATCH(ROW(orderHistory[customer]),ROW(orderHistory[customer])),""),ROWS($A$15:A18)+$B$3))),IF($D$15="",INDEX(orderHistory[inv_amount],SMALL(IF(ISNUMBER(MATCH(orderHistory[customer],$D$9,0)*MATCH(orderHistory[order_type],$D$13,0)),MATCH(ROW(orderHistory[customer]),ROW(orderHistory[customer])),""),ROWS($A$15:A18)+$B$3)),INDEX(orderHistory[inv_amount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YEAR(orderHistory[inv_amount]),$D$15,0)),MATCH(ROW(orderHistory[customer]),ROW(orderHistory[customer])),""),ROWS($A$15:A18)+$B$3))),IF($D$15="",INDEX(orderHistory[inv_amount],SMALL(IF(ISNUMBER(MATCH(orderHistory[customer],$D$9,0)*MATCH(orderHistory[status],$D$11,0)*MATCH(orderHistory[order_type],$D$13,0)),MATCH(ROW(orderHistory[customer]),ROW(orderHistory[customer])),""),ROWS($A$15:A18)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S13" s="569" t="str">
        <f t="array" ref="S13">IFERROR(IF($D$9="",IF($D$11="",IF($D$13="",IF($D$15="",INDEX(orderHistory[lock_goods],SMALL(MATCH(ROW(orderHistory[customer]),ROW(orderHistory[customer])),ROWS($A$15:A18)+$B$3)),INDEX(orderHistory[lock_goods],SMALL(IF(ISNUMBER(MATCH(YEAR(orderHistory[invoice_date]),$D$15,0)),MATCH(ROW(orderHistory[customer]),ROW(orderHistory[customer])),""),ROWS($A$15:A18)+$B$3))),IF($D$15="",INDEX(orderHistory[lock_goods],SMALL(IF(ISNUMBER(MATCH(orderHistory[order_type],$D$13,0)),MATCH(ROW(orderHistory[customer]),ROW(orderHistory[customer])),""),ROWS($A$15:A18)+$B$3)),INDEX(orderHistory[lock_goods],SMALL(IF(ISNUMBER(MATCH(orderHistory[order_type],$D$13,0)*MATCH(YEAR(orderHistory[invoice_date]),$D$15,0)),MATCH(ROW(orderHistory[customer]),ROW(orderHistory[customer])),""),ROWS($A$15:A18)+$B$3)))),IF($D$13="",IF($D$15="",INDEX(orderHistory[lock_goods],SMALL(IF(ISNUMBER(MATCH(orderHistory[status],$D$11,0)),MATCH(ROW(orderHistory[customer]),ROW(orderHistory[customer])),""),ROWS($A$15:A18)+$B$3)),INDEX(orderHistory[lock_goods],SMALL(IF(ISNUMBER(MATCH(orderHistory[status],$D$11,0)*MATCH(YEAR(orderHistory[invoice_date]),$D$15,0)),MATCH(ROW(orderHistory[customer]),ROW(orderHistory[customer])),""),ROWS($A$15:A18)+$B$3))),IF($D$15="",INDEX(orderHistory[lock_goods],SMALL(IF(ISNUMBER(MATCH(orderHistory[status],$D$11,0)*MATCH(orderHistory[order_type],$D$13,0)),MATCH(ROW(orderHistory[customer]),ROW(orderHistory[customer])),""),ROWS($A$15:A18)+$B$3)),INDEX(orderHistory[lock_good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lock_goods],SMALL(IF(ISNUMBER(MATCH(orderHistory[customer],$D$9,0)),MATCH(ROW(orderHistory[customer]),ROW(orderHistory[customer])),""),ROWS($A$15:A18)+$B$3)),INDEX(orderHistory[lock_goods],SMALL(IF(ISNUMBER(MATCH(orderHistory[customer],$D$9,0)*MATCH(YEAR(orderHistory[invoice_date]),$D$15,0)),MATCH(ROW(orderHistory[customer]),ROW(orderHistory[customer])),""),ROWS($A$15:A18)+$B$3))),IF($D$15="",INDEX(orderHistory[lock_goods],SMALL(IF(ISNUMBER(MATCH(orderHistory[customer],$D$9,0)*MATCH(orderHistory[order_type],$D$13,0)),MATCH(ROW(orderHistory[customer]),ROW(orderHistory[customer])),""),ROWS($A$15:A18)+$B$3)),INDEX(orderHistory[lock_good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lock_goods],SMALL(IF(ISNUMBER(MATCH(orderHistory[customer],$D$9,0)*MATCH(orderHistory[status],$D$11,0)),MATCH(ROW(orderHistory[customer]),ROW(orderHistory[customer])),""),ROWS($A$15:A18)+$B$3)),INDEX(orderHistory[lock_goods],SMALL(IF(ISNUMBER(MATCH(orderHistory[customer],$D$9,0)*MATCH(orderHistory[status],$D$11,0)*MATCH(YEAR(orderHistory[payed]),$D$15,0)),MATCH(ROW(orderHistory[customer]),ROW(orderHistory[customer])),""),ROWS($A$15:A18)+$B$3))),IF($D$15="",INDEX(orderHistory[lock_goods],SMALL(IF(ISNUMBER(MATCH(orderHistory[customer],$D$9,0)*MATCH(orderHistory[status],$D$11,0)*MATCH(orderHistory[order_type],$D$13,0)),MATCH(ROW(orderHistory[customer]),ROW(orderHistory[customer])),""),ROWS($A$15:A18)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T13" s="459" t="str">
        <f t="array" ref="T13">IFERROR(IF($D$9="",IF($D$11="",IF($D$13="",IF($D$15="",INDEX(orderHistory[payed],SMALL(MATCH(ROW(orderHistory[customer]),ROW(orderHistory[customer])),ROWS($A$15:A18)+$B$3)),INDEX(orderHistory[payed],SMALL(IF(ISNUMBER(MATCH(YEAR(orderHistory[invoice_date]),$D$15,0)),MATCH(ROW(orderHistory[customer]),ROW(orderHistory[customer])),""),ROWS($A$15:A18)+$B$3))),IF($D$15="",INDEX(orderHistory[payed],SMALL(IF(ISNUMBER(MATCH(orderHistory[order_type],$D$13,0)),MATCH(ROW(orderHistory[customer]),ROW(orderHistory[customer])),""),ROWS($A$15:A18)+$B$3)),INDEX(orderHistory[payed],SMALL(IF(ISNUMBER(MATCH(orderHistory[order_type],$D$13,0)*MATCH(YEAR(orderHistory[invoice_date]),$D$15,0)),MATCH(ROW(orderHistory[customer]),ROW(orderHistory[customer])),""),ROWS($A$15:A18)+$B$3)))),IF($D$13="",IF($D$15="",INDEX(orderHistory[payed],SMALL(IF(ISNUMBER(MATCH(orderHistory[status],$D$11,0)),MATCH(ROW(orderHistory[customer]),ROW(orderHistory[customer])),""),ROWS($A$15:A18)+$B$3)),INDEX(orderHistory[payed],SMALL(IF(ISNUMBER(MATCH(orderHistory[status],$D$11,0)*MATCH(YEAR(orderHistory[invoice_date]),$D$15,0)),MATCH(ROW(orderHistory[customer]),ROW(orderHistory[customer])),""),ROWS($A$15:A18)+$B$3))),IF($D$15="",INDEX(orderHistory[payed],SMALL(IF(ISNUMBER(MATCH(orderHistory[status],$D$11,0)*MATCH(orderHistory[order_type],$D$13,0)),MATCH(ROW(orderHistory[customer]),ROW(orderHistory[customer])),""),ROWS($A$15:A18)+$B$3)),INDEX(orderHistory[paye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payed],SMALL(IF(ISNUMBER(MATCH(orderHistory[customer],$D$9,0)),MATCH(ROW(orderHistory[customer]),ROW(orderHistory[customer])),""),ROWS($A$15:A18)+$B$3)),INDEX(orderHistory[payed],SMALL(IF(ISNUMBER(MATCH(orderHistory[customer],$D$9,0)*MATCH(YEAR(orderHistory[invoice_date]),$D$15,0)),MATCH(ROW(orderHistory[customer]),ROW(orderHistory[customer])),""),ROWS($A$15:A18)+$B$3))),IF($D$15="",INDEX(orderHistory[payed],SMALL(IF(ISNUMBER(MATCH(orderHistory[customer],$D$9,0)*MATCH(orderHistory[order_type],$D$13,0)),MATCH(ROW(orderHistory[customer]),ROW(orderHistory[customer])),""),ROWS($A$15:A18)+$B$3)),INDEX(orderHistory[paye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YEAR(orderHistory[payed]),$D$15,0)),MATCH(ROW(orderHistory[customer]),ROW(orderHistory[customer])),""),ROWS($A$15:A18)+$B$3))),IF($D$15="",INDEX(orderHistory[payed],SMALL(IF(ISNUMBER(MATCH(orderHistory[customer],$D$9,0)*MATCH(orderHistory[status],$D$11,0)*MATCH(orderHistory[order_type],$D$13,0)),MATCH(ROW(orderHistory[customer]),ROW(orderHistory[customer])),""),ROWS($A$15:A18)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U13" s="454" t="str">
        <f t="array" ref="U13">IFERROR(IF($D$9="",IF($D$11="",IF($D$13="",IF($D$15="",INDEX(orderHistory[shipping_method],SMALL(MATCH(ROW(orderHistory[customer]),ROW(orderHistory[customer])),ROWS($A$15:A18)+$B$3)),INDEX(orderHistory[shipping_method],SMALL(IF(ISNUMBER(MATCH(YEAR(orderHistory[invoice_date]),$D$15,0)),MATCH(ROW(orderHistory[customer]),ROW(orderHistory[customer])),""),ROWS($A$15:A18)+$B$3))),IF($D$15="",INDEX(orderHistory[shipping_method],SMALL(IF(ISNUMBER(MATCH(orderHistory[order_type],$D$13,0)),MATCH(ROW(orderHistory[customer]),ROW(orderHistory[customer])),""),ROWS($A$15:A18)+$B$3)),INDEX(orderHistory[shipping_method],SMALL(IF(ISNUMBER(MATCH(orderHistory[order_type],$D$13,0)*MATCH(YEAR(orderHistory[invoice_date]),$D$15,0)),MATCH(ROW(orderHistory[customer]),ROW(orderHistory[customer])),""),ROWS($A$15:A18)+$B$3)))),IF($D$13="",IF($D$15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YEAR(orderHistory[invoice_date]),$D$15,0)),MATCH(ROW(orderHistory[customer]),ROW(orderHistory[customer])),""),ROWS($A$15:A18)+$B$3))),IF($D$15="",INDEX(orderHistory[shipping_method],SMALL(IF(ISNUMBER(MATCH(orderHistory[status],$D$11,0)*MATCH(orderHistory[order_type],$D$13,0)),MATCH(ROW(orderHistory[customer]),ROW(orderHistory[customer])),""),ROWS($A$15:A18)+$B$3)),INDEX(orderHistory[shipping_metho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YEAR(orderHistory[invoice_date]),$D$15,0)),MATCH(ROW(orderHistory[customer]),ROW(orderHistory[customer])),""),ROWS($A$15:A18)+$B$3))),IF($D$15="",INDEX(orderHistory[shipping_method],SMALL(IF(ISNUMBER(MATCH(orderHistory[customer],$D$9,0)*MATCH(orderHistory[order_type],$D$13,0)),MATCH(ROW(orderHistory[customer]),ROW(orderHistory[customer])),""),ROWS($A$15:A18)+$B$3)),INDEX(orderHistory[shipping_metho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YEAR(orderHistory[shipping_method]),$D$15,0)),MATCH(ROW(orderHistory[customer]),ROW(orderHistory[customer])),""),ROWS($A$15:A18)+$B$3))),IF($D$15="",INDEX(orderHistory[shipping_method],SMALL(IF(ISNUMBER(MATCH(orderHistory[customer],$D$9,0)*MATCH(orderHistory[status],$D$11,0)*MATCH(orderHistory[order_type],$D$13,0)),MATCH(ROW(orderHistory[customer]),ROW(orderHistory[customer])),""),ROWS($A$15:A18)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V13" s="460" t="str">
        <f t="array" ref="V13">IFERROR(IF($D$9="",IF($D$11="",IF($D$13="",IF($D$15="",INDEX(orderHistory[status],SMALL(MATCH(ROW(orderHistory[customer]),ROW(orderHistory[customer])),ROWS($A$15:A18)+$B$3)),INDEX(orderHistory[status],SMALL(IF(ISNUMBER(MATCH(YEAR(orderHistory[invoice_date]),$D$15,0)),MATCH(ROW(orderHistory[customer]),ROW(orderHistory[customer])),""),ROWS($A$15:A18)+$B$3))),IF($D$15="",INDEX(orderHistory[status],SMALL(IF(ISNUMBER(MATCH(orderHistory[order_type],$D$13,0)),MATCH(ROW(orderHistory[customer]),ROW(orderHistory[customer])),""),ROWS($A$15:A18)+$B$3)),INDEX(orderHistory[status],SMALL(IF(ISNUMBER(MATCH(orderHistory[order_type],$D$13,0)*MATCH(YEAR(orderHistory[invoice_date]),$D$15,0)),MATCH(ROW(orderHistory[customer]),ROW(orderHistory[customer])),""),ROWS($A$15:A18)+$B$3)))),IF($D$13="",IF($D$15="",INDEX(orderHistory[status],SMALL(IF(ISNUMBER(MATCH(orderHistory[status],$D$11,0)),MATCH(ROW(orderHistory[customer]),ROW(orderHistory[customer])),""),ROWS($A$15:A18)+$B$3)),INDEX(orderHistory[status],SMALL(IF(ISNUMBER(MATCH(orderHistory[status],$D$11,0)*MATCH(YEAR(orderHistory[invoice_date]),$D$15,0)),MATCH(ROW(orderHistory[customer]),ROW(orderHistory[customer])),""),ROWS($A$15:A18)+$B$3))),IF($D$15="",INDEX(orderHistory[status],SMALL(IF(ISNUMBER(MATCH(orderHistory[status],$D$11,0)*MATCH(orderHistory[order_type],$D$13,0)),MATCH(ROW(orderHistory[customer]),ROW(orderHistory[customer])),""),ROWS($A$15:A18)+$B$3)),INDEX(orderHistory[statu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tatus],SMALL(IF(ISNUMBER(MATCH(orderHistory[customer],$D$9,0)),MATCH(ROW(orderHistory[customer]),ROW(orderHistory[customer])),""),ROWS($A$15:A18)+$B$3)),INDEX(orderHistory[status],SMALL(IF(ISNUMBER(MATCH(orderHistory[customer],$D$9,0)*MATCH(YEAR(orderHistory[invoice_date]),$D$15,0)),MATCH(ROW(orderHistory[customer]),ROW(orderHistory[customer])),""),ROWS($A$15:A18)+$B$3))),IF($D$15="",INDEX(orderHistory[status],SMALL(IF(ISNUMBER(MATCH(orderHistory[customer],$D$9,0)*MATCH(orderHistory[order_type],$D$13,0)),MATCH(ROW(orderHistory[customer]),ROW(orderHistory[customer])),""),ROWS($A$15:A18)+$B$3)),INDEX(orderHistory[statu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YEAR(orderHistory[status]),$D$15,0)),MATCH(ROW(orderHistory[customer]),ROW(orderHistory[customer])),""),ROWS($A$15:A18)+$B$3))),IF($D$15="",INDEX(orderHistory[status],SMALL(IF(ISNUMBER(MATCH(orderHistory[customer],$D$9,0)*MATCH(orderHistory[status],$D$11,0)*MATCH(orderHistory[order_type],$D$13,0)),MATCH(ROW(orderHistory[customer]),ROW(orderHistory[customer])),""),ROWS($A$15:A18)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W13" s="75"/>
      <c r="AO13" s="372"/>
      <c r="AQ13" s="378"/>
      <c r="AR13" s="386"/>
      <c r="AS13" s="380"/>
      <c r="AT13" s="386"/>
      <c r="AU13" s="339"/>
      <c r="AW13" s="376"/>
      <c r="AX13" s="388"/>
      <c r="AZ13" s="389"/>
      <c r="BD13" s="376"/>
      <c r="BE13" s="376"/>
      <c r="BF13" s="390"/>
      <c r="BG13" s="382"/>
      <c r="BH13" s="393"/>
      <c r="BJ13" s="339"/>
      <c r="BK13" s="391"/>
      <c r="BL13" s="367"/>
      <c r="BM13" s="368"/>
      <c r="BN13" s="367"/>
      <c r="BO13" s="368"/>
      <c r="BX13" s="372" t="str">
        <f>IF(BX9="","",IFERROR(INDEX(orderHistory[invoice_no],MATCH($BX$11,orderHistory[order_no],0)),""))</f>
        <v/>
      </c>
      <c r="BZ13" s="520" t="s">
        <v>121</v>
      </c>
      <c r="CA13" s="477" t="str">
        <f>IF(BZ13="","",INDEX(bhpc_data[description],MATCH(BZ13,bhpc_data[sku],0)))</f>
        <v>BHPC PRESTIGE TITAN 100ML EDP MEN</v>
      </c>
      <c r="CB13" s="480">
        <v>720</v>
      </c>
      <c r="CC13" s="523">
        <v>14.53</v>
      </c>
      <c r="CD13" s="491"/>
      <c r="CE13" s="481"/>
      <c r="CF13" s="482">
        <v>100</v>
      </c>
      <c r="CG13" s="483">
        <f>IFERROR(ROUNDUP(CB13/INDEX(bhpc_data[units_per_carton],MATCH(BZ13,bhpc_data[sku],0)),0),"")</f>
        <v>30</v>
      </c>
      <c r="CH13" s="484">
        <f>IFERROR(ROUNDUP(CD13/INDEX(bhpc_data[units_per_carton],MATCH(BZ13,bhpc_data[sku],0)),0),"")</f>
        <v>0</v>
      </c>
      <c r="CI13" s="484">
        <f>IFERROR(ROUNDUP(CF13/INDEX(bhpc_data[units_per_carton],MATCH(BZ13,bhpc_data[sku])),0),"")</f>
        <v>5</v>
      </c>
      <c r="CJ13" s="484">
        <f>IFERROR(((CB13+CD13+CF13)/INDEX(bhpc_data[units_per_carton],MATCH(BZ13,bhpc_data[sku],0)))*INDEX(bhpc_data[net_weight],MATCH(BZ13,bhpc_data[sku],0)),"")</f>
        <v>323.89999999999998</v>
      </c>
      <c r="CK13" s="484">
        <f>IFERROR(((CB13+CD13+CF13)/INDEX(bhpc_data[units_per_carton],MATCH(BZ13,bhpc_data[sku],0)))*INDEX(bhpc_data[gross_weight],MATCH(BZ13,bhpc_data[sku],0)),"")</f>
        <v>338.25</v>
      </c>
      <c r="CL13" s="485">
        <f>IFERROR((CB13+CD13+CF13)/INDEX(bhpc_data[units_per_carton],MATCH(BZ13,bhpc_data[sku],0))*INDEX(bhpc_data[lenght],MATCH(BZ13,bhpc_data[sku],0))*INDEX(bhpc_data[width],MATCH(BZ13,bhpc_data[sku],0))*INDEX(bhpc_data[height],MATCH(BZ13,bhpc_data[sku],0))/1000000000,"")</f>
        <v>0.59099791666666668</v>
      </c>
      <c r="CM13" s="486" t="str">
        <f>IFERROR(INDEX(bhpc_data[category],MATCH(BZ13,bhpc_data[sku],0)),"")</f>
        <v>PRESTIGE</v>
      </c>
      <c r="CN13" s="486">
        <f>IFERROR(INDEX(bhpc_data[size1],MATCH(BZ13,bhpc_data[sku],0)),"")</f>
        <v>100</v>
      </c>
      <c r="CO13" s="487" t="str">
        <f>IFERROR(INDEX(bhpc_data[hs_code],MATCH(BZ13,bhpc_data[sku],0)),"")</f>
        <v>33030010</v>
      </c>
      <c r="CP13" s="482">
        <v>11.68</v>
      </c>
      <c r="CQ13" s="488" t="str">
        <f>IFERROR(IF(BZ13="","",IF($BX$15="SALE",INDEX(inventory[COSTO UNITARIO],MATCH(BZ13,inventory[ARTICOLO],0)),IF($BX$15="SAMPLING",INDEX(inventory[COSTO UNITARIO],MATCH(BZ13,inventory[ARTICOLO],0)),""))),"")</f>
        <v/>
      </c>
      <c r="CR13" s="488" t="str">
        <f t="shared" si="0"/>
        <v/>
      </c>
      <c r="CS13" s="489">
        <f t="shared" si="1"/>
        <v>10461.6</v>
      </c>
      <c r="CT13" s="573" t="e">
        <f t="shared" si="2"/>
        <v>#N/A</v>
      </c>
      <c r="CV13" s="85"/>
      <c r="CW13" s="89" t="s">
        <v>937</v>
      </c>
      <c r="CX13" s="230">
        <f>COUNTA($CF$10:$CF$110)</f>
        <v>8</v>
      </c>
      <c r="CY13" s="89"/>
      <c r="CZ13" s="81"/>
      <c r="DA13" s="82"/>
      <c r="DH13" s="245"/>
      <c r="EC13" s="372"/>
      <c r="EE13" s="541" t="str" cm="1">
        <f t="array" ref="EE13">IFERROR(IF($EC$9="",IF($EC$11="",IF($EC$13="",INDEX(bhpc_data[sku],SMALL(MATCH(ROW(bhpc_data[sku]),ROW(bhpc_data[sku])),ROWS($A$15:A18)+$B$3)),INDEX(bhpc_data[sku],SMALL(IF(ISNUMBER(MATCH(bhpc_data[size1],$EC$13,0)),MATCH(ROW(bhpc_data[sku]),ROW(bhpc_data[sku])),""),ROWS($A$15:A18)+$B$3))),IF($EC$13="",INDEX(bhpc_data[sku],SMALL(IF(ISNUMBER(MATCH(bhpc_data[sex],$EC$11,0)),MATCH(ROW(bhpc_data[sku]),ROW(bhpc_data[sku])),""),ROWS($A$15:A18)+$B$3)),INDEX(bhpc_data[sku],SMALL(IF(ISNUMBER(MATCH(bhpc_data[sex],$EC$11,0)*MATCH(bhpc_data[size1],$EC$13,0)),MATCH(ROW(bhpc_data[sku]),ROW(bhpc_data[sku])),""),ROWS($A$15:A18)+$B$3)))),IF($EC$11="",IF($EC$13="",INDEX(bhpc_data[sku],SMALL(IF(ISNUMBER(MATCH(bhpc_data[category],$EC$9,0)),MATCH(ROW(bhpc_data[sku]),ROW(bhpc_data[sku])),""),ROWS($A$15:A18)+$B$3)),INDEX(bhpc_data[sku],SMALL(IF(ISNUMBER(MATCH(bhpc_data[category],$EC$9,0)*MATCH(bhpc_data[size1],$EC$13,0)),MATCH(ROW(bhpc_data[sku]),ROW(bhpc_data[sku])),""),ROWS($A$15:A18)+$B$3))),IF($EC$13="",INDEX(bhpc_data[sku],SMALL(IF(ISNUMBER(MATCH(bhpc_data[category],$EC$9,0)*MATCH(bhpc_data[sex],$EC$11,0)),MATCH(ROW(bhpc_data[sku]),ROW(bhpc_data[sku])),""),ROWS($A$15:A18)+$B$3)),INDEX(bhpc_data[sku],SMALL(IF(ISNUMBER(MATCH(bhpc_data[category],$EC$9,0)*MATCH(bhpc_data[sex],$EC$11,0)*MATCH(bhpc_data[size1],$EC$13,0)),MATCH(ROW(bhpc_data[sku]),ROW(bhpc_data[sku])),""),ROWS($A$15:A18)+$B$3))))),"")</f>
        <v>GS5007</v>
      </c>
      <c r="EF13" s="542" t="str" cm="1">
        <f t="array" ref="EF13">IFERROR(IF($EC$9="",IF($EC$11="",IF($EC$13="",INDEX(bhpc_data[description],SMALL(MATCH(ROW(bhpc_data[sku]),ROW(bhpc_data[sku])),ROWS($A$15:A18)+$B$3)),INDEX(bhpc_data[description],SMALL(IF(ISNUMBER(MATCH(bhpc_data[size1],$EC$13,0)),MATCH(ROW(bhpc_data[sku]),ROW(bhpc_data[sku])),""),ROWS($A$15:A18)+$B$3))),IF($EC$13="",INDEX(bhpc_data[description],SMALL(IF(ISNUMBER(MATCH(bhpc_data[sex],$EC$11,0)),MATCH(ROW(bhpc_data[sku]),ROW(bhpc_data[sku])),""),ROWS($A$15:A18)+$B$3)),INDEX(bhpc_data[description],SMALL(IF(ISNUMBER(MATCH(bhpc_data[sex],$EC$11,0)*MATCH(bhpc_data[size1],$EC$13,0)),MATCH(ROW(bhpc_data[sku]),ROW(bhpc_data[sku])),""),ROWS($A$15:A18)+$B$3)))),IF($EC$11="",IF($EC$13="",INDEX(bhpc_data[description],SMALL(IF(ISNUMBER(MATCH(bhpc_data[category],$EC$9,0)),MATCH(ROW(bhpc_data[sku]),ROW(bhpc_data[sku])),""),ROWS($A$15:A18)+$B$3)),INDEX(bhpc_data[description],SMALL(IF(ISNUMBER(MATCH(bhpc_data[category],$EC$9,0)*MATCH(bhpc_data[size1],$EC$13,0)),MATCH(ROW(bhpc_data[sku]),ROW(bhpc_data[sku])),""),ROWS($A$15:A18)+$B$3))),IF($EC$13="",INDEX(bhpc_data[description],SMALL(IF(ISNUMBER(MATCH(bhpc_data[category],$EC$9,0)*MATCH(bhpc_data[sex],$EC$11,0)),MATCH(ROW(bhpc_data[sku]),ROW(bhpc_data[sku])),""),ROWS($A$15:A18)+$B$3)),INDEX(bhpc_data[description],SMALL(IF(ISNUMBER(MATCH(bhpc_data[category],$EC$9,0)*MATCH(bhpc_data[sex],$EC$11,0)*MATCH(bhpc_data[size1],$EC$13,0)),MATCH(ROW(bhpc_data[sku]),ROW(bhpc_data[sku])),""),ROWS($A$15:A18)+$B$3))))),"")</f>
        <v>BHPC GIFT SET SPORT MEN 2 EDT 100ML + DEO 175ML</v>
      </c>
      <c r="EG13" s="543">
        <f>IFERROR(IF('BHPC MANAGER'!$EE13="","",INDEX(inventory[ESISTENZA],MATCH('BHPC MANAGER'!$EE13,inventory[ARTICOLO],0))),0)</f>
        <v>0</v>
      </c>
      <c r="EH13" s="544">
        <v>-56</v>
      </c>
      <c r="EI13" s="544">
        <f t="shared" si="3"/>
        <v>-56</v>
      </c>
      <c r="EJ13" s="545">
        <v>-200</v>
      </c>
      <c r="EK13" s="546">
        <f t="shared" si="4"/>
        <v>-256</v>
      </c>
      <c r="FF13" s="331"/>
      <c r="FG13" s="331"/>
      <c r="FH13" s="331"/>
      <c r="FI13" s="331"/>
      <c r="FJ13" s="331"/>
      <c r="FK13" s="331"/>
      <c r="FL13" s="331"/>
      <c r="FM13" s="331"/>
      <c r="FN13" s="331"/>
      <c r="FO13" s="331"/>
      <c r="FP13" s="331"/>
      <c r="FQ13" s="331"/>
      <c r="FR13" s="331"/>
      <c r="FS13" s="331"/>
      <c r="FT13" s="331"/>
      <c r="FU13" s="331"/>
      <c r="FV13" s="331"/>
      <c r="FW13" s="331"/>
      <c r="FX13" s="331"/>
      <c r="FY13" s="331"/>
      <c r="FZ13" s="331"/>
      <c r="GA13" s="331"/>
      <c r="GB13" s="331"/>
      <c r="GC13" s="331"/>
      <c r="GD13" s="331"/>
      <c r="GE13" s="331"/>
      <c r="GF13" s="331"/>
      <c r="GG13" s="331"/>
      <c r="GH13" s="331"/>
      <c r="GI13" s="331"/>
      <c r="GJ13" s="331"/>
      <c r="GK13" s="331"/>
      <c r="GL13" s="331"/>
      <c r="GM13" s="331"/>
      <c r="GN13" s="331"/>
      <c r="GO13" s="331"/>
      <c r="GP13" s="331"/>
      <c r="GQ13" s="331"/>
      <c r="GR13" s="331"/>
      <c r="GS13" s="331"/>
      <c r="GT13" s="331"/>
      <c r="GU13" s="331"/>
      <c r="GV13" s="331"/>
      <c r="GW13" s="331"/>
      <c r="GX13" s="331"/>
      <c r="GY13" s="331"/>
      <c r="GZ13" s="331"/>
      <c r="HA13" s="331"/>
      <c r="HB13" s="331"/>
      <c r="HC13" s="331"/>
      <c r="HD13" s="331"/>
      <c r="HE13" s="331"/>
      <c r="HF13" s="331"/>
      <c r="HG13" s="331"/>
      <c r="HH13" s="331"/>
      <c r="HI13" s="331"/>
      <c r="HJ13" s="331"/>
      <c r="HK13" s="331"/>
      <c r="HL13" s="331"/>
      <c r="HM13" s="331"/>
      <c r="HN13" s="331"/>
      <c r="HO13" s="331"/>
      <c r="HP13" s="331"/>
      <c r="HQ13" s="331"/>
      <c r="HR13" s="331"/>
      <c r="HS13" s="331"/>
      <c r="HT13" s="331"/>
    </row>
    <row r="14" spans="1:702" ht="15" customHeight="1" x14ac:dyDescent="0.35">
      <c r="B14" s="150"/>
      <c r="D14" s="333" t="s">
        <v>978</v>
      </c>
      <c r="F14" s="92"/>
      <c r="G14" s="835" t="str">
        <f>IFERROR(INDEX(clientData[payment_account],MATCH($B$6,clientData[cod_cliente],0)),"")</f>
        <v/>
      </c>
      <c r="H14" s="836"/>
      <c r="I14" s="837"/>
      <c r="J14" s="82"/>
      <c r="L14" s="452" t="str">
        <f t="array" ref="L14">IFERROR(IF($D$9="",IF($D$11="",IF($D$13="",IF($D$15="",INDEX(orderHistory[customer],SMALL(MATCH(ROW(orderHistory[customer]),ROW(orderHistory[customer])),ROWS($A$15:A19)+$B$3)),INDEX(orderHistory[customer],SMALL(IF(ISNUMBER(MATCH(YEAR(orderHistory[invoice_date]),$D$15,0)),MATCH(ROW(orderHistory[customer]),ROW(orderHistory[customer])),""),ROWS($A$15:A19)+$B$3))),IF($D$15="",INDEX(orderHistory[customer],SMALL(IF(ISNUMBER(MATCH(orderHistory[order_type],$D$13,0)),MATCH(ROW(orderHistory[customer]),ROW(orderHistory[customer])),""),ROWS($A$15:A19)+$B$3)),INDEX(orderHistory[customer],SMALL(IF(ISNUMBER(MATCH(orderHistory[order_type],$D$13,0)*MATCH(YEAR(orderHistory[invoice_date]),$D$15,0)),MATCH(ROW(orderHistory[customer]),ROW(orderHistory[customer])),""),ROWS($A$15:A19)+$B$3)))),IF($D$13="",IF($D$15="",INDEX(orderHistory[customer],SMALL(IF(ISNUMBER(MATCH(orderHistory[status],$D$11,0)),MATCH(ROW(orderHistory[customer]),ROW(orderHistory[customer])),""),ROWS($A$15:A19)+$B$3)),INDEX(orderHistory[customer],SMALL(IF(ISNUMBER(MATCH(orderHistory[status],$D$11,0)*MATCH(YEAR(orderHistory[invoice_date]),$D$15,0)),MATCH(ROW(orderHistory[customer]),ROW(orderHistory[customer])),""),ROWS($A$15:A19)+$B$3))),IF($D$15="",INDEX(orderHistory[customer],SMALL(IF(ISNUMBER(MATCH(orderHistory[status],$D$11,0)*MATCH(orderHistory[order_type],$D$13,0)),MATCH(ROW(orderHistory[customer]),ROW(orderHistory[customer])),""),ROWS($A$15:A19)+$B$3)),INDEX(orderHistory[customer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customer],SMALL(IF(ISNUMBER(MATCH(orderHistory[customer],$D$9,0)),MATCH(ROW(orderHistory[customer]),ROW(orderHistory[customer])),""),ROWS($A$15:A19)+$B$3)),INDEX(orderHistory[customer],SMALL(IF(ISNUMBER(MATCH(orderHistory[customer],$D$9,0)*MATCH(YEAR(orderHistory[invoice_date]),$D$15,0)),MATCH(ROW(orderHistory[customer]),ROW(orderHistory[customer])),""),ROWS($A$15:A19)+$B$3))),IF($D$15="",INDEX(orderHistory[customer],SMALL(IF(ISNUMBER(MATCH(orderHistory[customer],$D$9,0)*MATCH(orderHistory[order_type],$D$13,0)),MATCH(ROW(orderHistory[customer]),ROW(orderHistory[customer])),""),ROWS($A$15:A19)+$B$3)),INDEX(orderHistory[customer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YEAR(orderHistory[invoice_date]),$D$15,0)),MATCH(ROW(orderHistory[customer]),ROW(orderHistory[customer])),""),ROWS($A$15:A19)+$B$3))),IF($D$15="",INDEX(orderHistory[customer],SMALL(IF(ISNUMBER(MATCH(orderHistory[customer],$D$9,0)*MATCH(orderHistory[status],$D$11,0)*MATCH(orderHistory[order_type],$D$13,0)),MATCH(ROW(orderHistory[customer]),ROW(orderHistory[customer])),""),ROWS($A$15:A19)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M14" s="453" t="str">
        <f t="array" ref="M14">IFERROR(IF($D$9="",IF($D$11="",IF($D$13="",IF($D$15="",INDEX(orderHistory[order_no],SMALL(MATCH(ROW(orderHistory[customer]),ROW(orderHistory[customer])),ROWS($A$15:A19)+$B$3)),INDEX(orderHistory[order_no],SMALL(IF(ISNUMBER(MATCH(YEAR(orderHistory[invoice_date]),$D$15,0)),MATCH(ROW(orderHistory[customer]),ROW(orderHistory[customer])),""),ROWS($A$15:A19)+$B$3))),IF($D$15="",INDEX(orderHistory[order_no],SMALL(IF(ISNUMBER(MATCH(orderHistory[order_type],$D$13,0)),MATCH(ROW(orderHistory[customer]),ROW(orderHistory[customer])),""),ROWS($A$15:A19)+$B$3)),INDEX(orderHistory[order_no],SMALL(IF(ISNUMBER(MATCH(orderHistory[order_type],$D$13,0)*MATCH(YEAR(orderHistory[invoice_date]),$D$15,0)),MATCH(ROW(orderHistory[customer]),ROW(orderHistory[customer])),""),ROWS($A$15:A19)+$B$3)))),IF($D$13="",IF($D$15="",INDEX(orderHistory[order_no],SMALL(IF(ISNUMBER(MATCH(orderHistory[status],$D$11,0)),MATCH(ROW(orderHistory[customer]),ROW(orderHistory[customer])),""),ROWS($A$15:A19)+$B$3)),INDEX(orderHistory[order_no],SMALL(IF(ISNUMBER(MATCH(orderHistory[status],$D$11,0)*MATCH(YEAR(orderHistory[invoice_date]),$D$15,0)),MATCH(ROW(orderHistory[customer]),ROW(orderHistory[customer])),""),ROWS($A$15:A19)+$B$3))),IF($D$15="",INDEX(orderHistory[order_no],SMALL(IF(ISNUMBER(MATCH(orderHistory[status],$D$11,0)*MATCH(orderHistory[order_type],$D$13,0)),MATCH(ROW(orderHistory[customer]),ROW(orderHistory[customer])),""),ROWS($A$15:A19)+$B$3)),INDEX(orderHistory[order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no],SMALL(IF(ISNUMBER(MATCH(orderHistory[customer],$D$9,0)),MATCH(ROW(orderHistory[customer]),ROW(orderHistory[customer])),""),ROWS($A$15:A19)+$B$3)),INDEX(orderHistory[order_no],SMALL(IF(ISNUMBER(MATCH(orderHistory[customer],$D$9,0)*MATCH(YEAR(orderHistory[invoice_date]),$D$15,0)),MATCH(ROW(orderHistory[customer]),ROW(orderHistory[customer])),""),ROWS($A$15:A19)+$B$3))),IF($D$15="",INDEX(orderHistory[order_no],SMALL(IF(ISNUMBER(MATCH(orderHistory[customer],$D$9,0)*MATCH(orderHistory[order_type],$D$13,0)),MATCH(ROW(orderHistory[customer]),ROW(orderHistory[customer])),""),ROWS($A$15:A19)+$B$3)),INDEX(orderHistory[order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YEAR(orderHistory[invoice_date]),$D$15,0)),MATCH(ROW(orderHistory[customer]),ROW(orderHistory[customer])),""),ROWS($A$15:A19)+$B$3))),IF($D$15="",INDEX(orderHistory[order_no],SMALL(IF(ISNUMBER(MATCH(orderHistory[customer],$D$9,0)*MATCH(orderHistory[status],$D$11,0)*MATCH(orderHistory[order_type],$D$13,0)),MATCH(ROW(orderHistory[customer]),ROW(orderHistory[customer])),""),ROWS($A$15:A19)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N14" s="454" t="str">
        <f t="array" ref="N14">IFERROR(IF($D$9="",IF($D$11="",IF($D$13="",IF($D$15="",INDEX(orderHistory[order_type],SMALL(MATCH(ROW(orderHistory[customer]),ROW(orderHistory[customer])),ROWS($A$15:A19)+$B$3)),INDEX(orderHistory[order_type],SMALL(IF(ISNUMBER(MATCH(YEAR(orderHistory[invoice_date]),$D$15,0)),MATCH(ROW(orderHistory[customer]),ROW(orderHistory[customer])),""),ROWS($A$15:A19)+$B$3))),IF($D$15="",INDEX(orderHistory[order_type],SMALL(IF(ISNUMBER(MATCH(orderHistory[order_type],$D$13,0)),MATCH(ROW(orderHistory[customer]),ROW(orderHistory[customer])),""),ROWS($A$15:A19)+$B$3)),INDEX(orderHistory[order_type],SMALL(IF(ISNUMBER(MATCH(orderHistory[order_type],$D$13,0)*MATCH(YEAR(orderHistory[invoice_date]),$D$15,0)),MATCH(ROW(orderHistory[customer]),ROW(orderHistory[customer])),""),ROWS($A$15:A19)+$B$3)))),IF($D$13="",IF($D$15="",INDEX(orderHistory[order_type],SMALL(IF(ISNUMBER(MATCH(orderHistory[status],$D$11,0)),MATCH(ROW(orderHistory[customer]),ROW(orderHistory[customer])),""),ROWS($A$15:A19)+$B$3)),INDEX(orderHistory[order_type],SMALL(IF(ISNUMBER(MATCH(orderHistory[status],$D$11,0)*MATCH(YEAR(orderHistory[invoice_date]),$D$15,0)),MATCH(ROW(orderHistory[customer]),ROW(orderHistory[customer])),""),ROWS($A$15:A19)+$B$3))),IF($D$15="",INDEX(orderHistory[order_type],SMALL(IF(ISNUMBER(MATCH(orderHistory[status],$D$11,0)*MATCH(orderHistory[order_type],$D$13,0)),MATCH(ROW(orderHistory[customer]),ROW(orderHistory[customer])),""),ROWS($A$15:A19)+$B$3)),INDEX(orderHistory[order_typ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type],SMALL(IF(ISNUMBER(MATCH(orderHistory[customer],$D$9,0)),MATCH(ROW(orderHistory[customer]),ROW(orderHistory[customer])),""),ROWS($A$15:A19)+$B$3)),INDEX(orderHistory[order_type],SMALL(IF(ISNUMBER(MATCH(orderHistory[customer],$D$9,0)*MATCH(YEAR(orderHistory[invoice_date]),$D$15,0)),MATCH(ROW(orderHistory[customer]),ROW(orderHistory[customer])),""),ROWS($A$15:A19)+$B$3))),IF($D$15="",INDEX(orderHistory[order_type],SMALL(IF(ISNUMBER(MATCH(orderHistory[customer],$D$9,0)*MATCH(orderHistory[order_type],$D$13,0)),MATCH(ROW(orderHistory[customer]),ROW(orderHistory[customer])),""),ROWS($A$15:A19)+$B$3)),INDEX(orderHistory[order_typ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YEAR(orderHistory[invoice_date]),$D$15,0)),MATCH(ROW(orderHistory[customer]),ROW(orderHistory[customer])),""),ROWS($A$15:A19)+$B$3))),IF($D$15="",INDEX(orderHistory[order_type],SMALL(IF(ISNUMBER(MATCH(orderHistory[customer],$D$9,0)*MATCH(orderHistory[status],$D$11,0)*MATCH(orderHistory[order_type],$D$13,0)),MATCH(ROW(orderHistory[customer]),ROW(orderHistory[customer])),""),ROWS($A$15:A19)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O14" s="455" t="str">
        <f t="array" ref="O14">IFERROR(IF($D$9="",IF($D$11="",IF($D$13="",IF($D$15="",INDEX(orderHistory[order_date],SMALL(MATCH(ROW(orderHistory[customer]),ROW(orderHistory[customer])),ROWS($A$15:A19)+$B$3)),INDEX(orderHistory[order_date],SMALL(IF(ISNUMBER(MATCH(YEAR(orderHistory[invoice_date]),$D$15,0)),MATCH(ROW(orderHistory[customer]),ROW(orderHistory[customer])),""),ROWS($A$15:A19)+$B$3))),IF($D$15="",INDEX(orderHistory[order_date],SMALL(IF(ISNUMBER(MATCH(orderHistory[order_type],$D$13,0)),MATCH(ROW(orderHistory[customer]),ROW(orderHistory[customer])),""),ROWS($A$15:A19)+$B$3)),INDEX(orderHistory[order_date],SMALL(IF(ISNUMBER(MATCH(orderHistory[order_type],$D$13,0)*MATCH(YEAR(orderHistory[invoice_date]),$D$15,0)),MATCH(ROW(orderHistory[customer]),ROW(orderHistory[customer])),""),ROWS($A$15:A19)+$B$3)))),IF($D$13="",IF($D$15="",INDEX(orderHistory[order_date],SMALL(IF(ISNUMBER(MATCH(orderHistory[status],$D$11,0)),MATCH(ROW(orderHistory[customer]),ROW(orderHistory[customer])),""),ROWS($A$15:A19)+$B$3)),INDEX(orderHistory[order_date],SMALL(IF(ISNUMBER(MATCH(orderHistory[status],$D$11,0)*MATCH(YEAR(orderHistory[invoice_date]),$D$15,0)),MATCH(ROW(orderHistory[customer]),ROW(orderHistory[customer])),""),ROWS($A$15:A19)+$B$3))),IF($D$15="",INDEX(orderHistory[order_date],SMALL(IF(ISNUMBER(MATCH(orderHistory[status],$D$11,0)*MATCH(orderHistory[order_type],$D$13,0)),MATCH(ROW(orderHistory[customer]),ROW(orderHistory[customer])),""),ROWS($A$15:A19)+$B$3)),INDEX(orderHistory[order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date],SMALL(IF(ISNUMBER(MATCH(orderHistory[customer],$D$9,0)),MATCH(ROW(orderHistory[customer]),ROW(orderHistory[customer])),""),ROWS($A$15:A19)+$B$3)),INDEX(orderHistory[order_date],SMALL(IF(ISNUMBER(MATCH(orderHistory[customer],$D$9,0)*MATCH(YEAR(orderHistory[invoice_date]),$D$15,0)),MATCH(ROW(orderHistory[customer]),ROW(orderHistory[customer])),""),ROWS($A$15:A19)+$B$3))),IF($D$15="",INDEX(orderHistory[order_date],SMALL(IF(ISNUMBER(MATCH(orderHistory[customer],$D$9,0)*MATCH(orderHistory[order_type],$D$13,0)),MATCH(ROW(orderHistory[customer]),ROW(orderHistory[customer])),""),ROWS($A$15:A19)+$B$3)),INDEX(orderHistory[order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YEAR(orderHistory[invoice_date]),$D$15,0)),MATCH(ROW(orderHistory[customer]),ROW(orderHistory[customer])),""),ROWS($A$15:A19)+$B$3))),IF($D$15="",INDEX(orderHistory[order_date],SMALL(IF(ISNUMBER(MATCH(orderHistory[customer],$D$9,0)*MATCH(orderHistory[status],$D$11,0)*MATCH(orderHistory[order_type],$D$13,0)),MATCH(ROW(orderHistory[customer]),ROW(orderHistory[customer])),""),ROWS($A$15:A19)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P14" s="456" t="str">
        <f t="array" ref="P14">IFERROR(IF($D$9="",IF($D$11="",IF($D$13="",IF($D$15="",INDEX(orderHistory[invoice_no],SMALL(MATCH(ROW(orderHistory[customer]),ROW(orderHistory[customer])),ROWS($A$15:A19)+$B$3)),INDEX(orderHistory[invoice_no],SMALL(IF(ISNUMBER(MATCH(YEAR(orderHistory[invoice_date]),$D$15,0)),MATCH(ROW(orderHistory[customer]),ROW(orderHistory[customer])),""),ROWS($A$15:A19)+$B$3))),IF($D$15="",INDEX(orderHistory[invoice_no],SMALL(IF(ISNUMBER(MATCH(orderHistory[order_type],$D$13,0)),MATCH(ROW(orderHistory[customer]),ROW(orderHistory[customer])),""),ROWS($A$15:A19)+$B$3)),INDEX(orderHistory[invoice_no],SMALL(IF(ISNUMBER(MATCH(orderHistory[order_type],$D$13,0)*MATCH(YEAR(orderHistory[invoice_date]),$D$15,0)),MATCH(ROW(orderHistory[customer]),ROW(orderHistory[customer])),""),ROWS($A$15:A19)+$B$3)))),IF($D$13="",IF($D$15="",INDEX(orderHistory[invoice_no],SMALL(IF(ISNUMBER(MATCH(orderHistory[status],$D$11,0)),MATCH(ROW(orderHistory[customer]),ROW(orderHistory[customer])),""),ROWS($A$15:A19)+$B$3)),INDEX(orderHistory[invoice_no],SMALL(IF(ISNUMBER(MATCH(orderHistory[status],$D$11,0)*MATCH(YEAR(orderHistory[invoice_date]),$D$15,0)),MATCH(ROW(orderHistory[customer]),ROW(orderHistory[customer])),""),ROWS($A$15:A19)+$B$3))),IF($D$15="",INDEX(orderHistory[invoice_no],SMALL(IF(ISNUMBER(MATCH(orderHistory[status],$D$11,0)*MATCH(orderHistory[order_type],$D$13,0)),MATCH(ROW(orderHistory[customer]),ROW(orderHistory[customer])),""),ROWS($A$15:A19)+$B$3)),INDEX(orderHistory[invoice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no],SMALL(IF(ISNUMBER(MATCH(orderHistory[customer],$D$9,0)),MATCH(ROW(orderHistory[customer]),ROW(orderHistory[customer])),""),ROWS($A$15:A19)+$B$3)),INDEX(orderHistory[invoice_no],SMALL(IF(ISNUMBER(MATCH(orderHistory[customer],$D$9,0)*MATCH(YEAR(orderHistory[invoice_date]),$D$15,0)),MATCH(ROW(orderHistory[customer]),ROW(orderHistory[customer])),""),ROWS($A$15:A19)+$B$3))),IF($D$15="",INDEX(orderHistory[invoice_no],SMALL(IF(ISNUMBER(MATCH(orderHistory[customer],$D$9,0)*MATCH(orderHistory[order_type],$D$13,0)),MATCH(ROW(orderHistory[customer]),ROW(orderHistory[customer])),""),ROWS($A$15:A19)+$B$3)),INDEX(orderHistory[invoice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YEAR(orderHistory[invoice_date]),$D$15,0)),MATCH(ROW(orderHistory[customer]),ROW(orderHistory[customer])),""),ROWS($A$15:A19)+$B$3))),IF($D$15="",INDEX(orderHistory[invoice_no],SMALL(IF(ISNUMBER(MATCH(orderHistory[customer],$D$9,0)*MATCH(orderHistory[status],$D$11,0)*MATCH(orderHistory[order_type],$D$13,0)),MATCH(ROW(orderHistory[customer]),ROW(orderHistory[customer])),""),ROWS($A$15:A19)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Q14" s="457" t="str">
        <f t="array" ref="Q14">IFERROR(IF($D$9="",IF($D$11="",IF($D$13="",IF($D$15="",INDEX(orderHistory[invoice_date],SMALL(MATCH(ROW(orderHistory[customer]),ROW(orderHistory[customer])),ROWS($A$15:A19)+$B$3)),INDEX(orderHistory[invoice_date],SMALL(IF(ISNUMBER(MATCH(YEAR(orderHistory[invoice_date]),$D$15,0)),MATCH(ROW(orderHistory[customer]),ROW(orderHistory[customer])),""),ROWS($A$15:A19)+$B$3))),IF($D$15="",INDEX(orderHistory[invoice_date],SMALL(IF(ISNUMBER(MATCH(orderHistory[order_type],$D$13,0)),MATCH(ROW(orderHistory[customer]),ROW(orderHistory[customer])),""),ROWS($A$15:A19)+$B$3)),INDEX(orderHistory[invoice_date],SMALL(IF(ISNUMBER(MATCH(orderHistory[order_type],$D$13,0)*MATCH(YEAR(orderHistory[invoice_date]),$D$15,0)),MATCH(ROW(orderHistory[customer]),ROW(orderHistory[customer])),""),ROWS($A$15:A19)+$B$3)))),IF($D$13="",IF($D$15="",INDEX(orderHistory[invoice_date],SMALL(IF(ISNUMBER(MATCH(orderHistory[status],$D$11,0)),MATCH(ROW(orderHistory[customer]),ROW(orderHistory[customer])),""),ROWS($A$15:A19)+$B$3)),INDEX(orderHistory[invoice_date],SMALL(IF(ISNUMBER(MATCH(orderHistory[status],$D$11,0)*MATCH(YEAR(orderHistory[invoice_date]),$D$15,0)),MATCH(ROW(orderHistory[customer]),ROW(orderHistory[customer])),""),ROWS($A$15:A19)+$B$3))),IF($D$15="",INDEX(orderHistory[invoice_date],SMALL(IF(ISNUMBER(MATCH(orderHistory[status],$D$11,0)*MATCH(orderHistory[order_type],$D$13,0)),MATCH(ROW(orderHistory[customer]),ROW(orderHistory[customer])),""),ROWS($A$15:A19)+$B$3)),INDEX(orderHistory[invoice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date],SMALL(IF(ISNUMBER(MATCH(orderHistory[customer],$D$9,0)),MATCH(ROW(orderHistory[customer]),ROW(orderHistory[customer])),""),ROWS($A$15:A19)+$B$3)),INDEX(orderHistory[invoice_date],SMALL(IF(ISNUMBER(MATCH(orderHistory[customer],$D$9,0)*MATCH(YEAR(orderHistory[invoice_date]),$D$15,0)),MATCH(ROW(orderHistory[customer]),ROW(orderHistory[customer])),""),ROWS($A$15:A19)+$B$3))),IF($D$15="",INDEX(orderHistory[invoice_date],SMALL(IF(ISNUMBER(MATCH(orderHistory[customer],$D$9,0)*MATCH(orderHistory[order_type],$D$13,0)),MATCH(ROW(orderHistory[customer]),ROW(orderHistory[customer])),""),ROWS($A$15:A19)+$B$3)),INDEX(orderHistory[invoice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YEAR(orderHistory[invoice_date]),$D$15,0)),MATCH(ROW(orderHistory[customer]),ROW(orderHistory[customer])),""),ROWS($A$15:A19)+$B$3))),IF($D$15="",INDEX(orderHistory[invoice_date],SMALL(IF(ISNUMBER(MATCH(orderHistory[customer],$D$9,0)*MATCH(orderHistory[status],$D$11,0)*MATCH(orderHistory[order_type],$D$13,0)),MATCH(ROW(orderHistory[customer]),ROW(orderHistory[customer])),""),ROWS($A$15:A19)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R14" s="458" t="str">
        <f t="array" ref="R14">IFERROR(IF($D$9="",IF($D$11="",IF($D$13="",IF($D$15="",INDEX(orderHistory[inv_amount],SMALL(MATCH(ROW(orderHistory[customer]),ROW(orderHistory[customer])),ROWS($A$15:A19)+$B$3)),INDEX(orderHistory[inv_amount],SMALL(IF(ISNUMBER(MATCH(YEAR(orderHistory[invoice_date]),$D$15,0)),MATCH(ROW(orderHistory[customer]),ROW(orderHistory[customer])),""),ROWS($A$15:A19)+$B$3))),IF($D$15="",INDEX(orderHistory[inv_amount],SMALL(IF(ISNUMBER(MATCH(orderHistory[order_type],$D$13,0)),MATCH(ROW(orderHistory[customer]),ROW(orderHistory[customer])),""),ROWS($A$15:A19)+$B$3)),INDEX(orderHistory[inv_amount],SMALL(IF(ISNUMBER(MATCH(orderHistory[order_type],$D$13,0)*MATCH(YEAR(orderHistory[invoice_date]),$D$15,0)),MATCH(ROW(orderHistory[customer]),ROW(orderHistory[customer])),""),ROWS($A$15:A19)+$B$3)))),IF($D$13="",IF($D$15="",INDEX(orderHistory[inv_amount],SMALL(IF(ISNUMBER(MATCH(orderHistory[status],$D$11,0)),MATCH(ROW(orderHistory[customer]),ROW(orderHistory[customer])),""),ROWS($A$15:A19)+$B$3)),INDEX(orderHistory[inv_amount],SMALL(IF(ISNUMBER(MATCH(orderHistory[status],$D$11,0)*MATCH(YEAR(orderHistory[invoice_date]),$D$15,0)),MATCH(ROW(orderHistory[customer]),ROW(orderHistory[customer])),""),ROWS($A$15:A19)+$B$3))),IF($D$15="",INDEX(orderHistory[inv_amount],SMALL(IF(ISNUMBER(MATCH(orderHistory[status],$D$11,0)*MATCH(orderHistory[order_type],$D$13,0)),MATCH(ROW(orderHistory[customer]),ROW(orderHistory[customer])),""),ROWS($A$15:A19)+$B$3)),INDEX(orderHistory[inv_amount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_amount],SMALL(IF(ISNUMBER(MATCH(orderHistory[customer],$D$9,0)),MATCH(ROW(orderHistory[customer]),ROW(orderHistory[customer])),""),ROWS($A$15:A19)+$B$3)),INDEX(orderHistory[inv_amount],SMALL(IF(ISNUMBER(MATCH(orderHistory[customer],$D$9,0)*MATCH(YEAR(orderHistory[invoice_date]),$D$15,0)),MATCH(ROW(orderHistory[customer]),ROW(orderHistory[customer])),""),ROWS($A$15:A19)+$B$3))),IF($D$15="",INDEX(orderHistory[inv_amount],SMALL(IF(ISNUMBER(MATCH(orderHistory[customer],$D$9,0)*MATCH(orderHistory[order_type],$D$13,0)),MATCH(ROW(orderHistory[customer]),ROW(orderHistory[customer])),""),ROWS($A$15:A19)+$B$3)),INDEX(orderHistory[inv_amount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YEAR(orderHistory[inv_amount]),$D$15,0)),MATCH(ROW(orderHistory[customer]),ROW(orderHistory[customer])),""),ROWS($A$15:A19)+$B$3))),IF($D$15="",INDEX(orderHistory[inv_amount],SMALL(IF(ISNUMBER(MATCH(orderHistory[customer],$D$9,0)*MATCH(orderHistory[status],$D$11,0)*MATCH(orderHistory[order_type],$D$13,0)),MATCH(ROW(orderHistory[customer]),ROW(orderHistory[customer])),""),ROWS($A$15:A19)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S14" s="569" t="str">
        <f t="array" ref="S14">IFERROR(IF($D$9="",IF($D$11="",IF($D$13="",IF($D$15="",INDEX(orderHistory[lock_goods],SMALL(MATCH(ROW(orderHistory[customer]),ROW(orderHistory[customer])),ROWS($A$15:A19)+$B$3)),INDEX(orderHistory[lock_goods],SMALL(IF(ISNUMBER(MATCH(YEAR(orderHistory[invoice_date]),$D$15,0)),MATCH(ROW(orderHistory[customer]),ROW(orderHistory[customer])),""),ROWS($A$15:A19)+$B$3))),IF($D$15="",INDEX(orderHistory[lock_goods],SMALL(IF(ISNUMBER(MATCH(orderHistory[order_type],$D$13,0)),MATCH(ROW(orderHistory[customer]),ROW(orderHistory[customer])),""),ROWS($A$15:A19)+$B$3)),INDEX(orderHistory[lock_goods],SMALL(IF(ISNUMBER(MATCH(orderHistory[order_type],$D$13,0)*MATCH(YEAR(orderHistory[invoice_date]),$D$15,0)),MATCH(ROW(orderHistory[customer]),ROW(orderHistory[customer])),""),ROWS($A$15:A19)+$B$3)))),IF($D$13="",IF($D$15="",INDEX(orderHistory[lock_goods],SMALL(IF(ISNUMBER(MATCH(orderHistory[status],$D$11,0)),MATCH(ROW(orderHistory[customer]),ROW(orderHistory[customer])),""),ROWS($A$15:A19)+$B$3)),INDEX(orderHistory[lock_goods],SMALL(IF(ISNUMBER(MATCH(orderHistory[status],$D$11,0)*MATCH(YEAR(orderHistory[invoice_date]),$D$15,0)),MATCH(ROW(orderHistory[customer]),ROW(orderHistory[customer])),""),ROWS($A$15:A19)+$B$3))),IF($D$15="",INDEX(orderHistory[lock_goods],SMALL(IF(ISNUMBER(MATCH(orderHistory[status],$D$11,0)*MATCH(orderHistory[order_type],$D$13,0)),MATCH(ROW(orderHistory[customer]),ROW(orderHistory[customer])),""),ROWS($A$15:A19)+$B$3)),INDEX(orderHistory[lock_good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lock_goods],SMALL(IF(ISNUMBER(MATCH(orderHistory[customer],$D$9,0)),MATCH(ROW(orderHistory[customer]),ROW(orderHistory[customer])),""),ROWS($A$15:A19)+$B$3)),INDEX(orderHistory[lock_goods],SMALL(IF(ISNUMBER(MATCH(orderHistory[customer],$D$9,0)*MATCH(YEAR(orderHistory[invoice_date]),$D$15,0)),MATCH(ROW(orderHistory[customer]),ROW(orderHistory[customer])),""),ROWS($A$15:A19)+$B$3))),IF($D$15="",INDEX(orderHistory[lock_goods],SMALL(IF(ISNUMBER(MATCH(orderHistory[customer],$D$9,0)*MATCH(orderHistory[order_type],$D$13,0)),MATCH(ROW(orderHistory[customer]),ROW(orderHistory[customer])),""),ROWS($A$15:A19)+$B$3)),INDEX(orderHistory[lock_good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lock_goods],SMALL(IF(ISNUMBER(MATCH(orderHistory[customer],$D$9,0)*MATCH(orderHistory[status],$D$11,0)),MATCH(ROW(orderHistory[customer]),ROW(orderHistory[customer])),""),ROWS($A$15:A19)+$B$3)),INDEX(orderHistory[lock_goods],SMALL(IF(ISNUMBER(MATCH(orderHistory[customer],$D$9,0)*MATCH(orderHistory[status],$D$11,0)*MATCH(YEAR(orderHistory[payed]),$D$15,0)),MATCH(ROW(orderHistory[customer]),ROW(orderHistory[customer])),""),ROWS($A$15:A19)+$B$3))),IF($D$15="",INDEX(orderHistory[lock_goods],SMALL(IF(ISNUMBER(MATCH(orderHistory[customer],$D$9,0)*MATCH(orderHistory[status],$D$11,0)*MATCH(orderHistory[order_type],$D$13,0)),MATCH(ROW(orderHistory[customer]),ROW(orderHistory[customer])),""),ROWS($A$15:A19)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T14" s="459" t="str">
        <f t="array" ref="T14">IFERROR(IF($D$9="",IF($D$11="",IF($D$13="",IF($D$15="",INDEX(orderHistory[payed],SMALL(MATCH(ROW(orderHistory[customer]),ROW(orderHistory[customer])),ROWS($A$15:A19)+$B$3)),INDEX(orderHistory[payed],SMALL(IF(ISNUMBER(MATCH(YEAR(orderHistory[invoice_date]),$D$15,0)),MATCH(ROW(orderHistory[customer]),ROW(orderHistory[customer])),""),ROWS($A$15:A19)+$B$3))),IF($D$15="",INDEX(orderHistory[payed],SMALL(IF(ISNUMBER(MATCH(orderHistory[order_type],$D$13,0)),MATCH(ROW(orderHistory[customer]),ROW(orderHistory[customer])),""),ROWS($A$15:A19)+$B$3)),INDEX(orderHistory[payed],SMALL(IF(ISNUMBER(MATCH(orderHistory[order_type],$D$13,0)*MATCH(YEAR(orderHistory[invoice_date]),$D$15,0)),MATCH(ROW(orderHistory[customer]),ROW(orderHistory[customer])),""),ROWS($A$15:A19)+$B$3)))),IF($D$13="",IF($D$15="",INDEX(orderHistory[payed],SMALL(IF(ISNUMBER(MATCH(orderHistory[status],$D$11,0)),MATCH(ROW(orderHistory[customer]),ROW(orderHistory[customer])),""),ROWS($A$15:A19)+$B$3)),INDEX(orderHistory[payed],SMALL(IF(ISNUMBER(MATCH(orderHistory[status],$D$11,0)*MATCH(YEAR(orderHistory[invoice_date]),$D$15,0)),MATCH(ROW(orderHistory[customer]),ROW(orderHistory[customer])),""),ROWS($A$15:A19)+$B$3))),IF($D$15="",INDEX(orderHistory[payed],SMALL(IF(ISNUMBER(MATCH(orderHistory[status],$D$11,0)*MATCH(orderHistory[order_type],$D$13,0)),MATCH(ROW(orderHistory[customer]),ROW(orderHistory[customer])),""),ROWS($A$15:A19)+$B$3)),INDEX(orderHistory[paye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payed],SMALL(IF(ISNUMBER(MATCH(orderHistory[customer],$D$9,0)),MATCH(ROW(orderHistory[customer]),ROW(orderHistory[customer])),""),ROWS($A$15:A19)+$B$3)),INDEX(orderHistory[payed],SMALL(IF(ISNUMBER(MATCH(orderHistory[customer],$D$9,0)*MATCH(YEAR(orderHistory[invoice_date]),$D$15,0)),MATCH(ROW(orderHistory[customer]),ROW(orderHistory[customer])),""),ROWS($A$15:A19)+$B$3))),IF($D$15="",INDEX(orderHistory[payed],SMALL(IF(ISNUMBER(MATCH(orderHistory[customer],$D$9,0)*MATCH(orderHistory[order_type],$D$13,0)),MATCH(ROW(orderHistory[customer]),ROW(orderHistory[customer])),""),ROWS($A$15:A19)+$B$3)),INDEX(orderHistory[paye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YEAR(orderHistory[payed]),$D$15,0)),MATCH(ROW(orderHistory[customer]),ROW(orderHistory[customer])),""),ROWS($A$15:A19)+$B$3))),IF($D$15="",INDEX(orderHistory[payed],SMALL(IF(ISNUMBER(MATCH(orderHistory[customer],$D$9,0)*MATCH(orderHistory[status],$D$11,0)*MATCH(orderHistory[order_type],$D$13,0)),MATCH(ROW(orderHistory[customer]),ROW(orderHistory[customer])),""),ROWS($A$15:A19)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U14" s="454" t="str">
        <f t="array" ref="U14">IFERROR(IF($D$9="",IF($D$11="",IF($D$13="",IF($D$15="",INDEX(orderHistory[shipping_method],SMALL(MATCH(ROW(orderHistory[customer]),ROW(orderHistory[customer])),ROWS($A$15:A19)+$B$3)),INDEX(orderHistory[shipping_method],SMALL(IF(ISNUMBER(MATCH(YEAR(orderHistory[invoice_date]),$D$15,0)),MATCH(ROW(orderHistory[customer]),ROW(orderHistory[customer])),""),ROWS($A$15:A19)+$B$3))),IF($D$15="",INDEX(orderHistory[shipping_method],SMALL(IF(ISNUMBER(MATCH(orderHistory[order_type],$D$13,0)),MATCH(ROW(orderHistory[customer]),ROW(orderHistory[customer])),""),ROWS($A$15:A19)+$B$3)),INDEX(orderHistory[shipping_method],SMALL(IF(ISNUMBER(MATCH(orderHistory[order_type],$D$13,0)*MATCH(YEAR(orderHistory[invoice_date]),$D$15,0)),MATCH(ROW(orderHistory[customer]),ROW(orderHistory[customer])),""),ROWS($A$15:A19)+$B$3)))),IF($D$13="",IF($D$15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YEAR(orderHistory[invoice_date]),$D$15,0)),MATCH(ROW(orderHistory[customer]),ROW(orderHistory[customer])),""),ROWS($A$15:A19)+$B$3))),IF($D$15="",INDEX(orderHistory[shipping_method],SMALL(IF(ISNUMBER(MATCH(orderHistory[status],$D$11,0)*MATCH(orderHistory[order_type],$D$13,0)),MATCH(ROW(orderHistory[customer]),ROW(orderHistory[customer])),""),ROWS($A$15:A19)+$B$3)),INDEX(orderHistory[shipping_metho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YEAR(orderHistory[invoice_date]),$D$15,0)),MATCH(ROW(orderHistory[customer]),ROW(orderHistory[customer])),""),ROWS($A$15:A19)+$B$3))),IF($D$15="",INDEX(orderHistory[shipping_method],SMALL(IF(ISNUMBER(MATCH(orderHistory[customer],$D$9,0)*MATCH(orderHistory[order_type],$D$13,0)),MATCH(ROW(orderHistory[customer]),ROW(orderHistory[customer])),""),ROWS($A$15:A19)+$B$3)),INDEX(orderHistory[shipping_metho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YEAR(orderHistory[shipping_method]),$D$15,0)),MATCH(ROW(orderHistory[customer]),ROW(orderHistory[customer])),""),ROWS($A$15:A19)+$B$3))),IF($D$15="",INDEX(orderHistory[shipping_method],SMALL(IF(ISNUMBER(MATCH(orderHistory[customer],$D$9,0)*MATCH(orderHistory[status],$D$11,0)*MATCH(orderHistory[order_type],$D$13,0)),MATCH(ROW(orderHistory[customer]),ROW(orderHistory[customer])),""),ROWS($A$15:A19)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V14" s="460" t="str">
        <f t="array" ref="V14">IFERROR(IF($D$9="",IF($D$11="",IF($D$13="",IF($D$15="",INDEX(orderHistory[status],SMALL(MATCH(ROW(orderHistory[customer]),ROW(orderHistory[customer])),ROWS($A$15:A19)+$B$3)),INDEX(orderHistory[status],SMALL(IF(ISNUMBER(MATCH(YEAR(orderHistory[invoice_date]),$D$15,0)),MATCH(ROW(orderHistory[customer]),ROW(orderHistory[customer])),""),ROWS($A$15:A19)+$B$3))),IF($D$15="",INDEX(orderHistory[status],SMALL(IF(ISNUMBER(MATCH(orderHistory[order_type],$D$13,0)),MATCH(ROW(orderHistory[customer]),ROW(orderHistory[customer])),""),ROWS($A$15:A19)+$B$3)),INDEX(orderHistory[status],SMALL(IF(ISNUMBER(MATCH(orderHistory[order_type],$D$13,0)*MATCH(YEAR(orderHistory[invoice_date]),$D$15,0)),MATCH(ROW(orderHistory[customer]),ROW(orderHistory[customer])),""),ROWS($A$15:A19)+$B$3)))),IF($D$13="",IF($D$15="",INDEX(orderHistory[status],SMALL(IF(ISNUMBER(MATCH(orderHistory[status],$D$11,0)),MATCH(ROW(orderHistory[customer]),ROW(orderHistory[customer])),""),ROWS($A$15:A19)+$B$3)),INDEX(orderHistory[status],SMALL(IF(ISNUMBER(MATCH(orderHistory[status],$D$11,0)*MATCH(YEAR(orderHistory[invoice_date]),$D$15,0)),MATCH(ROW(orderHistory[customer]),ROW(orderHistory[customer])),""),ROWS($A$15:A19)+$B$3))),IF($D$15="",INDEX(orderHistory[status],SMALL(IF(ISNUMBER(MATCH(orderHistory[status],$D$11,0)*MATCH(orderHistory[order_type],$D$13,0)),MATCH(ROW(orderHistory[customer]),ROW(orderHistory[customer])),""),ROWS($A$15:A19)+$B$3)),INDEX(orderHistory[statu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tatus],SMALL(IF(ISNUMBER(MATCH(orderHistory[customer],$D$9,0)),MATCH(ROW(orderHistory[customer]),ROW(orderHistory[customer])),""),ROWS($A$15:A19)+$B$3)),INDEX(orderHistory[status],SMALL(IF(ISNUMBER(MATCH(orderHistory[customer],$D$9,0)*MATCH(YEAR(orderHistory[invoice_date]),$D$15,0)),MATCH(ROW(orderHistory[customer]),ROW(orderHistory[customer])),""),ROWS($A$15:A19)+$B$3))),IF($D$15="",INDEX(orderHistory[status],SMALL(IF(ISNUMBER(MATCH(orderHistory[customer],$D$9,0)*MATCH(orderHistory[order_type],$D$13,0)),MATCH(ROW(orderHistory[customer]),ROW(orderHistory[customer])),""),ROWS($A$15:A19)+$B$3)),INDEX(orderHistory[statu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YEAR(orderHistory[status]),$D$15,0)),MATCH(ROW(orderHistory[customer]),ROW(orderHistory[customer])),""),ROWS($A$15:A19)+$B$3))),IF($D$15="",INDEX(orderHistory[status],SMALL(IF(ISNUMBER(MATCH(orderHistory[customer],$D$9,0)*MATCH(orderHistory[status],$D$11,0)*MATCH(orderHistory[order_type],$D$13,0)),MATCH(ROW(orderHistory[customer]),ROW(orderHistory[customer])),""),ROWS($A$15:A19)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W14" s="75"/>
      <c r="AQ14" s="378"/>
      <c r="AR14" s="394"/>
      <c r="AS14" s="380"/>
      <c r="AT14" s="395"/>
      <c r="AU14" s="339"/>
      <c r="AW14" s="378"/>
      <c r="AX14" s="341"/>
      <c r="BD14" s="376"/>
      <c r="BE14" s="376"/>
      <c r="BF14" s="382"/>
      <c r="BG14" s="382"/>
      <c r="BH14" s="382"/>
      <c r="BJ14" s="339"/>
      <c r="BK14" s="391"/>
      <c r="BL14" s="367"/>
      <c r="BM14" s="368"/>
      <c r="BN14" s="367"/>
      <c r="BO14" s="368"/>
      <c r="BX14" s="331" t="s">
        <v>816</v>
      </c>
      <c r="BZ14" s="495" t="s">
        <v>123</v>
      </c>
      <c r="CA14" s="477" t="str">
        <f>IF(BZ14="","",INDEX(bhpc_data[description],MATCH(BZ14,bhpc_data[sku],0)))</f>
        <v>BHPC PRESTIGE ELEGANCE 100ML EDP WOMEN</v>
      </c>
      <c r="CB14" s="480">
        <v>720</v>
      </c>
      <c r="CC14" s="523">
        <v>14.53</v>
      </c>
      <c r="CD14" s="494"/>
      <c r="CE14" s="481"/>
      <c r="CF14" s="482">
        <v>100</v>
      </c>
      <c r="CG14" s="483">
        <f>IFERROR(ROUNDUP(CB14/INDEX(bhpc_data[units_per_carton],MATCH(BZ14,bhpc_data[sku],0)),0),"")</f>
        <v>30</v>
      </c>
      <c r="CH14" s="484">
        <f>IFERROR(ROUNDUP(CD14/INDEX(bhpc_data[units_per_carton],MATCH(BZ14,bhpc_data[sku],0)),0),"")</f>
        <v>0</v>
      </c>
      <c r="CI14" s="484">
        <f>IFERROR(ROUNDUP(CF14/INDEX(bhpc_data[units_per_carton],MATCH(BZ14,bhpc_data[sku])),0),"")</f>
        <v>5</v>
      </c>
      <c r="CJ14" s="484">
        <f>IFERROR(((CB14+CD14+CF14)/INDEX(bhpc_data[units_per_carton],MATCH(BZ14,bhpc_data[sku],0)))*INDEX(bhpc_data[net_weight],MATCH(BZ14,bhpc_data[sku],0)),"")</f>
        <v>311.59999999999997</v>
      </c>
      <c r="CK14" s="484">
        <f>IFERROR(((CB14+CD14+CF14)/INDEX(bhpc_data[units_per_carton],MATCH(BZ14,bhpc_data[sku],0)))*INDEX(bhpc_data[gross_weight],MATCH(BZ14,bhpc_data[sku],0)),"")</f>
        <v>324.58333333333331</v>
      </c>
      <c r="CL14" s="485">
        <f>IFERROR((CB14+CD14+CF14)/INDEX(bhpc_data[units_per_carton],MATCH(BZ14,bhpc_data[sku],0))*INDEX(bhpc_data[lenght],MATCH(BZ14,bhpc_data[sku],0))*INDEX(bhpc_data[width],MATCH(BZ14,bhpc_data[sku],0))*INDEX(bhpc_data[height],MATCH(BZ14,bhpc_data[sku],0))/1000000000,"")</f>
        <v>0.59898437500000001</v>
      </c>
      <c r="CM14" s="486" t="str">
        <f>IFERROR(INDEX(bhpc_data[category],MATCH(BZ14,bhpc_data[sku],0)),"")</f>
        <v>PRESTIGE</v>
      </c>
      <c r="CN14" s="486">
        <f>IFERROR(INDEX(bhpc_data[size1],MATCH(BZ14,bhpc_data[sku],0)),"")</f>
        <v>100</v>
      </c>
      <c r="CO14" s="487" t="str">
        <f>IFERROR(INDEX(bhpc_data[hs_code],MATCH(BZ14,bhpc_data[sku],0)),"")</f>
        <v>33030010</v>
      </c>
      <c r="CP14" s="482">
        <v>11.68</v>
      </c>
      <c r="CQ14" s="488" t="str">
        <f>IFERROR(IF(BZ14="","",IF($BX$15="SALE",INDEX(inventory[COSTO UNITARIO],MATCH(BZ14,inventory[ARTICOLO],0)),IF($BX$15="SAMPLING",INDEX(inventory[COSTO UNITARIO],MATCH(BZ14,inventory[ARTICOLO],0)),""))),"")</f>
        <v/>
      </c>
      <c r="CR14" s="488" t="str">
        <f t="shared" si="0"/>
        <v/>
      </c>
      <c r="CS14" s="489">
        <f t="shared" si="1"/>
        <v>10461.6</v>
      </c>
      <c r="CT14" s="573" t="e">
        <f t="shared" si="2"/>
        <v>#N/A</v>
      </c>
      <c r="CV14" s="85"/>
      <c r="CW14" s="89" t="s">
        <v>592</v>
      </c>
      <c r="CX14" s="231">
        <f>SUM($CB$10:$CB$110,$CD$10:$CD$110,$CF$10:$CF$110)</f>
        <v>6560</v>
      </c>
      <c r="CY14" s="301" t="s">
        <v>396</v>
      </c>
      <c r="CZ14" s="234" t="e">
        <f>IF($BX$15="SUPPLY",0,$CZ$11-$CZ$12)</f>
        <v>#N/A</v>
      </c>
      <c r="DA14" s="82"/>
      <c r="DH14" s="245"/>
      <c r="EC14" s="331"/>
      <c r="EE14" s="547" t="str" cm="1">
        <f t="array" ref="EE14">IFERROR(IF($EC$9="",IF($EC$11="",IF($EC$13="",INDEX(bhpc_data[sku],SMALL(MATCH(ROW(bhpc_data[sku]),ROW(bhpc_data[sku])),ROWS($A$15:A19)+$B$3)),INDEX(bhpc_data[sku],SMALL(IF(ISNUMBER(MATCH(bhpc_data[size1],$EC$13,0)),MATCH(ROW(bhpc_data[sku]),ROW(bhpc_data[sku])),""),ROWS($A$15:A19)+$B$3))),IF($EC$13="",INDEX(bhpc_data[sku],SMALL(IF(ISNUMBER(MATCH(bhpc_data[sex],$EC$11,0)),MATCH(ROW(bhpc_data[sku]),ROW(bhpc_data[sku])),""),ROWS($A$15:A19)+$B$3)),INDEX(bhpc_data[sku],SMALL(IF(ISNUMBER(MATCH(bhpc_data[sex],$EC$11,0)*MATCH(bhpc_data[size1],$EC$13,0)),MATCH(ROW(bhpc_data[sku]),ROW(bhpc_data[sku])),""),ROWS($A$15:A19)+$B$3)))),IF($EC$11="",IF($EC$13="",INDEX(bhpc_data[sku],SMALL(IF(ISNUMBER(MATCH(bhpc_data[category],$EC$9,0)),MATCH(ROW(bhpc_data[sku]),ROW(bhpc_data[sku])),""),ROWS($A$15:A19)+$B$3)),INDEX(bhpc_data[sku],SMALL(IF(ISNUMBER(MATCH(bhpc_data[category],$EC$9,0)*MATCH(bhpc_data[size1],$EC$13,0)),MATCH(ROW(bhpc_data[sku]),ROW(bhpc_data[sku])),""),ROWS($A$15:A19)+$B$3))),IF($EC$13="",INDEX(bhpc_data[sku],SMALL(IF(ISNUMBER(MATCH(bhpc_data[category],$EC$9,0)*MATCH(bhpc_data[sex],$EC$11,0)),MATCH(ROW(bhpc_data[sku]),ROW(bhpc_data[sku])),""),ROWS($A$15:A19)+$B$3)),INDEX(bhpc_data[sku],SMALL(IF(ISNUMBER(MATCH(bhpc_data[category],$EC$9,0)*MATCH(bhpc_data[sex],$EC$11,0)*MATCH(bhpc_data[size1],$EC$13,0)),MATCH(ROW(bhpc_data[sku]),ROW(bhpc_data[sku])),""),ROWS($A$15:A19)+$B$3))))),"")</f>
        <v>GS5008</v>
      </c>
      <c r="EF14" s="548" t="str" cm="1">
        <f t="array" ref="EF14">IFERROR(IF($EC$9="",IF($EC$11="",IF($EC$13="",INDEX(bhpc_data[description],SMALL(MATCH(ROW(bhpc_data[sku]),ROW(bhpc_data[sku])),ROWS($A$15:A19)+$B$3)),INDEX(bhpc_data[description],SMALL(IF(ISNUMBER(MATCH(bhpc_data[size1],$EC$13,0)),MATCH(ROW(bhpc_data[sku]),ROW(bhpc_data[sku])),""),ROWS($A$15:A19)+$B$3))),IF($EC$13="",INDEX(bhpc_data[description],SMALL(IF(ISNUMBER(MATCH(bhpc_data[sex],$EC$11,0)),MATCH(ROW(bhpc_data[sku]),ROW(bhpc_data[sku])),""),ROWS($A$15:A19)+$B$3)),INDEX(bhpc_data[description],SMALL(IF(ISNUMBER(MATCH(bhpc_data[sex],$EC$11,0)*MATCH(bhpc_data[size1],$EC$13,0)),MATCH(ROW(bhpc_data[sku]),ROW(bhpc_data[sku])),""),ROWS($A$15:A19)+$B$3)))),IF($EC$11="",IF($EC$13="",INDEX(bhpc_data[description],SMALL(IF(ISNUMBER(MATCH(bhpc_data[category],$EC$9,0)),MATCH(ROW(bhpc_data[sku]),ROW(bhpc_data[sku])),""),ROWS($A$15:A19)+$B$3)),INDEX(bhpc_data[description],SMALL(IF(ISNUMBER(MATCH(bhpc_data[category],$EC$9,0)*MATCH(bhpc_data[size1],$EC$13,0)),MATCH(ROW(bhpc_data[sku]),ROW(bhpc_data[sku])),""),ROWS($A$15:A19)+$B$3))),IF($EC$13="",INDEX(bhpc_data[description],SMALL(IF(ISNUMBER(MATCH(bhpc_data[category],$EC$9,0)*MATCH(bhpc_data[sex],$EC$11,0)),MATCH(ROW(bhpc_data[sku]),ROW(bhpc_data[sku])),""),ROWS($A$15:A19)+$B$3)),INDEX(bhpc_data[description],SMALL(IF(ISNUMBER(MATCH(bhpc_data[category],$EC$9,0)*MATCH(bhpc_data[sex],$EC$11,0)*MATCH(bhpc_data[size1],$EC$13,0)),MATCH(ROW(bhpc_data[sku]),ROW(bhpc_data[sku])),""),ROWS($A$15:A19)+$B$3))))),"")</f>
        <v>BHPC GIFT SET SPORT MEN 1 EDT 50ML + DEO 175ML</v>
      </c>
      <c r="EG14" s="549">
        <f>IFERROR(IF('BHPC MANAGER'!$EE14="","",INDEX(inventory[ESISTENZA],MATCH('BHPC MANAGER'!$EE14,inventory[ARTICOLO],0))),0)</f>
        <v>423</v>
      </c>
      <c r="EH14" s="550">
        <v>-3386</v>
      </c>
      <c r="EI14" s="550">
        <f t="shared" si="3"/>
        <v>-2963</v>
      </c>
      <c r="EJ14" s="551">
        <v>-72</v>
      </c>
      <c r="EK14" s="552">
        <f t="shared" si="4"/>
        <v>-3035</v>
      </c>
      <c r="FF14" s="331"/>
      <c r="FG14" s="331"/>
      <c r="FH14" s="331"/>
      <c r="FI14" s="331"/>
      <c r="FJ14" s="331"/>
      <c r="FK14" s="331"/>
      <c r="FL14" s="331"/>
      <c r="FM14" s="331"/>
      <c r="FN14" s="331"/>
      <c r="FO14" s="331"/>
      <c r="FP14" s="331"/>
      <c r="FQ14" s="331"/>
      <c r="FR14" s="331"/>
      <c r="FS14" s="331"/>
      <c r="FT14" s="331"/>
      <c r="FU14" s="331"/>
      <c r="FV14" s="331"/>
      <c r="FW14" s="331"/>
      <c r="FX14" s="331"/>
      <c r="FY14" s="331"/>
      <c r="FZ14" s="331"/>
      <c r="GA14" s="331"/>
      <c r="GB14" s="331"/>
      <c r="GC14" s="331"/>
      <c r="GD14" s="331"/>
      <c r="GE14" s="331"/>
      <c r="GF14" s="331"/>
      <c r="GG14" s="331"/>
      <c r="GH14" s="331"/>
      <c r="GI14" s="331"/>
      <c r="GJ14" s="331"/>
      <c r="GK14" s="331"/>
      <c r="GL14" s="331"/>
      <c r="GM14" s="331"/>
      <c r="GN14" s="331"/>
      <c r="GO14" s="331"/>
      <c r="GP14" s="331"/>
      <c r="GQ14" s="331"/>
      <c r="GR14" s="331"/>
      <c r="GS14" s="331"/>
      <c r="GT14" s="331"/>
      <c r="GU14" s="331"/>
      <c r="GV14" s="331"/>
      <c r="GW14" s="331"/>
      <c r="GX14" s="331"/>
      <c r="GY14" s="331"/>
      <c r="GZ14" s="331"/>
      <c r="HA14" s="331"/>
      <c r="HB14" s="331"/>
      <c r="HC14" s="331"/>
      <c r="HD14" s="331"/>
      <c r="HE14" s="331"/>
      <c r="HF14" s="331"/>
      <c r="HG14" s="331"/>
      <c r="HH14" s="331"/>
      <c r="HI14" s="331"/>
      <c r="HJ14" s="331"/>
      <c r="HK14" s="331"/>
      <c r="HL14" s="331"/>
      <c r="HM14" s="331"/>
      <c r="HN14" s="331"/>
      <c r="HO14" s="331"/>
      <c r="HP14" s="331"/>
      <c r="HQ14" s="331"/>
      <c r="HR14" s="331"/>
      <c r="HS14" s="331"/>
      <c r="HT14" s="331"/>
    </row>
    <row r="15" spans="1:702" ht="15" customHeight="1" thickBot="1" x14ac:dyDescent="0.4">
      <c r="A15" s="152" t="s">
        <v>613</v>
      </c>
      <c r="B15" s="153">
        <v>45488.760925925926</v>
      </c>
      <c r="D15" s="340"/>
      <c r="F15" s="92"/>
      <c r="G15" s="838"/>
      <c r="H15" s="839"/>
      <c r="I15" s="840"/>
      <c r="J15" s="82"/>
      <c r="L15" s="452" t="str" cm="1">
        <f t="array" ref="L15">IFERROR(IF($D$9="",IF($D$11="",IF($D$13="",IF($D$15="",INDEX(orderHistory[customer],SMALL(MATCH(ROW(orderHistory[customer]),ROW(orderHistory[customer])),ROWS($A$15:A20)+$B$3)),INDEX(orderHistory[customer],SMALL(IF(ISNUMBER(MATCH(YEAR(orderHistory[invoice_date]),$D$15,0)),MATCH(ROW(orderHistory[customer]),ROW(orderHistory[customer])),""),ROWS($A$15:A20)+$B$3))),IF($D$15="",INDEX(orderHistory[customer],SMALL(IF(ISNUMBER(MATCH(orderHistory[order_type],$D$13,0)),MATCH(ROW(orderHistory[customer]),ROW(orderHistory[customer])),""),ROWS($A$15:A20)+$B$3)),INDEX(orderHistory[customer],SMALL(IF(ISNUMBER(MATCH(orderHistory[order_type],$D$13,0)*MATCH(YEAR(orderHistory[invoice_date]),$D$15,0)),MATCH(ROW(orderHistory[customer]),ROW(orderHistory[customer])),""),ROWS($A$15:A20)+$B$3)))),IF($D$13="",IF($D$15="",INDEX(orderHistory[customer],SMALL(IF(ISNUMBER(MATCH(orderHistory[status],$D$11,0)),MATCH(ROW(orderHistory[customer]),ROW(orderHistory[customer])),""),ROWS($A$15:A20)+$B$3)),INDEX(orderHistory[customer],SMALL(IF(ISNUMBER(MATCH(orderHistory[status],$D$11,0)*MATCH(YEAR(orderHistory[invoice_date]),$D$15,0)),MATCH(ROW(orderHistory[customer]),ROW(orderHistory[customer])),""),ROWS($A$15:A20)+$B$3))),IF($D$15="",INDEX(orderHistory[customer],SMALL(IF(ISNUMBER(MATCH(orderHistory[status],$D$11,0)*MATCH(orderHistory[order_type],$D$13,0)),MATCH(ROW(orderHistory[customer]),ROW(orderHistory[customer])),""),ROWS($A$15:A20)+$B$3)),INDEX(orderHistory[customer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customer],SMALL(IF(ISNUMBER(MATCH(orderHistory[customer],$D$9,0)),MATCH(ROW(orderHistory[customer]),ROW(orderHistory[customer])),""),ROWS($A$15:A20)+$B$3)),INDEX(orderHistory[customer],SMALL(IF(ISNUMBER(MATCH(orderHistory[customer],$D$9,0)*MATCH(YEAR(orderHistory[invoice_date]),$D$15,0)),MATCH(ROW(orderHistory[customer]),ROW(orderHistory[customer])),""),ROWS($A$15:A20)+$B$3))),IF($D$15="",INDEX(orderHistory[customer],SMALL(IF(ISNUMBER(MATCH(orderHistory[customer],$D$9,0)*MATCH(orderHistory[order_type],$D$13,0)),MATCH(ROW(orderHistory[customer]),ROW(orderHistory[customer])),""),ROWS($A$15:A20)+$B$3)),INDEX(orderHistory[customer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YEAR(orderHistory[invoice_date]),$D$15,0)),MATCH(ROW(orderHistory[customer]),ROW(orderHistory[customer])),""),ROWS($A$15:A20)+$B$3))),IF($D$15="",INDEX(orderHistory[customer],SMALL(IF(ISNUMBER(MATCH(orderHistory[customer],$D$9,0)*MATCH(orderHistory[status],$D$11,0)*MATCH(orderHistory[order_type],$D$13,0)),MATCH(ROW(orderHistory[customer]),ROW(orderHistory[customer])),""),ROWS($A$15:A20)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M15" s="453" t="str">
        <f t="array" ref="M15">IFERROR(IF($D$9="",IF($D$11="",IF($D$13="",IF($D$15="",INDEX(orderHistory[order_no],SMALL(MATCH(ROW(orderHistory[customer]),ROW(orderHistory[customer])),ROWS($A$15:A20)+$B$3)),INDEX(orderHistory[order_no],SMALL(IF(ISNUMBER(MATCH(YEAR(orderHistory[invoice_date]),$D$15,0)),MATCH(ROW(orderHistory[customer]),ROW(orderHistory[customer])),""),ROWS($A$15:A20)+$B$3))),IF($D$15="",INDEX(orderHistory[order_no],SMALL(IF(ISNUMBER(MATCH(orderHistory[order_type],$D$13,0)),MATCH(ROW(orderHistory[customer]),ROW(orderHistory[customer])),""),ROWS($A$15:A20)+$B$3)),INDEX(orderHistory[order_no],SMALL(IF(ISNUMBER(MATCH(orderHistory[order_type],$D$13,0)*MATCH(YEAR(orderHistory[invoice_date]),$D$15,0)),MATCH(ROW(orderHistory[customer]),ROW(orderHistory[customer])),""),ROWS($A$15:A20)+$B$3)))),IF($D$13="",IF($D$15="",INDEX(orderHistory[order_no],SMALL(IF(ISNUMBER(MATCH(orderHistory[status],$D$11,0)),MATCH(ROW(orderHistory[customer]),ROW(orderHistory[customer])),""),ROWS($A$15:A20)+$B$3)),INDEX(orderHistory[order_no],SMALL(IF(ISNUMBER(MATCH(orderHistory[status],$D$11,0)*MATCH(YEAR(orderHistory[invoice_date]),$D$15,0)),MATCH(ROW(orderHistory[customer]),ROW(orderHistory[customer])),""),ROWS($A$15:A20)+$B$3))),IF($D$15="",INDEX(orderHistory[order_no],SMALL(IF(ISNUMBER(MATCH(orderHistory[status],$D$11,0)*MATCH(orderHistory[order_type],$D$13,0)),MATCH(ROW(orderHistory[customer]),ROW(orderHistory[customer])),""),ROWS($A$15:A20)+$B$3)),INDEX(orderHistory[order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no],SMALL(IF(ISNUMBER(MATCH(orderHistory[customer],$D$9,0)),MATCH(ROW(orderHistory[customer]),ROW(orderHistory[customer])),""),ROWS($A$15:A20)+$B$3)),INDEX(orderHistory[order_no],SMALL(IF(ISNUMBER(MATCH(orderHistory[customer],$D$9,0)*MATCH(YEAR(orderHistory[invoice_date]),$D$15,0)),MATCH(ROW(orderHistory[customer]),ROW(orderHistory[customer])),""),ROWS($A$15:A20)+$B$3))),IF($D$15="",INDEX(orderHistory[order_no],SMALL(IF(ISNUMBER(MATCH(orderHistory[customer],$D$9,0)*MATCH(orderHistory[order_type],$D$13,0)),MATCH(ROW(orderHistory[customer]),ROW(orderHistory[customer])),""),ROWS($A$15:A20)+$B$3)),INDEX(orderHistory[order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YEAR(orderHistory[invoice_date]),$D$15,0)),MATCH(ROW(orderHistory[customer]),ROW(orderHistory[customer])),""),ROWS($A$15:A20)+$B$3))),IF($D$15="",INDEX(orderHistory[order_no],SMALL(IF(ISNUMBER(MATCH(orderHistory[customer],$D$9,0)*MATCH(orderHistory[status],$D$11,0)*MATCH(orderHistory[order_type],$D$13,0)),MATCH(ROW(orderHistory[customer]),ROW(orderHistory[customer])),""),ROWS($A$15:A20)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N15" s="454" t="str">
        <f t="array" ref="N15">IFERROR(IF($D$9="",IF($D$11="",IF($D$13="",IF($D$15="",INDEX(orderHistory[order_type],SMALL(MATCH(ROW(orderHistory[customer]),ROW(orderHistory[customer])),ROWS($A$15:A20)+$B$3)),INDEX(orderHistory[order_type],SMALL(IF(ISNUMBER(MATCH(YEAR(orderHistory[invoice_date]),$D$15,0)),MATCH(ROW(orderHistory[customer]),ROW(orderHistory[customer])),""),ROWS($A$15:A20)+$B$3))),IF($D$15="",INDEX(orderHistory[order_type],SMALL(IF(ISNUMBER(MATCH(orderHistory[order_type],$D$13,0)),MATCH(ROW(orderHistory[customer]),ROW(orderHistory[customer])),""),ROWS($A$15:A20)+$B$3)),INDEX(orderHistory[order_type],SMALL(IF(ISNUMBER(MATCH(orderHistory[order_type],$D$13,0)*MATCH(YEAR(orderHistory[invoice_date]),$D$15,0)),MATCH(ROW(orderHistory[customer]),ROW(orderHistory[customer])),""),ROWS($A$15:A20)+$B$3)))),IF($D$13="",IF($D$15="",INDEX(orderHistory[order_type],SMALL(IF(ISNUMBER(MATCH(orderHistory[status],$D$11,0)),MATCH(ROW(orderHistory[customer]),ROW(orderHistory[customer])),""),ROWS($A$15:A20)+$B$3)),INDEX(orderHistory[order_type],SMALL(IF(ISNUMBER(MATCH(orderHistory[status],$D$11,0)*MATCH(YEAR(orderHistory[invoice_date]),$D$15,0)),MATCH(ROW(orderHistory[customer]),ROW(orderHistory[customer])),""),ROWS($A$15:A20)+$B$3))),IF($D$15="",INDEX(orderHistory[order_type],SMALL(IF(ISNUMBER(MATCH(orderHistory[status],$D$11,0)*MATCH(orderHistory[order_type],$D$13,0)),MATCH(ROW(orderHistory[customer]),ROW(orderHistory[customer])),""),ROWS($A$15:A20)+$B$3)),INDEX(orderHistory[order_typ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type],SMALL(IF(ISNUMBER(MATCH(orderHistory[customer],$D$9,0)),MATCH(ROW(orderHistory[customer]),ROW(orderHistory[customer])),""),ROWS($A$15:A20)+$B$3)),INDEX(orderHistory[order_type],SMALL(IF(ISNUMBER(MATCH(orderHistory[customer],$D$9,0)*MATCH(YEAR(orderHistory[invoice_date]),$D$15,0)),MATCH(ROW(orderHistory[customer]),ROW(orderHistory[customer])),""),ROWS($A$15:A20)+$B$3))),IF($D$15="",INDEX(orderHistory[order_type],SMALL(IF(ISNUMBER(MATCH(orderHistory[customer],$D$9,0)*MATCH(orderHistory[order_type],$D$13,0)),MATCH(ROW(orderHistory[customer]),ROW(orderHistory[customer])),""),ROWS($A$15:A20)+$B$3)),INDEX(orderHistory[order_typ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YEAR(orderHistory[invoice_date]),$D$15,0)),MATCH(ROW(orderHistory[customer]),ROW(orderHistory[customer])),""),ROWS($A$15:A20)+$B$3))),IF($D$15="",INDEX(orderHistory[order_type],SMALL(IF(ISNUMBER(MATCH(orderHistory[customer],$D$9,0)*MATCH(orderHistory[status],$D$11,0)*MATCH(orderHistory[order_type],$D$13,0)),MATCH(ROW(orderHistory[customer]),ROW(orderHistory[customer])),""),ROWS($A$15:A20)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O15" s="455" t="str">
        <f t="array" ref="O15">IFERROR(IF($D$9="",IF($D$11="",IF($D$13="",IF($D$15="",INDEX(orderHistory[order_date],SMALL(MATCH(ROW(orderHistory[customer]),ROW(orderHistory[customer])),ROWS($A$15:A20)+$B$3)),INDEX(orderHistory[order_date],SMALL(IF(ISNUMBER(MATCH(YEAR(orderHistory[invoice_date]),$D$15,0)),MATCH(ROW(orderHistory[customer]),ROW(orderHistory[customer])),""),ROWS($A$15:A20)+$B$3))),IF($D$15="",INDEX(orderHistory[order_date],SMALL(IF(ISNUMBER(MATCH(orderHistory[order_type],$D$13,0)),MATCH(ROW(orderHistory[customer]),ROW(orderHistory[customer])),""),ROWS($A$15:A20)+$B$3)),INDEX(orderHistory[order_date],SMALL(IF(ISNUMBER(MATCH(orderHistory[order_type],$D$13,0)*MATCH(YEAR(orderHistory[invoice_date]),$D$15,0)),MATCH(ROW(orderHistory[customer]),ROW(orderHistory[customer])),""),ROWS($A$15:A20)+$B$3)))),IF($D$13="",IF($D$15="",INDEX(orderHistory[order_date],SMALL(IF(ISNUMBER(MATCH(orderHistory[status],$D$11,0)),MATCH(ROW(orderHistory[customer]),ROW(orderHistory[customer])),""),ROWS($A$15:A20)+$B$3)),INDEX(orderHistory[order_date],SMALL(IF(ISNUMBER(MATCH(orderHistory[status],$D$11,0)*MATCH(YEAR(orderHistory[invoice_date]),$D$15,0)),MATCH(ROW(orderHistory[customer]),ROW(orderHistory[customer])),""),ROWS($A$15:A20)+$B$3))),IF($D$15="",INDEX(orderHistory[order_date],SMALL(IF(ISNUMBER(MATCH(orderHistory[status],$D$11,0)*MATCH(orderHistory[order_type],$D$13,0)),MATCH(ROW(orderHistory[customer]),ROW(orderHistory[customer])),""),ROWS($A$15:A20)+$B$3)),INDEX(orderHistory[order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date],SMALL(IF(ISNUMBER(MATCH(orderHistory[customer],$D$9,0)),MATCH(ROW(orderHistory[customer]),ROW(orderHistory[customer])),""),ROWS($A$15:A20)+$B$3)),INDEX(orderHistory[order_date],SMALL(IF(ISNUMBER(MATCH(orderHistory[customer],$D$9,0)*MATCH(YEAR(orderHistory[invoice_date]),$D$15,0)),MATCH(ROW(orderHistory[customer]),ROW(orderHistory[customer])),""),ROWS($A$15:A20)+$B$3))),IF($D$15="",INDEX(orderHistory[order_date],SMALL(IF(ISNUMBER(MATCH(orderHistory[customer],$D$9,0)*MATCH(orderHistory[order_type],$D$13,0)),MATCH(ROW(orderHistory[customer]),ROW(orderHistory[customer])),""),ROWS($A$15:A20)+$B$3)),INDEX(orderHistory[order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YEAR(orderHistory[invoice_date]),$D$15,0)),MATCH(ROW(orderHistory[customer]),ROW(orderHistory[customer])),""),ROWS($A$15:A20)+$B$3))),IF($D$15="",INDEX(orderHistory[order_date],SMALL(IF(ISNUMBER(MATCH(orderHistory[customer],$D$9,0)*MATCH(orderHistory[status],$D$11,0)*MATCH(orderHistory[order_type],$D$13,0)),MATCH(ROW(orderHistory[customer]),ROW(orderHistory[customer])),""),ROWS($A$15:A20)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P15" s="456" t="str">
        <f t="array" ref="P15">IFERROR(IF($D$9="",IF($D$11="",IF($D$13="",IF($D$15="",INDEX(orderHistory[invoice_no],SMALL(MATCH(ROW(orderHistory[customer]),ROW(orderHistory[customer])),ROWS($A$15:A20)+$B$3)),INDEX(orderHistory[invoice_no],SMALL(IF(ISNUMBER(MATCH(YEAR(orderHistory[invoice_date]),$D$15,0)),MATCH(ROW(orderHistory[customer]),ROW(orderHistory[customer])),""),ROWS($A$15:A20)+$B$3))),IF($D$15="",INDEX(orderHistory[invoice_no],SMALL(IF(ISNUMBER(MATCH(orderHistory[order_type],$D$13,0)),MATCH(ROW(orderHistory[customer]),ROW(orderHistory[customer])),""),ROWS($A$15:A20)+$B$3)),INDEX(orderHistory[invoice_no],SMALL(IF(ISNUMBER(MATCH(orderHistory[order_type],$D$13,0)*MATCH(YEAR(orderHistory[invoice_date]),$D$15,0)),MATCH(ROW(orderHistory[customer]),ROW(orderHistory[customer])),""),ROWS($A$15:A20)+$B$3)))),IF($D$13="",IF($D$15="",INDEX(orderHistory[invoice_no],SMALL(IF(ISNUMBER(MATCH(orderHistory[status],$D$11,0)),MATCH(ROW(orderHistory[customer]),ROW(orderHistory[customer])),""),ROWS($A$15:A20)+$B$3)),INDEX(orderHistory[invoice_no],SMALL(IF(ISNUMBER(MATCH(orderHistory[status],$D$11,0)*MATCH(YEAR(orderHistory[invoice_date]),$D$15,0)),MATCH(ROW(orderHistory[customer]),ROW(orderHistory[customer])),""),ROWS($A$15:A20)+$B$3))),IF($D$15="",INDEX(orderHistory[invoice_no],SMALL(IF(ISNUMBER(MATCH(orderHistory[status],$D$11,0)*MATCH(orderHistory[order_type],$D$13,0)),MATCH(ROW(orderHistory[customer]),ROW(orderHistory[customer])),""),ROWS($A$15:A20)+$B$3)),INDEX(orderHistory[invoice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no],SMALL(IF(ISNUMBER(MATCH(orderHistory[customer],$D$9,0)),MATCH(ROW(orderHistory[customer]),ROW(orderHistory[customer])),""),ROWS($A$15:A20)+$B$3)),INDEX(orderHistory[invoice_no],SMALL(IF(ISNUMBER(MATCH(orderHistory[customer],$D$9,0)*MATCH(YEAR(orderHistory[invoice_date]),$D$15,0)),MATCH(ROW(orderHistory[customer]),ROW(orderHistory[customer])),""),ROWS($A$15:A20)+$B$3))),IF($D$15="",INDEX(orderHistory[invoice_no],SMALL(IF(ISNUMBER(MATCH(orderHistory[customer],$D$9,0)*MATCH(orderHistory[order_type],$D$13,0)),MATCH(ROW(orderHistory[customer]),ROW(orderHistory[customer])),""),ROWS($A$15:A20)+$B$3)),INDEX(orderHistory[invoice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YEAR(orderHistory[invoice_date]),$D$15,0)),MATCH(ROW(orderHistory[customer]),ROW(orderHistory[customer])),""),ROWS($A$15:A20)+$B$3))),IF($D$15="",INDEX(orderHistory[invoice_no],SMALL(IF(ISNUMBER(MATCH(orderHistory[customer],$D$9,0)*MATCH(orderHistory[status],$D$11,0)*MATCH(orderHistory[order_type],$D$13,0)),MATCH(ROW(orderHistory[customer]),ROW(orderHistory[customer])),""),ROWS($A$15:A20)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Q15" s="457" t="str">
        <f t="array" ref="Q15">IFERROR(IF($D$9="",IF($D$11="",IF($D$13="",IF($D$15="",INDEX(orderHistory[invoice_date],SMALL(MATCH(ROW(orderHistory[customer]),ROW(orderHistory[customer])),ROWS($A$15:A20)+$B$3)),INDEX(orderHistory[invoice_date],SMALL(IF(ISNUMBER(MATCH(YEAR(orderHistory[invoice_date]),$D$15,0)),MATCH(ROW(orderHistory[customer]),ROW(orderHistory[customer])),""),ROWS($A$15:A20)+$B$3))),IF($D$15="",INDEX(orderHistory[invoice_date],SMALL(IF(ISNUMBER(MATCH(orderHistory[order_type],$D$13,0)),MATCH(ROW(orderHistory[customer]),ROW(orderHistory[customer])),""),ROWS($A$15:A20)+$B$3)),INDEX(orderHistory[invoice_date],SMALL(IF(ISNUMBER(MATCH(orderHistory[order_type],$D$13,0)*MATCH(YEAR(orderHistory[invoice_date]),$D$15,0)),MATCH(ROW(orderHistory[customer]),ROW(orderHistory[customer])),""),ROWS($A$15:A20)+$B$3)))),IF($D$13="",IF($D$15="",INDEX(orderHistory[invoice_date],SMALL(IF(ISNUMBER(MATCH(orderHistory[status],$D$11,0)),MATCH(ROW(orderHistory[customer]),ROW(orderHistory[customer])),""),ROWS($A$15:A20)+$B$3)),INDEX(orderHistory[invoice_date],SMALL(IF(ISNUMBER(MATCH(orderHistory[status],$D$11,0)*MATCH(YEAR(orderHistory[invoice_date]),$D$15,0)),MATCH(ROW(orderHistory[customer]),ROW(orderHistory[customer])),""),ROWS($A$15:A20)+$B$3))),IF($D$15="",INDEX(orderHistory[invoice_date],SMALL(IF(ISNUMBER(MATCH(orderHistory[status],$D$11,0)*MATCH(orderHistory[order_type],$D$13,0)),MATCH(ROW(orderHistory[customer]),ROW(orderHistory[customer])),""),ROWS($A$15:A20)+$B$3)),INDEX(orderHistory[invoice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date],SMALL(IF(ISNUMBER(MATCH(orderHistory[customer],$D$9,0)),MATCH(ROW(orderHistory[customer]),ROW(orderHistory[customer])),""),ROWS($A$15:A20)+$B$3)),INDEX(orderHistory[invoice_date],SMALL(IF(ISNUMBER(MATCH(orderHistory[customer],$D$9,0)*MATCH(YEAR(orderHistory[invoice_date]),$D$15,0)),MATCH(ROW(orderHistory[customer]),ROW(orderHistory[customer])),""),ROWS($A$15:A20)+$B$3))),IF($D$15="",INDEX(orderHistory[invoice_date],SMALL(IF(ISNUMBER(MATCH(orderHistory[customer],$D$9,0)*MATCH(orderHistory[order_type],$D$13,0)),MATCH(ROW(orderHistory[customer]),ROW(orderHistory[customer])),""),ROWS($A$15:A20)+$B$3)),INDEX(orderHistory[invoice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YEAR(orderHistory[invoice_date]),$D$15,0)),MATCH(ROW(orderHistory[customer]),ROW(orderHistory[customer])),""),ROWS($A$15:A20)+$B$3))),IF($D$15="",INDEX(orderHistory[invoice_date],SMALL(IF(ISNUMBER(MATCH(orderHistory[customer],$D$9,0)*MATCH(orderHistory[status],$D$11,0)*MATCH(orderHistory[order_type],$D$13,0)),MATCH(ROW(orderHistory[customer]),ROW(orderHistory[customer])),""),ROWS($A$15:A20)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R15" s="458" t="str">
        <f t="array" ref="R15">IFERROR(IF($D$9="",IF($D$11="",IF($D$13="",IF($D$15="",INDEX(orderHistory[inv_amount],SMALL(MATCH(ROW(orderHistory[customer]),ROW(orderHistory[customer])),ROWS($A$15:A20)+$B$3)),INDEX(orderHistory[inv_amount],SMALL(IF(ISNUMBER(MATCH(YEAR(orderHistory[invoice_date]),$D$15,0)),MATCH(ROW(orderHistory[customer]),ROW(orderHistory[customer])),""),ROWS($A$15:A20)+$B$3))),IF($D$15="",INDEX(orderHistory[inv_amount],SMALL(IF(ISNUMBER(MATCH(orderHistory[order_type],$D$13,0)),MATCH(ROW(orderHistory[customer]),ROW(orderHistory[customer])),""),ROWS($A$15:A20)+$B$3)),INDEX(orderHistory[inv_amount],SMALL(IF(ISNUMBER(MATCH(orderHistory[order_type],$D$13,0)*MATCH(YEAR(orderHistory[invoice_date]),$D$15,0)),MATCH(ROW(orderHistory[customer]),ROW(orderHistory[customer])),""),ROWS($A$15:A20)+$B$3)))),IF($D$13="",IF($D$15="",INDEX(orderHistory[inv_amount],SMALL(IF(ISNUMBER(MATCH(orderHistory[status],$D$11,0)),MATCH(ROW(orderHistory[customer]),ROW(orderHistory[customer])),""),ROWS($A$15:A20)+$B$3)),INDEX(orderHistory[inv_amount],SMALL(IF(ISNUMBER(MATCH(orderHistory[status],$D$11,0)*MATCH(YEAR(orderHistory[invoice_date]),$D$15,0)),MATCH(ROW(orderHistory[customer]),ROW(orderHistory[customer])),""),ROWS($A$15:A20)+$B$3))),IF($D$15="",INDEX(orderHistory[inv_amount],SMALL(IF(ISNUMBER(MATCH(orderHistory[status],$D$11,0)*MATCH(orderHistory[order_type],$D$13,0)),MATCH(ROW(orderHistory[customer]),ROW(orderHistory[customer])),""),ROWS($A$15:A20)+$B$3)),INDEX(orderHistory[inv_amount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_amount],SMALL(IF(ISNUMBER(MATCH(orderHistory[customer],$D$9,0)),MATCH(ROW(orderHistory[customer]),ROW(orderHistory[customer])),""),ROWS($A$15:A20)+$B$3)),INDEX(orderHistory[inv_amount],SMALL(IF(ISNUMBER(MATCH(orderHistory[customer],$D$9,0)*MATCH(YEAR(orderHistory[invoice_date]),$D$15,0)),MATCH(ROW(orderHistory[customer]),ROW(orderHistory[customer])),""),ROWS($A$15:A20)+$B$3))),IF($D$15="",INDEX(orderHistory[inv_amount],SMALL(IF(ISNUMBER(MATCH(orderHistory[customer],$D$9,0)*MATCH(orderHistory[order_type],$D$13,0)),MATCH(ROW(orderHistory[customer]),ROW(orderHistory[customer])),""),ROWS($A$15:A20)+$B$3)),INDEX(orderHistory[inv_amount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YEAR(orderHistory[inv_amount]),$D$15,0)),MATCH(ROW(orderHistory[customer]),ROW(orderHistory[customer])),""),ROWS($A$15:A20)+$B$3))),IF($D$15="",INDEX(orderHistory[inv_amount],SMALL(IF(ISNUMBER(MATCH(orderHistory[customer],$D$9,0)*MATCH(orderHistory[status],$D$11,0)*MATCH(orderHistory[order_type],$D$13,0)),MATCH(ROW(orderHistory[customer]),ROW(orderHistory[customer])),""),ROWS($A$15:A20)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S15" s="569" t="str">
        <f t="array" ref="S15">IFERROR(IF($D$9="",IF($D$11="",IF($D$13="",IF($D$15="",INDEX(orderHistory[lock_goods],SMALL(MATCH(ROW(orderHistory[customer]),ROW(orderHistory[customer])),ROWS($A$15:A20)+$B$3)),INDEX(orderHistory[lock_goods],SMALL(IF(ISNUMBER(MATCH(YEAR(orderHistory[invoice_date]),$D$15,0)),MATCH(ROW(orderHistory[customer]),ROW(orderHistory[customer])),""),ROWS($A$15:A20)+$B$3))),IF($D$15="",INDEX(orderHistory[lock_goods],SMALL(IF(ISNUMBER(MATCH(orderHistory[order_type],$D$13,0)),MATCH(ROW(orderHistory[customer]),ROW(orderHistory[customer])),""),ROWS($A$15:A20)+$B$3)),INDEX(orderHistory[lock_goods],SMALL(IF(ISNUMBER(MATCH(orderHistory[order_type],$D$13,0)*MATCH(YEAR(orderHistory[invoice_date]),$D$15,0)),MATCH(ROW(orderHistory[customer]),ROW(orderHistory[customer])),""),ROWS($A$15:A20)+$B$3)))),IF($D$13="",IF($D$15="",INDEX(orderHistory[lock_goods],SMALL(IF(ISNUMBER(MATCH(orderHistory[status],$D$11,0)),MATCH(ROW(orderHistory[customer]),ROW(orderHistory[customer])),""),ROWS($A$15:A20)+$B$3)),INDEX(orderHistory[lock_goods],SMALL(IF(ISNUMBER(MATCH(orderHistory[status],$D$11,0)*MATCH(YEAR(orderHistory[invoice_date]),$D$15,0)),MATCH(ROW(orderHistory[customer]),ROW(orderHistory[customer])),""),ROWS($A$15:A20)+$B$3))),IF($D$15="",INDEX(orderHistory[lock_goods],SMALL(IF(ISNUMBER(MATCH(orderHistory[status],$D$11,0)*MATCH(orderHistory[order_type],$D$13,0)),MATCH(ROW(orderHistory[customer]),ROW(orderHistory[customer])),""),ROWS($A$15:A20)+$B$3)),INDEX(orderHistory[lock_good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lock_goods],SMALL(IF(ISNUMBER(MATCH(orderHistory[customer],$D$9,0)),MATCH(ROW(orderHistory[customer]),ROW(orderHistory[customer])),""),ROWS($A$15:A20)+$B$3)),INDEX(orderHistory[lock_goods],SMALL(IF(ISNUMBER(MATCH(orderHistory[customer],$D$9,0)*MATCH(YEAR(orderHistory[invoice_date]),$D$15,0)),MATCH(ROW(orderHistory[customer]),ROW(orderHistory[customer])),""),ROWS($A$15:A20)+$B$3))),IF($D$15="",INDEX(orderHistory[lock_goods],SMALL(IF(ISNUMBER(MATCH(orderHistory[customer],$D$9,0)*MATCH(orderHistory[order_type],$D$13,0)),MATCH(ROW(orderHistory[customer]),ROW(orderHistory[customer])),""),ROWS($A$15:A20)+$B$3)),INDEX(orderHistory[lock_good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lock_goods],SMALL(IF(ISNUMBER(MATCH(orderHistory[customer],$D$9,0)*MATCH(orderHistory[status],$D$11,0)),MATCH(ROW(orderHistory[customer]),ROW(orderHistory[customer])),""),ROWS($A$15:A20)+$B$3)),INDEX(orderHistory[lock_goods],SMALL(IF(ISNUMBER(MATCH(orderHistory[customer],$D$9,0)*MATCH(orderHistory[status],$D$11,0)*MATCH(YEAR(orderHistory[payed]),$D$15,0)),MATCH(ROW(orderHistory[customer]),ROW(orderHistory[customer])),""),ROWS($A$15:A20)+$B$3))),IF($D$15="",INDEX(orderHistory[lock_goods],SMALL(IF(ISNUMBER(MATCH(orderHistory[customer],$D$9,0)*MATCH(orderHistory[status],$D$11,0)*MATCH(orderHistory[order_type],$D$13,0)),MATCH(ROW(orderHistory[customer]),ROW(orderHistory[customer])),""),ROWS($A$15:A20)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T15" s="459" t="str">
        <f t="array" ref="T15">IFERROR(IF($D$9="",IF($D$11="",IF($D$13="",IF($D$15="",INDEX(orderHistory[payed],SMALL(MATCH(ROW(orderHistory[customer]),ROW(orderHistory[customer])),ROWS($A$15:A20)+$B$3)),INDEX(orderHistory[payed],SMALL(IF(ISNUMBER(MATCH(YEAR(orderHistory[invoice_date]),$D$15,0)),MATCH(ROW(orderHistory[customer]),ROW(orderHistory[customer])),""),ROWS($A$15:A20)+$B$3))),IF($D$15="",INDEX(orderHistory[payed],SMALL(IF(ISNUMBER(MATCH(orderHistory[order_type],$D$13,0)),MATCH(ROW(orderHistory[customer]),ROW(orderHistory[customer])),""),ROWS($A$15:A20)+$B$3)),INDEX(orderHistory[payed],SMALL(IF(ISNUMBER(MATCH(orderHistory[order_type],$D$13,0)*MATCH(YEAR(orderHistory[invoice_date]),$D$15,0)),MATCH(ROW(orderHistory[customer]),ROW(orderHistory[customer])),""),ROWS($A$15:A20)+$B$3)))),IF($D$13="",IF($D$15="",INDEX(orderHistory[payed],SMALL(IF(ISNUMBER(MATCH(orderHistory[status],$D$11,0)),MATCH(ROW(orderHistory[customer]),ROW(orderHistory[customer])),""),ROWS($A$15:A20)+$B$3)),INDEX(orderHistory[payed],SMALL(IF(ISNUMBER(MATCH(orderHistory[status],$D$11,0)*MATCH(YEAR(orderHistory[invoice_date]),$D$15,0)),MATCH(ROW(orderHistory[customer]),ROW(orderHistory[customer])),""),ROWS($A$15:A20)+$B$3))),IF($D$15="",INDEX(orderHistory[payed],SMALL(IF(ISNUMBER(MATCH(orderHistory[status],$D$11,0)*MATCH(orderHistory[order_type],$D$13,0)),MATCH(ROW(orderHistory[customer]),ROW(orderHistory[customer])),""),ROWS($A$15:A20)+$B$3)),INDEX(orderHistory[paye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payed],SMALL(IF(ISNUMBER(MATCH(orderHistory[customer],$D$9,0)),MATCH(ROW(orderHistory[customer]),ROW(orderHistory[customer])),""),ROWS($A$15:A20)+$B$3)),INDEX(orderHistory[payed],SMALL(IF(ISNUMBER(MATCH(orderHistory[customer],$D$9,0)*MATCH(YEAR(orderHistory[invoice_date]),$D$15,0)),MATCH(ROW(orderHistory[customer]),ROW(orderHistory[customer])),""),ROWS($A$15:A20)+$B$3))),IF($D$15="",INDEX(orderHistory[payed],SMALL(IF(ISNUMBER(MATCH(orderHistory[customer],$D$9,0)*MATCH(orderHistory[order_type],$D$13,0)),MATCH(ROW(orderHistory[customer]),ROW(orderHistory[customer])),""),ROWS($A$15:A20)+$B$3)),INDEX(orderHistory[paye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YEAR(orderHistory[payed]),$D$15,0)),MATCH(ROW(orderHistory[customer]),ROW(orderHistory[customer])),""),ROWS($A$15:A20)+$B$3))),IF($D$15="",INDEX(orderHistory[payed],SMALL(IF(ISNUMBER(MATCH(orderHistory[customer],$D$9,0)*MATCH(orderHistory[status],$D$11,0)*MATCH(orderHistory[order_type],$D$13,0)),MATCH(ROW(orderHistory[customer]),ROW(orderHistory[customer])),""),ROWS($A$15:A20)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U15" s="454" t="str">
        <f t="array" ref="U15">IFERROR(IF($D$9="",IF($D$11="",IF($D$13="",IF($D$15="",INDEX(orderHistory[shipping_method],SMALL(MATCH(ROW(orderHistory[customer]),ROW(orderHistory[customer])),ROWS($A$15:A20)+$B$3)),INDEX(orderHistory[shipping_method],SMALL(IF(ISNUMBER(MATCH(YEAR(orderHistory[invoice_date]),$D$15,0)),MATCH(ROW(orderHistory[customer]),ROW(orderHistory[customer])),""),ROWS($A$15:A20)+$B$3))),IF($D$15="",INDEX(orderHistory[shipping_method],SMALL(IF(ISNUMBER(MATCH(orderHistory[order_type],$D$13,0)),MATCH(ROW(orderHistory[customer]),ROW(orderHistory[customer])),""),ROWS($A$15:A20)+$B$3)),INDEX(orderHistory[shipping_method],SMALL(IF(ISNUMBER(MATCH(orderHistory[order_type],$D$13,0)*MATCH(YEAR(orderHistory[invoice_date]),$D$15,0)),MATCH(ROW(orderHistory[customer]),ROW(orderHistory[customer])),""),ROWS($A$15:A20)+$B$3)))),IF($D$13="",IF($D$15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YEAR(orderHistory[invoice_date]),$D$15,0)),MATCH(ROW(orderHistory[customer]),ROW(orderHistory[customer])),""),ROWS($A$15:A20)+$B$3))),IF($D$15="",INDEX(orderHistory[shipping_method],SMALL(IF(ISNUMBER(MATCH(orderHistory[status],$D$11,0)*MATCH(orderHistory[order_type],$D$13,0)),MATCH(ROW(orderHistory[customer]),ROW(orderHistory[customer])),""),ROWS($A$15:A20)+$B$3)),INDEX(orderHistory[shipping_metho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YEAR(orderHistory[invoice_date]),$D$15,0)),MATCH(ROW(orderHistory[customer]),ROW(orderHistory[customer])),""),ROWS($A$15:A20)+$B$3))),IF($D$15="",INDEX(orderHistory[shipping_method],SMALL(IF(ISNUMBER(MATCH(orderHistory[customer],$D$9,0)*MATCH(orderHistory[order_type],$D$13,0)),MATCH(ROW(orderHistory[customer]),ROW(orderHistory[customer])),""),ROWS($A$15:A20)+$B$3)),INDEX(orderHistory[shipping_metho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YEAR(orderHistory[shipping_method]),$D$15,0)),MATCH(ROW(orderHistory[customer]),ROW(orderHistory[customer])),""),ROWS($A$15:A20)+$B$3))),IF($D$15="",INDEX(orderHistory[shipping_method],SMALL(IF(ISNUMBER(MATCH(orderHistory[customer],$D$9,0)*MATCH(orderHistory[status],$D$11,0)*MATCH(orderHistory[order_type],$D$13,0)),MATCH(ROW(orderHistory[customer]),ROW(orderHistory[customer])),""),ROWS($A$15:A20)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V15" s="460" t="str">
        <f t="array" ref="V15">IFERROR(IF($D$9="",IF($D$11="",IF($D$13="",IF($D$15="",INDEX(orderHistory[status],SMALL(MATCH(ROW(orderHistory[customer]),ROW(orderHistory[customer])),ROWS($A$15:A20)+$B$3)),INDEX(orderHistory[status],SMALL(IF(ISNUMBER(MATCH(YEAR(orderHistory[invoice_date]),$D$15,0)),MATCH(ROW(orderHistory[customer]),ROW(orderHistory[customer])),""),ROWS($A$15:A20)+$B$3))),IF($D$15="",INDEX(orderHistory[status],SMALL(IF(ISNUMBER(MATCH(orderHistory[order_type],$D$13,0)),MATCH(ROW(orderHistory[customer]),ROW(orderHistory[customer])),""),ROWS($A$15:A20)+$B$3)),INDEX(orderHistory[status],SMALL(IF(ISNUMBER(MATCH(orderHistory[order_type],$D$13,0)*MATCH(YEAR(orderHistory[invoice_date]),$D$15,0)),MATCH(ROW(orderHistory[customer]),ROW(orderHistory[customer])),""),ROWS($A$15:A20)+$B$3)))),IF($D$13="",IF($D$15="",INDEX(orderHistory[status],SMALL(IF(ISNUMBER(MATCH(orderHistory[status],$D$11,0)),MATCH(ROW(orderHistory[customer]),ROW(orderHistory[customer])),""),ROWS($A$15:A20)+$B$3)),INDEX(orderHistory[status],SMALL(IF(ISNUMBER(MATCH(orderHistory[status],$D$11,0)*MATCH(YEAR(orderHistory[invoice_date]),$D$15,0)),MATCH(ROW(orderHistory[customer]),ROW(orderHistory[customer])),""),ROWS($A$15:A20)+$B$3))),IF($D$15="",INDEX(orderHistory[status],SMALL(IF(ISNUMBER(MATCH(orderHistory[status],$D$11,0)*MATCH(orderHistory[order_type],$D$13,0)),MATCH(ROW(orderHistory[customer]),ROW(orderHistory[customer])),""),ROWS($A$15:A20)+$B$3)),INDEX(orderHistory[statu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tatus],SMALL(IF(ISNUMBER(MATCH(orderHistory[customer],$D$9,0)),MATCH(ROW(orderHistory[customer]),ROW(orderHistory[customer])),""),ROWS($A$15:A20)+$B$3)),INDEX(orderHistory[status],SMALL(IF(ISNUMBER(MATCH(orderHistory[customer],$D$9,0)*MATCH(YEAR(orderHistory[invoice_date]),$D$15,0)),MATCH(ROW(orderHistory[customer]),ROW(orderHistory[customer])),""),ROWS($A$15:A20)+$B$3))),IF($D$15="",INDEX(orderHistory[status],SMALL(IF(ISNUMBER(MATCH(orderHistory[customer],$D$9,0)*MATCH(orderHistory[order_type],$D$13,0)),MATCH(ROW(orderHistory[customer]),ROW(orderHistory[customer])),""),ROWS($A$15:A20)+$B$3)),INDEX(orderHistory[statu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YEAR(orderHistory[status]),$D$15,0)),MATCH(ROW(orderHistory[customer]),ROW(orderHistory[customer])),""),ROWS($A$15:A20)+$B$3))),IF($D$15="",INDEX(orderHistory[status],SMALL(IF(ISNUMBER(MATCH(orderHistory[customer],$D$9,0)*MATCH(orderHistory[status],$D$11,0)*MATCH(orderHistory[order_type],$D$13,0)),MATCH(ROW(orderHistory[customer]),ROW(orderHistory[customer])),""),ROWS($A$15:A20)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W15" s="75"/>
      <c r="AQ15" s="396"/>
      <c r="AR15" s="397"/>
      <c r="AS15" s="397"/>
      <c r="AT15" s="397"/>
      <c r="AU15" s="347"/>
      <c r="AW15" s="378"/>
      <c r="AX15" s="388"/>
      <c r="BD15" s="376"/>
      <c r="BE15" s="376"/>
      <c r="BF15" s="390"/>
      <c r="BG15" s="382"/>
      <c r="BH15" s="382"/>
      <c r="BJ15" s="339"/>
      <c r="BK15" s="391"/>
      <c r="BL15" s="367"/>
      <c r="BM15" s="368"/>
      <c r="BN15" s="367"/>
      <c r="BO15" s="368"/>
      <c r="BX15" s="372" t="e">
        <f>IF(BX9="","",INDEX(orderHistory[order_type],MATCH($BX$11,orderHistory[order_no],0)))</f>
        <v>#N/A</v>
      </c>
      <c r="BZ15" s="495" t="s">
        <v>125</v>
      </c>
      <c r="CA15" s="477" t="str">
        <f>IF(BZ15="","",INDEX(bhpc_data[description],MATCH(BZ15,bhpc_data[sku],0)))</f>
        <v>BHPC PRESTIGE CHALLENGE 100ML EDP WOMEN</v>
      </c>
      <c r="CB15" s="480">
        <v>720</v>
      </c>
      <c r="CC15" s="523">
        <v>14.53</v>
      </c>
      <c r="CD15" s="491"/>
      <c r="CE15" s="481"/>
      <c r="CF15" s="482">
        <v>100</v>
      </c>
      <c r="CG15" s="483">
        <f>IFERROR(ROUNDUP(CB15/INDEX(bhpc_data[units_per_carton],MATCH(BZ15,bhpc_data[sku],0)),0),"")</f>
        <v>30</v>
      </c>
      <c r="CH15" s="484">
        <f>IFERROR(ROUNDUP(CD15/INDEX(bhpc_data[units_per_carton],MATCH(BZ15,bhpc_data[sku],0)),0),"")</f>
        <v>0</v>
      </c>
      <c r="CI15" s="484">
        <f>IFERROR(ROUNDUP(CF15/INDEX(bhpc_data[units_per_carton],MATCH(BZ15,bhpc_data[sku])),0),"")</f>
        <v>5</v>
      </c>
      <c r="CJ15" s="484">
        <f>IFERROR(((CB15+CD15+CF15)/INDEX(bhpc_data[units_per_carton],MATCH(BZ15,bhpc_data[sku],0)))*INDEX(bhpc_data[net_weight],MATCH(BZ15,bhpc_data[sku],0)),"")</f>
        <v>311.59999999999997</v>
      </c>
      <c r="CK15" s="484">
        <f>IFERROR(((CB15+CD15+CF15)/INDEX(bhpc_data[units_per_carton],MATCH(BZ15,bhpc_data[sku],0)))*INDEX(bhpc_data[gross_weight],MATCH(BZ15,bhpc_data[sku],0)),"")</f>
        <v>324.58333333333331</v>
      </c>
      <c r="CL15" s="485">
        <f>IFERROR((CB15+CD15+CF15)/INDEX(bhpc_data[units_per_carton],MATCH(BZ15,bhpc_data[sku],0))*INDEX(bhpc_data[lenght],MATCH(BZ15,bhpc_data[sku],0))*INDEX(bhpc_data[width],MATCH(BZ15,bhpc_data[sku],0))*INDEX(bhpc_data[height],MATCH(BZ15,bhpc_data[sku],0))/1000000000,"")</f>
        <v>0.59898437500000001</v>
      </c>
      <c r="CM15" s="486" t="str">
        <f>IFERROR(INDEX(bhpc_data[category],MATCH(BZ15,bhpc_data[sku],0)),"")</f>
        <v>PRESTIGE</v>
      </c>
      <c r="CN15" s="486">
        <f>IFERROR(INDEX(bhpc_data[size1],MATCH(BZ15,bhpc_data[sku],0)),"")</f>
        <v>100</v>
      </c>
      <c r="CO15" s="487" t="str">
        <f>IFERROR(INDEX(bhpc_data[hs_code],MATCH(BZ15,bhpc_data[sku],0)),"")</f>
        <v>33030010</v>
      </c>
      <c r="CP15" s="482">
        <v>11.68</v>
      </c>
      <c r="CQ15" s="488" t="str">
        <f>IFERROR(IF(BZ15="","",IF($BX$15="SALE",INDEX(inventory[COSTO UNITARIO],MATCH(BZ15,inventory[ARTICOLO],0)),IF($BX$15="SAMPLING",INDEX(inventory[COSTO UNITARIO],MATCH(BZ15,inventory[ARTICOLO],0)),""))),"")</f>
        <v/>
      </c>
      <c r="CR15" s="488" t="str">
        <f t="shared" si="0"/>
        <v/>
      </c>
      <c r="CS15" s="489">
        <f t="shared" si="1"/>
        <v>10461.6</v>
      </c>
      <c r="CT15" s="573" t="e">
        <f t="shared" si="2"/>
        <v>#N/A</v>
      </c>
      <c r="CV15" s="85"/>
      <c r="CW15" s="89" t="s">
        <v>593</v>
      </c>
      <c r="CX15" s="231">
        <f>SUM($CD$10:$CD$110)</f>
        <v>0</v>
      </c>
      <c r="CY15" s="301" t="s">
        <v>594</v>
      </c>
      <c r="CZ15" s="234" t="e">
        <f>IF($BX$15="SUPPLY",0,CZ11*7%)</f>
        <v>#N/A</v>
      </c>
      <c r="DA15" s="82"/>
      <c r="DH15" s="245"/>
      <c r="EE15" s="541" t="str" cm="1">
        <f t="array" ref="EE15">IFERROR(IF($EC$9="",IF($EC$11="",IF($EC$13="",INDEX(bhpc_data[sku],SMALL(MATCH(ROW(bhpc_data[sku]),ROW(bhpc_data[sku])),ROWS($A$15:A20)+$B$3)),INDEX(bhpc_data[sku],SMALL(IF(ISNUMBER(MATCH(bhpc_data[size1],$EC$13,0)),MATCH(ROW(bhpc_data[sku]),ROW(bhpc_data[sku])),""),ROWS($A$15:A20)+$B$3))),IF($EC$13="",INDEX(bhpc_data[sku],SMALL(IF(ISNUMBER(MATCH(bhpc_data[sex],$EC$11,0)),MATCH(ROW(bhpc_data[sku]),ROW(bhpc_data[sku])),""),ROWS($A$15:A20)+$B$3)),INDEX(bhpc_data[sku],SMALL(IF(ISNUMBER(MATCH(bhpc_data[sex],$EC$11,0)*MATCH(bhpc_data[size1],$EC$13,0)),MATCH(ROW(bhpc_data[sku]),ROW(bhpc_data[sku])),""),ROWS($A$15:A20)+$B$3)))),IF($EC$11="",IF($EC$13="",INDEX(bhpc_data[sku],SMALL(IF(ISNUMBER(MATCH(bhpc_data[category],$EC$9,0)),MATCH(ROW(bhpc_data[sku]),ROW(bhpc_data[sku])),""),ROWS($A$15:A20)+$B$3)),INDEX(bhpc_data[sku],SMALL(IF(ISNUMBER(MATCH(bhpc_data[category],$EC$9,0)*MATCH(bhpc_data[size1],$EC$13,0)),MATCH(ROW(bhpc_data[sku]),ROW(bhpc_data[sku])),""),ROWS($A$15:A20)+$B$3))),IF($EC$13="",INDEX(bhpc_data[sku],SMALL(IF(ISNUMBER(MATCH(bhpc_data[category],$EC$9,0)*MATCH(bhpc_data[sex],$EC$11,0)),MATCH(ROW(bhpc_data[sku]),ROW(bhpc_data[sku])),""),ROWS($A$15:A20)+$B$3)),INDEX(bhpc_data[sku],SMALL(IF(ISNUMBER(MATCH(bhpc_data[category],$EC$9,0)*MATCH(bhpc_data[sex],$EC$11,0)*MATCH(bhpc_data[size1],$EC$13,0)),MATCH(ROW(bhpc_data[sku]),ROW(bhpc_data[sku])),""),ROWS($A$15:A20)+$B$3))))),"")</f>
        <v>GS5009</v>
      </c>
      <c r="EF15" s="542" t="str" cm="1">
        <f t="array" ref="EF15">IFERROR(IF($EC$9="",IF($EC$11="",IF($EC$13="",INDEX(bhpc_data[description],SMALL(MATCH(ROW(bhpc_data[sku]),ROW(bhpc_data[sku])),ROWS($A$15:A20)+$B$3)),INDEX(bhpc_data[description],SMALL(IF(ISNUMBER(MATCH(bhpc_data[size1],$EC$13,0)),MATCH(ROW(bhpc_data[sku]),ROW(bhpc_data[sku])),""),ROWS($A$15:A20)+$B$3))),IF($EC$13="",INDEX(bhpc_data[description],SMALL(IF(ISNUMBER(MATCH(bhpc_data[sex],$EC$11,0)),MATCH(ROW(bhpc_data[sku]),ROW(bhpc_data[sku])),""),ROWS($A$15:A20)+$B$3)),INDEX(bhpc_data[description],SMALL(IF(ISNUMBER(MATCH(bhpc_data[sex],$EC$11,0)*MATCH(bhpc_data[size1],$EC$13,0)),MATCH(ROW(bhpc_data[sku]),ROW(bhpc_data[sku])),""),ROWS($A$15:A20)+$B$3)))),IF($EC$11="",IF($EC$13="",INDEX(bhpc_data[description],SMALL(IF(ISNUMBER(MATCH(bhpc_data[category],$EC$9,0)),MATCH(ROW(bhpc_data[sku]),ROW(bhpc_data[sku])),""),ROWS($A$15:A20)+$B$3)),INDEX(bhpc_data[description],SMALL(IF(ISNUMBER(MATCH(bhpc_data[category],$EC$9,0)*MATCH(bhpc_data[size1],$EC$13,0)),MATCH(ROW(bhpc_data[sku]),ROW(bhpc_data[sku])),""),ROWS($A$15:A20)+$B$3))),IF($EC$13="",INDEX(bhpc_data[description],SMALL(IF(ISNUMBER(MATCH(bhpc_data[category],$EC$9,0)*MATCH(bhpc_data[sex],$EC$11,0)),MATCH(ROW(bhpc_data[sku]),ROW(bhpc_data[sku])),""),ROWS($A$15:A20)+$B$3)),INDEX(bhpc_data[description],SMALL(IF(ISNUMBER(MATCH(bhpc_data[category],$EC$9,0)*MATCH(bhpc_data[sex],$EC$11,0)*MATCH(bhpc_data[size1],$EC$13,0)),MATCH(ROW(bhpc_data[sku]),ROW(bhpc_data[sku])),""),ROWS($A$15:A20)+$B$3))))),"")</f>
        <v>BHPC GIFT SET SPORT MEN 9 EDT 50ML + DEO 175ML</v>
      </c>
      <c r="EG15" s="543">
        <f>IFERROR(IF('BHPC MANAGER'!$EE15="","",INDEX(inventory[ESISTENZA],MATCH('BHPC MANAGER'!$EE15,inventory[ARTICOLO],0))),0)</f>
        <v>267</v>
      </c>
      <c r="EH15" s="544">
        <v>-1778</v>
      </c>
      <c r="EI15" s="544">
        <f t="shared" si="3"/>
        <v>-1511</v>
      </c>
      <c r="EJ15" s="545">
        <v>-72</v>
      </c>
      <c r="EK15" s="546">
        <f t="shared" si="4"/>
        <v>-1583</v>
      </c>
      <c r="FF15" s="331"/>
      <c r="FG15" s="331"/>
      <c r="FH15" s="331"/>
      <c r="FI15" s="331"/>
      <c r="FJ15" s="331"/>
      <c r="FK15" s="331"/>
      <c r="FL15" s="331"/>
      <c r="FM15" s="331"/>
      <c r="FN15" s="331"/>
      <c r="FO15" s="331"/>
      <c r="FP15" s="331"/>
      <c r="FQ15" s="331"/>
      <c r="FR15" s="331"/>
      <c r="FS15" s="331"/>
      <c r="FT15" s="331"/>
      <c r="FU15" s="331"/>
      <c r="FV15" s="331"/>
      <c r="FW15" s="331"/>
      <c r="FX15" s="331"/>
      <c r="FY15" s="331"/>
      <c r="FZ15" s="331"/>
      <c r="GA15" s="331"/>
      <c r="GB15" s="331"/>
      <c r="GC15" s="331"/>
      <c r="GD15" s="331"/>
      <c r="GE15" s="331"/>
      <c r="GF15" s="331"/>
      <c r="GG15" s="331"/>
      <c r="GH15" s="331"/>
      <c r="GI15" s="331"/>
      <c r="GJ15" s="331"/>
      <c r="GK15" s="331"/>
      <c r="GL15" s="331"/>
      <c r="GM15" s="331"/>
      <c r="GN15" s="331"/>
      <c r="GO15" s="331"/>
      <c r="GP15" s="331"/>
      <c r="GQ15" s="331"/>
      <c r="GR15" s="331"/>
      <c r="GS15" s="331"/>
      <c r="GT15" s="331"/>
      <c r="GU15" s="331"/>
      <c r="GV15" s="331"/>
      <c r="GW15" s="331"/>
      <c r="GX15" s="331"/>
      <c r="GY15" s="331"/>
      <c r="GZ15" s="331"/>
      <c r="HA15" s="331"/>
      <c r="HB15" s="331"/>
      <c r="HC15" s="331"/>
      <c r="HD15" s="331"/>
      <c r="HE15" s="331"/>
      <c r="HF15" s="331"/>
      <c r="HG15" s="331"/>
      <c r="HH15" s="331"/>
      <c r="HI15" s="331"/>
      <c r="HJ15" s="331"/>
      <c r="HK15" s="331"/>
      <c r="HL15" s="331"/>
      <c r="HM15" s="331"/>
      <c r="HN15" s="331"/>
      <c r="HO15" s="331"/>
      <c r="HP15" s="331"/>
      <c r="HQ15" s="331"/>
      <c r="HR15" s="331"/>
      <c r="HS15" s="331"/>
      <c r="HT15" s="331"/>
    </row>
    <row r="16" spans="1:702" ht="15" customHeight="1" thickBot="1" x14ac:dyDescent="0.4">
      <c r="A16" s="152" t="s">
        <v>612</v>
      </c>
      <c r="B16" s="153">
        <v>45488.760925925926</v>
      </c>
      <c r="F16" s="93"/>
      <c r="G16" s="841"/>
      <c r="H16" s="842"/>
      <c r="I16" s="843"/>
      <c r="J16" s="82"/>
      <c r="L16" s="452" t="str">
        <f t="array" ref="L16">IFERROR(IF($D$9="",IF($D$11="",IF($D$13="",IF($D$15="",INDEX(orderHistory[customer],SMALL(MATCH(ROW(orderHistory[customer]),ROW(orderHistory[customer])),ROWS($A$15:A21)+$B$3)),INDEX(orderHistory[customer],SMALL(IF(ISNUMBER(MATCH(YEAR(orderHistory[invoice_date]),$D$15,0)),MATCH(ROW(orderHistory[customer]),ROW(orderHistory[customer])),""),ROWS($A$15:A21)+$B$3))),IF($D$15="",INDEX(orderHistory[customer],SMALL(IF(ISNUMBER(MATCH(orderHistory[order_type],$D$13,0)),MATCH(ROW(orderHistory[customer]),ROW(orderHistory[customer])),""),ROWS($A$15:A21)+$B$3)),INDEX(orderHistory[customer],SMALL(IF(ISNUMBER(MATCH(orderHistory[order_type],$D$13,0)*MATCH(YEAR(orderHistory[invoice_date]),$D$15,0)),MATCH(ROW(orderHistory[customer]),ROW(orderHistory[customer])),""),ROWS($A$15:A21)+$B$3)))),IF($D$13="",IF($D$15="",INDEX(orderHistory[customer],SMALL(IF(ISNUMBER(MATCH(orderHistory[status],$D$11,0)),MATCH(ROW(orderHistory[customer]),ROW(orderHistory[customer])),""),ROWS($A$15:A21)+$B$3)),INDEX(orderHistory[customer],SMALL(IF(ISNUMBER(MATCH(orderHistory[status],$D$11,0)*MATCH(YEAR(orderHistory[invoice_date]),$D$15,0)),MATCH(ROW(orderHistory[customer]),ROW(orderHistory[customer])),""),ROWS($A$15:A21)+$B$3))),IF($D$15="",INDEX(orderHistory[customer],SMALL(IF(ISNUMBER(MATCH(orderHistory[status],$D$11,0)*MATCH(orderHistory[order_type],$D$13,0)),MATCH(ROW(orderHistory[customer]),ROW(orderHistory[customer])),""),ROWS($A$15:A21)+$B$3)),INDEX(orderHistory[customer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customer],SMALL(IF(ISNUMBER(MATCH(orderHistory[customer],$D$9,0)),MATCH(ROW(orderHistory[customer]),ROW(orderHistory[customer])),""),ROWS($A$15:A21)+$B$3)),INDEX(orderHistory[customer],SMALL(IF(ISNUMBER(MATCH(orderHistory[customer],$D$9,0)*MATCH(YEAR(orderHistory[invoice_date]),$D$15,0)),MATCH(ROW(orderHistory[customer]),ROW(orderHistory[customer])),""),ROWS($A$15:A21)+$B$3))),IF($D$15="",INDEX(orderHistory[customer],SMALL(IF(ISNUMBER(MATCH(orderHistory[customer],$D$9,0)*MATCH(orderHistory[order_type],$D$13,0)),MATCH(ROW(orderHistory[customer]),ROW(orderHistory[customer])),""),ROWS($A$15:A21)+$B$3)),INDEX(orderHistory[customer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YEAR(orderHistory[invoice_date]),$D$15,0)),MATCH(ROW(orderHistory[customer]),ROW(orderHistory[customer])),""),ROWS($A$15:A21)+$B$3))),IF($D$15="",INDEX(orderHistory[customer],SMALL(IF(ISNUMBER(MATCH(orderHistory[customer],$D$9,0)*MATCH(orderHistory[status],$D$11,0)*MATCH(orderHistory[order_type],$D$13,0)),MATCH(ROW(orderHistory[customer]),ROW(orderHistory[customer])),""),ROWS($A$15:A21)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M16" s="453" t="str">
        <f t="array" ref="M16">IFERROR(IF($D$9="",IF($D$11="",IF($D$13="",IF($D$15="",INDEX(orderHistory[order_no],SMALL(MATCH(ROW(orderHistory[customer]),ROW(orderHistory[customer])),ROWS($A$15:A21)+$B$3)),INDEX(orderHistory[order_no],SMALL(IF(ISNUMBER(MATCH(YEAR(orderHistory[invoice_date]),$D$15,0)),MATCH(ROW(orderHistory[customer]),ROW(orderHistory[customer])),""),ROWS($A$15:A21)+$B$3))),IF($D$15="",INDEX(orderHistory[order_no],SMALL(IF(ISNUMBER(MATCH(orderHistory[order_type],$D$13,0)),MATCH(ROW(orderHistory[customer]),ROW(orderHistory[customer])),""),ROWS($A$15:A21)+$B$3)),INDEX(orderHistory[order_no],SMALL(IF(ISNUMBER(MATCH(orderHistory[order_type],$D$13,0)*MATCH(YEAR(orderHistory[invoice_date]),$D$15,0)),MATCH(ROW(orderHistory[customer]),ROW(orderHistory[customer])),""),ROWS($A$15:A21)+$B$3)))),IF($D$13="",IF($D$15="",INDEX(orderHistory[order_no],SMALL(IF(ISNUMBER(MATCH(orderHistory[status],$D$11,0)),MATCH(ROW(orderHistory[customer]),ROW(orderHistory[customer])),""),ROWS($A$15:A21)+$B$3)),INDEX(orderHistory[order_no],SMALL(IF(ISNUMBER(MATCH(orderHistory[status],$D$11,0)*MATCH(YEAR(orderHistory[invoice_date]),$D$15,0)),MATCH(ROW(orderHistory[customer]),ROW(orderHistory[customer])),""),ROWS($A$15:A21)+$B$3))),IF($D$15="",INDEX(orderHistory[order_no],SMALL(IF(ISNUMBER(MATCH(orderHistory[status],$D$11,0)*MATCH(orderHistory[order_type],$D$13,0)),MATCH(ROW(orderHistory[customer]),ROW(orderHistory[customer])),""),ROWS($A$15:A21)+$B$3)),INDEX(orderHistory[order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no],SMALL(IF(ISNUMBER(MATCH(orderHistory[customer],$D$9,0)),MATCH(ROW(orderHistory[customer]),ROW(orderHistory[customer])),""),ROWS($A$15:A21)+$B$3)),INDEX(orderHistory[order_no],SMALL(IF(ISNUMBER(MATCH(orderHistory[customer],$D$9,0)*MATCH(YEAR(orderHistory[invoice_date]),$D$15,0)),MATCH(ROW(orderHistory[customer]),ROW(orderHistory[customer])),""),ROWS($A$15:A21)+$B$3))),IF($D$15="",INDEX(orderHistory[order_no],SMALL(IF(ISNUMBER(MATCH(orderHistory[customer],$D$9,0)*MATCH(orderHistory[order_type],$D$13,0)),MATCH(ROW(orderHistory[customer]),ROW(orderHistory[customer])),""),ROWS($A$15:A21)+$B$3)),INDEX(orderHistory[order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YEAR(orderHistory[invoice_date]),$D$15,0)),MATCH(ROW(orderHistory[customer]),ROW(orderHistory[customer])),""),ROWS($A$15:A21)+$B$3))),IF($D$15="",INDEX(orderHistory[order_no],SMALL(IF(ISNUMBER(MATCH(orderHistory[customer],$D$9,0)*MATCH(orderHistory[status],$D$11,0)*MATCH(orderHistory[order_type],$D$13,0)),MATCH(ROW(orderHistory[customer]),ROW(orderHistory[customer])),""),ROWS($A$15:A21)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N16" s="454" t="str">
        <f t="array" ref="N16">IFERROR(IF($D$9="",IF($D$11="",IF($D$13="",IF($D$15="",INDEX(orderHistory[order_type],SMALL(MATCH(ROW(orderHistory[customer]),ROW(orderHistory[customer])),ROWS($A$15:A21)+$B$3)),INDEX(orderHistory[order_type],SMALL(IF(ISNUMBER(MATCH(YEAR(orderHistory[invoice_date]),$D$15,0)),MATCH(ROW(orderHistory[customer]),ROW(orderHistory[customer])),""),ROWS($A$15:A21)+$B$3))),IF($D$15="",INDEX(orderHistory[order_type],SMALL(IF(ISNUMBER(MATCH(orderHistory[order_type],$D$13,0)),MATCH(ROW(orderHistory[customer]),ROW(orderHistory[customer])),""),ROWS($A$15:A21)+$B$3)),INDEX(orderHistory[order_type],SMALL(IF(ISNUMBER(MATCH(orderHistory[order_type],$D$13,0)*MATCH(YEAR(orderHistory[invoice_date]),$D$15,0)),MATCH(ROW(orderHistory[customer]),ROW(orderHistory[customer])),""),ROWS($A$15:A21)+$B$3)))),IF($D$13="",IF($D$15="",INDEX(orderHistory[order_type],SMALL(IF(ISNUMBER(MATCH(orderHistory[status],$D$11,0)),MATCH(ROW(orderHistory[customer]),ROW(orderHistory[customer])),""),ROWS($A$15:A21)+$B$3)),INDEX(orderHistory[order_type],SMALL(IF(ISNUMBER(MATCH(orderHistory[status],$D$11,0)*MATCH(YEAR(orderHistory[invoice_date]),$D$15,0)),MATCH(ROW(orderHistory[customer]),ROW(orderHistory[customer])),""),ROWS($A$15:A21)+$B$3))),IF($D$15="",INDEX(orderHistory[order_type],SMALL(IF(ISNUMBER(MATCH(orderHistory[status],$D$11,0)*MATCH(orderHistory[order_type],$D$13,0)),MATCH(ROW(orderHistory[customer]),ROW(orderHistory[customer])),""),ROWS($A$15:A21)+$B$3)),INDEX(orderHistory[order_typ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type],SMALL(IF(ISNUMBER(MATCH(orderHistory[customer],$D$9,0)),MATCH(ROW(orderHistory[customer]),ROW(orderHistory[customer])),""),ROWS($A$15:A21)+$B$3)),INDEX(orderHistory[order_type],SMALL(IF(ISNUMBER(MATCH(orderHistory[customer],$D$9,0)*MATCH(YEAR(orderHistory[invoice_date]),$D$15,0)),MATCH(ROW(orderHistory[customer]),ROW(orderHistory[customer])),""),ROWS($A$15:A21)+$B$3))),IF($D$15="",INDEX(orderHistory[order_type],SMALL(IF(ISNUMBER(MATCH(orderHistory[customer],$D$9,0)*MATCH(orderHistory[order_type],$D$13,0)),MATCH(ROW(orderHistory[customer]),ROW(orderHistory[customer])),""),ROWS($A$15:A21)+$B$3)),INDEX(orderHistory[order_typ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YEAR(orderHistory[invoice_date]),$D$15,0)),MATCH(ROW(orderHistory[customer]),ROW(orderHistory[customer])),""),ROWS($A$15:A21)+$B$3))),IF($D$15="",INDEX(orderHistory[order_type],SMALL(IF(ISNUMBER(MATCH(orderHistory[customer],$D$9,0)*MATCH(orderHistory[status],$D$11,0)*MATCH(orderHistory[order_type],$D$13,0)),MATCH(ROW(orderHistory[customer]),ROW(orderHistory[customer])),""),ROWS($A$15:A21)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O16" s="455" t="str">
        <f t="array" ref="O16">IFERROR(IF($D$9="",IF($D$11="",IF($D$13="",IF($D$15="",INDEX(orderHistory[order_date],SMALL(MATCH(ROW(orderHistory[customer]),ROW(orderHistory[customer])),ROWS($A$15:A21)+$B$3)),INDEX(orderHistory[order_date],SMALL(IF(ISNUMBER(MATCH(YEAR(orderHistory[invoice_date]),$D$15,0)),MATCH(ROW(orderHistory[customer]),ROW(orderHistory[customer])),""),ROWS($A$15:A21)+$B$3))),IF($D$15="",INDEX(orderHistory[order_date],SMALL(IF(ISNUMBER(MATCH(orderHistory[order_type],$D$13,0)),MATCH(ROW(orderHistory[customer]),ROW(orderHistory[customer])),""),ROWS($A$15:A21)+$B$3)),INDEX(orderHistory[order_date],SMALL(IF(ISNUMBER(MATCH(orderHistory[order_type],$D$13,0)*MATCH(YEAR(orderHistory[invoice_date]),$D$15,0)),MATCH(ROW(orderHistory[customer]),ROW(orderHistory[customer])),""),ROWS($A$15:A21)+$B$3)))),IF($D$13="",IF($D$15="",INDEX(orderHistory[order_date],SMALL(IF(ISNUMBER(MATCH(orderHistory[status],$D$11,0)),MATCH(ROW(orderHistory[customer]),ROW(orderHistory[customer])),""),ROWS($A$15:A21)+$B$3)),INDEX(orderHistory[order_date],SMALL(IF(ISNUMBER(MATCH(orderHistory[status],$D$11,0)*MATCH(YEAR(orderHistory[invoice_date]),$D$15,0)),MATCH(ROW(orderHistory[customer]),ROW(orderHistory[customer])),""),ROWS($A$15:A21)+$B$3))),IF($D$15="",INDEX(orderHistory[order_date],SMALL(IF(ISNUMBER(MATCH(orderHistory[status],$D$11,0)*MATCH(orderHistory[order_type],$D$13,0)),MATCH(ROW(orderHistory[customer]),ROW(orderHistory[customer])),""),ROWS($A$15:A21)+$B$3)),INDEX(orderHistory[order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date],SMALL(IF(ISNUMBER(MATCH(orderHistory[customer],$D$9,0)),MATCH(ROW(orderHistory[customer]),ROW(orderHistory[customer])),""),ROWS($A$15:A21)+$B$3)),INDEX(orderHistory[order_date],SMALL(IF(ISNUMBER(MATCH(orderHistory[customer],$D$9,0)*MATCH(YEAR(orderHistory[invoice_date]),$D$15,0)),MATCH(ROW(orderHistory[customer]),ROW(orderHistory[customer])),""),ROWS($A$15:A21)+$B$3))),IF($D$15="",INDEX(orderHistory[order_date],SMALL(IF(ISNUMBER(MATCH(orderHistory[customer],$D$9,0)*MATCH(orderHistory[order_type],$D$13,0)),MATCH(ROW(orderHistory[customer]),ROW(orderHistory[customer])),""),ROWS($A$15:A21)+$B$3)),INDEX(orderHistory[order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YEAR(orderHistory[invoice_date]),$D$15,0)),MATCH(ROW(orderHistory[customer]),ROW(orderHistory[customer])),""),ROWS($A$15:A21)+$B$3))),IF($D$15="",INDEX(orderHistory[order_date],SMALL(IF(ISNUMBER(MATCH(orderHistory[customer],$D$9,0)*MATCH(orderHistory[status],$D$11,0)*MATCH(orderHistory[order_type],$D$13,0)),MATCH(ROW(orderHistory[customer]),ROW(orderHistory[customer])),""),ROWS($A$15:A21)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P16" s="456" t="str">
        <f t="array" ref="P16">IFERROR(IF($D$9="",IF($D$11="",IF($D$13="",IF($D$15="",INDEX(orderHistory[invoice_no],SMALL(MATCH(ROW(orderHistory[customer]),ROW(orderHistory[customer])),ROWS($A$15:A21)+$B$3)),INDEX(orderHistory[invoice_no],SMALL(IF(ISNUMBER(MATCH(YEAR(orderHistory[invoice_date]),$D$15,0)),MATCH(ROW(orderHistory[customer]),ROW(orderHistory[customer])),""),ROWS($A$15:A21)+$B$3))),IF($D$15="",INDEX(orderHistory[invoice_no],SMALL(IF(ISNUMBER(MATCH(orderHistory[order_type],$D$13,0)),MATCH(ROW(orderHistory[customer]),ROW(orderHistory[customer])),""),ROWS($A$15:A21)+$B$3)),INDEX(orderHistory[invoice_no],SMALL(IF(ISNUMBER(MATCH(orderHistory[order_type],$D$13,0)*MATCH(YEAR(orderHistory[invoice_date]),$D$15,0)),MATCH(ROW(orderHistory[customer]),ROW(orderHistory[customer])),""),ROWS($A$15:A21)+$B$3)))),IF($D$13="",IF($D$15="",INDEX(orderHistory[invoice_no],SMALL(IF(ISNUMBER(MATCH(orderHistory[status],$D$11,0)),MATCH(ROW(orderHistory[customer]),ROW(orderHistory[customer])),""),ROWS($A$15:A21)+$B$3)),INDEX(orderHistory[invoice_no],SMALL(IF(ISNUMBER(MATCH(orderHistory[status],$D$11,0)*MATCH(YEAR(orderHistory[invoice_date]),$D$15,0)),MATCH(ROW(orderHistory[customer]),ROW(orderHistory[customer])),""),ROWS($A$15:A21)+$B$3))),IF($D$15="",INDEX(orderHistory[invoice_no],SMALL(IF(ISNUMBER(MATCH(orderHistory[status],$D$11,0)*MATCH(orderHistory[order_type],$D$13,0)),MATCH(ROW(orderHistory[customer]),ROW(orderHistory[customer])),""),ROWS($A$15:A21)+$B$3)),INDEX(orderHistory[invoice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no],SMALL(IF(ISNUMBER(MATCH(orderHistory[customer],$D$9,0)),MATCH(ROW(orderHistory[customer]),ROW(orderHistory[customer])),""),ROWS($A$15:A21)+$B$3)),INDEX(orderHistory[invoice_no],SMALL(IF(ISNUMBER(MATCH(orderHistory[customer],$D$9,0)*MATCH(YEAR(orderHistory[invoice_date]),$D$15,0)),MATCH(ROW(orderHistory[customer]),ROW(orderHistory[customer])),""),ROWS($A$15:A21)+$B$3))),IF($D$15="",INDEX(orderHistory[invoice_no],SMALL(IF(ISNUMBER(MATCH(orderHistory[customer],$D$9,0)*MATCH(orderHistory[order_type],$D$13,0)),MATCH(ROW(orderHistory[customer]),ROW(orderHistory[customer])),""),ROWS($A$15:A21)+$B$3)),INDEX(orderHistory[invoice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YEAR(orderHistory[invoice_date]),$D$15,0)),MATCH(ROW(orderHistory[customer]),ROW(orderHistory[customer])),""),ROWS($A$15:A21)+$B$3))),IF($D$15="",INDEX(orderHistory[invoice_no],SMALL(IF(ISNUMBER(MATCH(orderHistory[customer],$D$9,0)*MATCH(orderHistory[status],$D$11,0)*MATCH(orderHistory[order_type],$D$13,0)),MATCH(ROW(orderHistory[customer]),ROW(orderHistory[customer])),""),ROWS($A$15:A21)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Q16" s="457" t="str">
        <f t="array" ref="Q16">IFERROR(IF($D$9="",IF($D$11="",IF($D$13="",IF($D$15="",INDEX(orderHistory[invoice_date],SMALL(MATCH(ROW(orderHistory[customer]),ROW(orderHistory[customer])),ROWS($A$15:A21)+$B$3)),INDEX(orderHistory[invoice_date],SMALL(IF(ISNUMBER(MATCH(YEAR(orderHistory[invoice_date]),$D$15,0)),MATCH(ROW(orderHistory[customer]),ROW(orderHistory[customer])),""),ROWS($A$15:A21)+$B$3))),IF($D$15="",INDEX(orderHistory[invoice_date],SMALL(IF(ISNUMBER(MATCH(orderHistory[order_type],$D$13,0)),MATCH(ROW(orderHistory[customer]),ROW(orderHistory[customer])),""),ROWS($A$15:A21)+$B$3)),INDEX(orderHistory[invoice_date],SMALL(IF(ISNUMBER(MATCH(orderHistory[order_type],$D$13,0)*MATCH(YEAR(orderHistory[invoice_date]),$D$15,0)),MATCH(ROW(orderHistory[customer]),ROW(orderHistory[customer])),""),ROWS($A$15:A21)+$B$3)))),IF($D$13="",IF($D$15="",INDEX(orderHistory[invoice_date],SMALL(IF(ISNUMBER(MATCH(orderHistory[status],$D$11,0)),MATCH(ROW(orderHistory[customer]),ROW(orderHistory[customer])),""),ROWS($A$15:A21)+$B$3)),INDEX(orderHistory[invoice_date],SMALL(IF(ISNUMBER(MATCH(orderHistory[status],$D$11,0)*MATCH(YEAR(orderHistory[invoice_date]),$D$15,0)),MATCH(ROW(orderHistory[customer]),ROW(orderHistory[customer])),""),ROWS($A$15:A21)+$B$3))),IF($D$15="",INDEX(orderHistory[invoice_date],SMALL(IF(ISNUMBER(MATCH(orderHistory[status],$D$11,0)*MATCH(orderHistory[order_type],$D$13,0)),MATCH(ROW(orderHistory[customer]),ROW(orderHistory[customer])),""),ROWS($A$15:A21)+$B$3)),INDEX(orderHistory[invoice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date],SMALL(IF(ISNUMBER(MATCH(orderHistory[customer],$D$9,0)),MATCH(ROW(orderHistory[customer]),ROW(orderHistory[customer])),""),ROWS($A$15:A21)+$B$3)),INDEX(orderHistory[invoice_date],SMALL(IF(ISNUMBER(MATCH(orderHistory[customer],$D$9,0)*MATCH(YEAR(orderHistory[invoice_date]),$D$15,0)),MATCH(ROW(orderHistory[customer]),ROW(orderHistory[customer])),""),ROWS($A$15:A21)+$B$3))),IF($D$15="",INDEX(orderHistory[invoice_date],SMALL(IF(ISNUMBER(MATCH(orderHistory[customer],$D$9,0)*MATCH(orderHistory[order_type],$D$13,0)),MATCH(ROW(orderHistory[customer]),ROW(orderHistory[customer])),""),ROWS($A$15:A21)+$B$3)),INDEX(orderHistory[invoice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YEAR(orderHistory[invoice_date]),$D$15,0)),MATCH(ROW(orderHistory[customer]),ROW(orderHistory[customer])),""),ROWS($A$15:A21)+$B$3))),IF($D$15="",INDEX(orderHistory[invoice_date],SMALL(IF(ISNUMBER(MATCH(orderHistory[customer],$D$9,0)*MATCH(orderHistory[status],$D$11,0)*MATCH(orderHistory[order_type],$D$13,0)),MATCH(ROW(orderHistory[customer]),ROW(orderHistory[customer])),""),ROWS($A$15:A21)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R16" s="458" t="str">
        <f t="array" ref="R16">IFERROR(IF($D$9="",IF($D$11="",IF($D$13="",IF($D$15="",INDEX(orderHistory[inv_amount],SMALL(MATCH(ROW(orderHistory[customer]),ROW(orderHistory[customer])),ROWS($A$15:A21)+$B$3)),INDEX(orderHistory[inv_amount],SMALL(IF(ISNUMBER(MATCH(YEAR(orderHistory[invoice_date]),$D$15,0)),MATCH(ROW(orderHistory[customer]),ROW(orderHistory[customer])),""),ROWS($A$15:A21)+$B$3))),IF($D$15="",INDEX(orderHistory[inv_amount],SMALL(IF(ISNUMBER(MATCH(orderHistory[order_type],$D$13,0)),MATCH(ROW(orderHistory[customer]),ROW(orderHistory[customer])),""),ROWS($A$15:A21)+$B$3)),INDEX(orderHistory[inv_amount],SMALL(IF(ISNUMBER(MATCH(orderHistory[order_type],$D$13,0)*MATCH(YEAR(orderHistory[invoice_date]),$D$15,0)),MATCH(ROW(orderHistory[customer]),ROW(orderHistory[customer])),""),ROWS($A$15:A21)+$B$3)))),IF($D$13="",IF($D$15="",INDEX(orderHistory[inv_amount],SMALL(IF(ISNUMBER(MATCH(orderHistory[status],$D$11,0)),MATCH(ROW(orderHistory[customer]),ROW(orderHistory[customer])),""),ROWS($A$15:A21)+$B$3)),INDEX(orderHistory[inv_amount],SMALL(IF(ISNUMBER(MATCH(orderHistory[status],$D$11,0)*MATCH(YEAR(orderHistory[invoice_date]),$D$15,0)),MATCH(ROW(orderHistory[customer]),ROW(orderHistory[customer])),""),ROWS($A$15:A21)+$B$3))),IF($D$15="",INDEX(orderHistory[inv_amount],SMALL(IF(ISNUMBER(MATCH(orderHistory[status],$D$11,0)*MATCH(orderHistory[order_type],$D$13,0)),MATCH(ROW(orderHistory[customer]),ROW(orderHistory[customer])),""),ROWS($A$15:A21)+$B$3)),INDEX(orderHistory[inv_amount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_amount],SMALL(IF(ISNUMBER(MATCH(orderHistory[customer],$D$9,0)),MATCH(ROW(orderHistory[customer]),ROW(orderHistory[customer])),""),ROWS($A$15:A21)+$B$3)),INDEX(orderHistory[inv_amount],SMALL(IF(ISNUMBER(MATCH(orderHistory[customer],$D$9,0)*MATCH(YEAR(orderHistory[invoice_date]),$D$15,0)),MATCH(ROW(orderHistory[customer]),ROW(orderHistory[customer])),""),ROWS($A$15:A21)+$B$3))),IF($D$15="",INDEX(orderHistory[inv_amount],SMALL(IF(ISNUMBER(MATCH(orderHistory[customer],$D$9,0)*MATCH(orderHistory[order_type],$D$13,0)),MATCH(ROW(orderHistory[customer]),ROW(orderHistory[customer])),""),ROWS($A$15:A21)+$B$3)),INDEX(orderHistory[inv_amount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YEAR(orderHistory[inv_amount]),$D$15,0)),MATCH(ROW(orderHistory[customer]),ROW(orderHistory[customer])),""),ROWS($A$15:A21)+$B$3))),IF($D$15="",INDEX(orderHistory[inv_amount],SMALL(IF(ISNUMBER(MATCH(orderHistory[customer],$D$9,0)*MATCH(orderHistory[status],$D$11,0)*MATCH(orderHistory[order_type],$D$13,0)),MATCH(ROW(orderHistory[customer]),ROW(orderHistory[customer])),""),ROWS($A$15:A21)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S16" s="569" t="str">
        <f t="array" ref="S16">IFERROR(IF($D$9="",IF($D$11="",IF($D$13="",IF($D$15="",INDEX(orderHistory[lock_goods],SMALL(MATCH(ROW(orderHistory[customer]),ROW(orderHistory[customer])),ROWS($A$15:A21)+$B$3)),INDEX(orderHistory[lock_goods],SMALL(IF(ISNUMBER(MATCH(YEAR(orderHistory[invoice_date]),$D$15,0)),MATCH(ROW(orderHistory[customer]),ROW(orderHistory[customer])),""),ROWS($A$15:A21)+$B$3))),IF($D$15="",INDEX(orderHistory[lock_goods],SMALL(IF(ISNUMBER(MATCH(orderHistory[order_type],$D$13,0)),MATCH(ROW(orderHistory[customer]),ROW(orderHistory[customer])),""),ROWS($A$15:A21)+$B$3)),INDEX(orderHistory[lock_goods],SMALL(IF(ISNUMBER(MATCH(orderHistory[order_type],$D$13,0)*MATCH(YEAR(orderHistory[invoice_date]),$D$15,0)),MATCH(ROW(orderHistory[customer]),ROW(orderHistory[customer])),""),ROWS($A$15:A21)+$B$3)))),IF($D$13="",IF($D$15="",INDEX(orderHistory[lock_goods],SMALL(IF(ISNUMBER(MATCH(orderHistory[status],$D$11,0)),MATCH(ROW(orderHistory[customer]),ROW(orderHistory[customer])),""),ROWS($A$15:A21)+$B$3)),INDEX(orderHistory[lock_goods],SMALL(IF(ISNUMBER(MATCH(orderHistory[status],$D$11,0)*MATCH(YEAR(orderHistory[invoice_date]),$D$15,0)),MATCH(ROW(orderHistory[customer]),ROW(orderHistory[customer])),""),ROWS($A$15:A21)+$B$3))),IF($D$15="",INDEX(orderHistory[lock_goods],SMALL(IF(ISNUMBER(MATCH(orderHistory[status],$D$11,0)*MATCH(orderHistory[order_type],$D$13,0)),MATCH(ROW(orderHistory[customer]),ROW(orderHistory[customer])),""),ROWS($A$15:A21)+$B$3)),INDEX(orderHistory[lock_good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lock_goods],SMALL(IF(ISNUMBER(MATCH(orderHistory[customer],$D$9,0)),MATCH(ROW(orderHistory[customer]),ROW(orderHistory[customer])),""),ROWS($A$15:A21)+$B$3)),INDEX(orderHistory[lock_goods],SMALL(IF(ISNUMBER(MATCH(orderHistory[customer],$D$9,0)*MATCH(YEAR(orderHistory[invoice_date]),$D$15,0)),MATCH(ROW(orderHistory[customer]),ROW(orderHistory[customer])),""),ROWS($A$15:A21)+$B$3))),IF($D$15="",INDEX(orderHistory[lock_goods],SMALL(IF(ISNUMBER(MATCH(orderHistory[customer],$D$9,0)*MATCH(orderHistory[order_type],$D$13,0)),MATCH(ROW(orderHistory[customer]),ROW(orderHistory[customer])),""),ROWS($A$15:A21)+$B$3)),INDEX(orderHistory[lock_good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lock_goods],SMALL(IF(ISNUMBER(MATCH(orderHistory[customer],$D$9,0)*MATCH(orderHistory[status],$D$11,0)),MATCH(ROW(orderHistory[customer]),ROW(orderHistory[customer])),""),ROWS($A$15:A21)+$B$3)),INDEX(orderHistory[lock_goods],SMALL(IF(ISNUMBER(MATCH(orderHistory[customer],$D$9,0)*MATCH(orderHistory[status],$D$11,0)*MATCH(YEAR(orderHistory[payed]),$D$15,0)),MATCH(ROW(orderHistory[customer]),ROW(orderHistory[customer])),""),ROWS($A$15:A21)+$B$3))),IF($D$15="",INDEX(orderHistory[lock_goods],SMALL(IF(ISNUMBER(MATCH(orderHistory[customer],$D$9,0)*MATCH(orderHistory[status],$D$11,0)*MATCH(orderHistory[order_type],$D$13,0)),MATCH(ROW(orderHistory[customer]),ROW(orderHistory[customer])),""),ROWS($A$15:A21)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T16" s="459" t="str">
        <f t="array" ref="T16">IFERROR(IF($D$9="",IF($D$11="",IF($D$13="",IF($D$15="",INDEX(orderHistory[payed],SMALL(MATCH(ROW(orderHistory[customer]),ROW(orderHistory[customer])),ROWS($A$15:A21)+$B$3)),INDEX(orderHistory[payed],SMALL(IF(ISNUMBER(MATCH(YEAR(orderHistory[invoice_date]),$D$15,0)),MATCH(ROW(orderHistory[customer]),ROW(orderHistory[customer])),""),ROWS($A$15:A21)+$B$3))),IF($D$15="",INDEX(orderHistory[payed],SMALL(IF(ISNUMBER(MATCH(orderHistory[order_type],$D$13,0)),MATCH(ROW(orderHistory[customer]),ROW(orderHistory[customer])),""),ROWS($A$15:A21)+$B$3)),INDEX(orderHistory[payed],SMALL(IF(ISNUMBER(MATCH(orderHistory[order_type],$D$13,0)*MATCH(YEAR(orderHistory[invoice_date]),$D$15,0)),MATCH(ROW(orderHistory[customer]),ROW(orderHistory[customer])),""),ROWS($A$15:A21)+$B$3)))),IF($D$13="",IF($D$15="",INDEX(orderHistory[payed],SMALL(IF(ISNUMBER(MATCH(orderHistory[status],$D$11,0)),MATCH(ROW(orderHistory[customer]),ROW(orderHistory[customer])),""),ROWS($A$15:A21)+$B$3)),INDEX(orderHistory[payed],SMALL(IF(ISNUMBER(MATCH(orderHistory[status],$D$11,0)*MATCH(YEAR(orderHistory[invoice_date]),$D$15,0)),MATCH(ROW(orderHistory[customer]),ROW(orderHistory[customer])),""),ROWS($A$15:A21)+$B$3))),IF($D$15="",INDEX(orderHistory[payed],SMALL(IF(ISNUMBER(MATCH(orderHistory[status],$D$11,0)*MATCH(orderHistory[order_type],$D$13,0)),MATCH(ROW(orderHistory[customer]),ROW(orderHistory[customer])),""),ROWS($A$15:A21)+$B$3)),INDEX(orderHistory[paye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payed],SMALL(IF(ISNUMBER(MATCH(orderHistory[customer],$D$9,0)),MATCH(ROW(orderHistory[customer]),ROW(orderHistory[customer])),""),ROWS($A$15:A21)+$B$3)),INDEX(orderHistory[payed],SMALL(IF(ISNUMBER(MATCH(orderHistory[customer],$D$9,0)*MATCH(YEAR(orderHistory[invoice_date]),$D$15,0)),MATCH(ROW(orderHistory[customer]),ROW(orderHistory[customer])),""),ROWS($A$15:A21)+$B$3))),IF($D$15="",INDEX(orderHistory[payed],SMALL(IF(ISNUMBER(MATCH(orderHistory[customer],$D$9,0)*MATCH(orderHistory[order_type],$D$13,0)),MATCH(ROW(orderHistory[customer]),ROW(orderHistory[customer])),""),ROWS($A$15:A21)+$B$3)),INDEX(orderHistory[paye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YEAR(orderHistory[payed]),$D$15,0)),MATCH(ROW(orderHistory[customer]),ROW(orderHistory[customer])),""),ROWS($A$15:A21)+$B$3))),IF($D$15="",INDEX(orderHistory[payed],SMALL(IF(ISNUMBER(MATCH(orderHistory[customer],$D$9,0)*MATCH(orderHistory[status],$D$11,0)*MATCH(orderHistory[order_type],$D$13,0)),MATCH(ROW(orderHistory[customer]),ROW(orderHistory[customer])),""),ROWS($A$15:A21)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U16" s="454" t="str">
        <f t="array" ref="U16">IFERROR(IF($D$9="",IF($D$11="",IF($D$13="",IF($D$15="",INDEX(orderHistory[shipping_method],SMALL(MATCH(ROW(orderHistory[customer]),ROW(orderHistory[customer])),ROWS($A$15:A21)+$B$3)),INDEX(orderHistory[shipping_method],SMALL(IF(ISNUMBER(MATCH(YEAR(orderHistory[invoice_date]),$D$15,0)),MATCH(ROW(orderHistory[customer]),ROW(orderHistory[customer])),""),ROWS($A$15:A21)+$B$3))),IF($D$15="",INDEX(orderHistory[shipping_method],SMALL(IF(ISNUMBER(MATCH(orderHistory[order_type],$D$13,0)),MATCH(ROW(orderHistory[customer]),ROW(orderHistory[customer])),""),ROWS($A$15:A21)+$B$3)),INDEX(orderHistory[shipping_method],SMALL(IF(ISNUMBER(MATCH(orderHistory[order_type],$D$13,0)*MATCH(YEAR(orderHistory[invoice_date]),$D$15,0)),MATCH(ROW(orderHistory[customer]),ROW(orderHistory[customer])),""),ROWS($A$15:A21)+$B$3)))),IF($D$13="",IF($D$15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YEAR(orderHistory[invoice_date]),$D$15,0)),MATCH(ROW(orderHistory[customer]),ROW(orderHistory[customer])),""),ROWS($A$15:A21)+$B$3))),IF($D$15="",INDEX(orderHistory[shipping_method],SMALL(IF(ISNUMBER(MATCH(orderHistory[status],$D$11,0)*MATCH(orderHistory[order_type],$D$13,0)),MATCH(ROW(orderHistory[customer]),ROW(orderHistory[customer])),""),ROWS($A$15:A21)+$B$3)),INDEX(orderHistory[shipping_metho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YEAR(orderHistory[invoice_date]),$D$15,0)),MATCH(ROW(orderHistory[customer]),ROW(orderHistory[customer])),""),ROWS($A$15:A21)+$B$3))),IF($D$15="",INDEX(orderHistory[shipping_method],SMALL(IF(ISNUMBER(MATCH(orderHistory[customer],$D$9,0)*MATCH(orderHistory[order_type],$D$13,0)),MATCH(ROW(orderHistory[customer]),ROW(orderHistory[customer])),""),ROWS($A$15:A21)+$B$3)),INDEX(orderHistory[shipping_metho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YEAR(orderHistory[shipping_method]),$D$15,0)),MATCH(ROW(orderHistory[customer]),ROW(orderHistory[customer])),""),ROWS($A$15:A21)+$B$3))),IF($D$15="",INDEX(orderHistory[shipping_method],SMALL(IF(ISNUMBER(MATCH(orderHistory[customer],$D$9,0)*MATCH(orderHistory[status],$D$11,0)*MATCH(orderHistory[order_type],$D$13,0)),MATCH(ROW(orderHistory[customer]),ROW(orderHistory[customer])),""),ROWS($A$15:A21)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V16" s="460" t="str">
        <f t="array" ref="V16">IFERROR(IF($D$9="",IF($D$11="",IF($D$13="",IF($D$15="",INDEX(orderHistory[status],SMALL(MATCH(ROW(orderHistory[customer]),ROW(orderHistory[customer])),ROWS($A$15:A21)+$B$3)),INDEX(orderHistory[status],SMALL(IF(ISNUMBER(MATCH(YEAR(orderHistory[invoice_date]),$D$15,0)),MATCH(ROW(orderHistory[customer]),ROW(orderHistory[customer])),""),ROWS($A$15:A21)+$B$3))),IF($D$15="",INDEX(orderHistory[status],SMALL(IF(ISNUMBER(MATCH(orderHistory[order_type],$D$13,0)),MATCH(ROW(orderHistory[customer]),ROW(orderHistory[customer])),""),ROWS($A$15:A21)+$B$3)),INDEX(orderHistory[status],SMALL(IF(ISNUMBER(MATCH(orderHistory[order_type],$D$13,0)*MATCH(YEAR(orderHistory[invoice_date]),$D$15,0)),MATCH(ROW(orderHistory[customer]),ROW(orderHistory[customer])),""),ROWS($A$15:A21)+$B$3)))),IF($D$13="",IF($D$15="",INDEX(orderHistory[status],SMALL(IF(ISNUMBER(MATCH(orderHistory[status],$D$11,0)),MATCH(ROW(orderHistory[customer]),ROW(orderHistory[customer])),""),ROWS($A$15:A21)+$B$3)),INDEX(orderHistory[status],SMALL(IF(ISNUMBER(MATCH(orderHistory[status],$D$11,0)*MATCH(YEAR(orderHistory[invoice_date]),$D$15,0)),MATCH(ROW(orderHistory[customer]),ROW(orderHistory[customer])),""),ROWS($A$15:A21)+$B$3))),IF($D$15="",INDEX(orderHistory[status],SMALL(IF(ISNUMBER(MATCH(orderHistory[status],$D$11,0)*MATCH(orderHistory[order_type],$D$13,0)),MATCH(ROW(orderHistory[customer]),ROW(orderHistory[customer])),""),ROWS($A$15:A21)+$B$3)),INDEX(orderHistory[statu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tatus],SMALL(IF(ISNUMBER(MATCH(orderHistory[customer],$D$9,0)),MATCH(ROW(orderHistory[customer]),ROW(orderHistory[customer])),""),ROWS($A$15:A21)+$B$3)),INDEX(orderHistory[status],SMALL(IF(ISNUMBER(MATCH(orderHistory[customer],$D$9,0)*MATCH(YEAR(orderHistory[invoice_date]),$D$15,0)),MATCH(ROW(orderHistory[customer]),ROW(orderHistory[customer])),""),ROWS($A$15:A21)+$B$3))),IF($D$15="",INDEX(orderHistory[status],SMALL(IF(ISNUMBER(MATCH(orderHistory[customer],$D$9,0)*MATCH(orderHistory[order_type],$D$13,0)),MATCH(ROW(orderHistory[customer]),ROW(orderHistory[customer])),""),ROWS($A$15:A21)+$B$3)),INDEX(orderHistory[statu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YEAR(orderHistory[status]),$D$15,0)),MATCH(ROW(orderHistory[customer]),ROW(orderHistory[customer])),""),ROWS($A$15:A21)+$B$3))),IF($D$15="",INDEX(orderHistory[status],SMALL(IF(ISNUMBER(MATCH(orderHistory[customer],$D$9,0)*MATCH(orderHistory[status],$D$11,0)*MATCH(orderHistory[order_type],$D$13,0)),MATCH(ROW(orderHistory[customer]),ROW(orderHistory[customer])),""),ROWS($A$15:A21)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W16" s="75"/>
      <c r="AO16" s="341"/>
      <c r="AQ16" s="334"/>
      <c r="AR16" s="361"/>
      <c r="AS16" s="361"/>
      <c r="AT16" s="361"/>
      <c r="AW16" s="378"/>
      <c r="AX16" s="341"/>
      <c r="AZ16" s="348"/>
      <c r="BD16" s="376"/>
      <c r="BE16" s="398"/>
      <c r="BF16" s="346"/>
      <c r="BG16" s="399"/>
      <c r="BH16" s="346"/>
      <c r="BI16" s="346"/>
      <c r="BJ16" s="347"/>
      <c r="BK16" s="391"/>
      <c r="BL16" s="367"/>
      <c r="BM16" s="368"/>
      <c r="BN16" s="367"/>
      <c r="BO16" s="368"/>
      <c r="BZ16" s="495" t="s">
        <v>127</v>
      </c>
      <c r="CA16" s="477" t="str">
        <f>IF(BZ16="","",INDEX(bhpc_data[description],MATCH(BZ16,bhpc_data[sku],0)))</f>
        <v>BHPC PRESTIGE MYSTIQUE 100ML EDP WOMEN</v>
      </c>
      <c r="CB16" s="478">
        <v>720</v>
      </c>
      <c r="CC16" s="589">
        <v>14.53</v>
      </c>
      <c r="CD16" s="491"/>
      <c r="CE16" s="481"/>
      <c r="CF16" s="482">
        <v>100</v>
      </c>
      <c r="CG16" s="483">
        <f>IFERROR(ROUNDUP(CB16/INDEX(bhpc_data[units_per_carton],MATCH(BZ16,bhpc_data[sku],0)),0),"")</f>
        <v>30</v>
      </c>
      <c r="CH16" s="484">
        <f>IFERROR(ROUNDUP(CD16/INDEX(bhpc_data[units_per_carton],MATCH(BZ16,bhpc_data[sku],0)),0),"")</f>
        <v>0</v>
      </c>
      <c r="CI16" s="484">
        <f>IFERROR(ROUNDUP(CF16/INDEX(bhpc_data[units_per_carton],MATCH(BZ16,bhpc_data[sku])),0),"")</f>
        <v>5</v>
      </c>
      <c r="CJ16" s="484">
        <f>IFERROR(((CB16+CD16+CF16)/INDEX(bhpc_data[units_per_carton],MATCH(BZ16,bhpc_data[sku],0)))*INDEX(bhpc_data[net_weight],MATCH(BZ16,bhpc_data[sku],0)),"")</f>
        <v>311.59999999999997</v>
      </c>
      <c r="CK16" s="484">
        <f>IFERROR(((CB16+CD16+CF16)/INDEX(bhpc_data[units_per_carton],MATCH(BZ16,bhpc_data[sku],0)))*INDEX(bhpc_data[gross_weight],MATCH(BZ16,bhpc_data[sku],0)),"")</f>
        <v>324.58333333333331</v>
      </c>
      <c r="CL16" s="485">
        <f>IFERROR((CB16+CD16+CF16)/INDEX(bhpc_data[units_per_carton],MATCH(BZ16,bhpc_data[sku],0))*INDEX(bhpc_data[lenght],MATCH(BZ16,bhpc_data[sku],0))*INDEX(bhpc_data[width],MATCH(BZ16,bhpc_data[sku],0))*INDEX(bhpc_data[height],MATCH(BZ16,bhpc_data[sku],0))/1000000000,"")</f>
        <v>0.59898437500000001</v>
      </c>
      <c r="CM16" s="486" t="str">
        <f>IFERROR(INDEX(bhpc_data[category],MATCH(BZ16,bhpc_data[sku],0)),"")</f>
        <v>PRESTIGE</v>
      </c>
      <c r="CN16" s="486">
        <f>IFERROR(INDEX(bhpc_data[size1],MATCH(BZ16,bhpc_data[sku],0)),"")</f>
        <v>100</v>
      </c>
      <c r="CO16" s="487" t="str">
        <f>IFERROR(INDEX(bhpc_data[hs_code],MATCH(BZ16,bhpc_data[sku],0)),"")</f>
        <v>33030010</v>
      </c>
      <c r="CP16" s="482">
        <v>11.68</v>
      </c>
      <c r="CQ16" s="492" t="str">
        <f>IFERROR(IF(BZ16="","",IF($BX$15="SALE",INDEX(inventory[COSTO UNITARIO],MATCH(BZ16,inventory[ARTICOLO],0)),IF($BX$15="SAMPLING",INDEX(inventory[COSTO UNITARIO],MATCH(BZ16,inventory[ARTICOLO],0)),""))),"")</f>
        <v/>
      </c>
      <c r="CR16" s="492" t="str">
        <f t="shared" si="0"/>
        <v/>
      </c>
      <c r="CS16" s="489">
        <f t="shared" si="1"/>
        <v>10461.6</v>
      </c>
      <c r="CT16" s="573" t="e">
        <f t="shared" si="2"/>
        <v>#N/A</v>
      </c>
      <c r="CV16" s="85"/>
      <c r="CW16" s="89" t="s">
        <v>595</v>
      </c>
      <c r="CX16" s="231">
        <f>SUM(CF10:CF110)</f>
        <v>800</v>
      </c>
      <c r="CY16" s="89"/>
      <c r="CZ16" s="81"/>
      <c r="DA16" s="82"/>
      <c r="DH16" s="245"/>
      <c r="EE16" s="547" t="str" cm="1">
        <f t="array" ref="EE16">IFERROR(IF($EC$9="",IF($EC$11="",IF($EC$13="",INDEX(bhpc_data[sku],SMALL(MATCH(ROW(bhpc_data[sku]),ROW(bhpc_data[sku])),ROWS($A$15:A21)+$B$3)),INDEX(bhpc_data[sku],SMALL(IF(ISNUMBER(MATCH(bhpc_data[size1],$EC$13,0)),MATCH(ROW(bhpc_data[sku]),ROW(bhpc_data[sku])),""),ROWS($A$15:A21)+$B$3))),IF($EC$13="",INDEX(bhpc_data[sku],SMALL(IF(ISNUMBER(MATCH(bhpc_data[sex],$EC$11,0)),MATCH(ROW(bhpc_data[sku]),ROW(bhpc_data[sku])),""),ROWS($A$15:A21)+$B$3)),INDEX(bhpc_data[sku],SMALL(IF(ISNUMBER(MATCH(bhpc_data[sex],$EC$11,0)*MATCH(bhpc_data[size1],$EC$13,0)),MATCH(ROW(bhpc_data[sku]),ROW(bhpc_data[sku])),""),ROWS($A$15:A21)+$B$3)))),IF($EC$11="",IF($EC$13="",INDEX(bhpc_data[sku],SMALL(IF(ISNUMBER(MATCH(bhpc_data[category],$EC$9,0)),MATCH(ROW(bhpc_data[sku]),ROW(bhpc_data[sku])),""),ROWS($A$15:A21)+$B$3)),INDEX(bhpc_data[sku],SMALL(IF(ISNUMBER(MATCH(bhpc_data[category],$EC$9,0)*MATCH(bhpc_data[size1],$EC$13,0)),MATCH(ROW(bhpc_data[sku]),ROW(bhpc_data[sku])),""),ROWS($A$15:A21)+$B$3))),IF($EC$13="",INDEX(bhpc_data[sku],SMALL(IF(ISNUMBER(MATCH(bhpc_data[category],$EC$9,0)*MATCH(bhpc_data[sex],$EC$11,0)),MATCH(ROW(bhpc_data[sku]),ROW(bhpc_data[sku])),""),ROWS($A$15:A21)+$B$3)),INDEX(bhpc_data[sku],SMALL(IF(ISNUMBER(MATCH(bhpc_data[category],$EC$9,0)*MATCH(bhpc_data[sex],$EC$11,0)*MATCH(bhpc_data[size1],$EC$13,0)),MATCH(ROW(bhpc_data[sku]),ROW(bhpc_data[sku])),""),ROWS($A$15:A21)+$B$3))))),"")</f>
        <v>GS5010</v>
      </c>
      <c r="EF16" s="548" t="str" cm="1">
        <f t="array" ref="EF16">IFERROR(IF($EC$9="",IF($EC$11="",IF($EC$13="",INDEX(bhpc_data[description],SMALL(MATCH(ROW(bhpc_data[sku]),ROW(bhpc_data[sku])),ROWS($A$15:A21)+$B$3)),INDEX(bhpc_data[description],SMALL(IF(ISNUMBER(MATCH(bhpc_data[size1],$EC$13,0)),MATCH(ROW(bhpc_data[sku]),ROW(bhpc_data[sku])),""),ROWS($A$15:A21)+$B$3))),IF($EC$13="",INDEX(bhpc_data[description],SMALL(IF(ISNUMBER(MATCH(bhpc_data[sex],$EC$11,0)),MATCH(ROW(bhpc_data[sku]),ROW(bhpc_data[sku])),""),ROWS($A$15:A21)+$B$3)),INDEX(bhpc_data[description],SMALL(IF(ISNUMBER(MATCH(bhpc_data[sex],$EC$11,0)*MATCH(bhpc_data[size1],$EC$13,0)),MATCH(ROW(bhpc_data[sku]),ROW(bhpc_data[sku])),""),ROWS($A$15:A21)+$B$3)))),IF($EC$11="",IF($EC$13="",INDEX(bhpc_data[description],SMALL(IF(ISNUMBER(MATCH(bhpc_data[category],$EC$9,0)),MATCH(ROW(bhpc_data[sku]),ROW(bhpc_data[sku])),""),ROWS($A$15:A21)+$B$3)),INDEX(bhpc_data[description],SMALL(IF(ISNUMBER(MATCH(bhpc_data[category],$EC$9,0)*MATCH(bhpc_data[size1],$EC$13,0)),MATCH(ROW(bhpc_data[sku]),ROW(bhpc_data[sku])),""),ROWS($A$15:A21)+$B$3))),IF($EC$13="",INDEX(bhpc_data[description],SMALL(IF(ISNUMBER(MATCH(bhpc_data[category],$EC$9,0)*MATCH(bhpc_data[sex],$EC$11,0)),MATCH(ROW(bhpc_data[sku]),ROW(bhpc_data[sku])),""),ROWS($A$15:A21)+$B$3)),INDEX(bhpc_data[description],SMALL(IF(ISNUMBER(MATCH(bhpc_data[category],$EC$9,0)*MATCH(bhpc_data[sex],$EC$11,0)*MATCH(bhpc_data[size1],$EC$13,0)),MATCH(ROW(bhpc_data[sku]),ROW(bhpc_data[sku])),""),ROWS($A$15:A21)+$B$3))))),"")</f>
        <v>BHPC GIFT SET SPORT MEN 8 EDT 50ML + DEO 175ML</v>
      </c>
      <c r="EG16" s="549">
        <f>IFERROR(IF('BHPC MANAGER'!$EE16="","",INDEX(inventory[ESISTENZA],MATCH('BHPC MANAGER'!$EE16,inventory[ARTICOLO],0))),0)</f>
        <v>461</v>
      </c>
      <c r="EH16" s="550">
        <v>-3388</v>
      </c>
      <c r="EI16" s="550">
        <f t="shared" si="3"/>
        <v>-2927</v>
      </c>
      <c r="EJ16" s="551">
        <v>-72</v>
      </c>
      <c r="EK16" s="552">
        <f t="shared" si="4"/>
        <v>-2999</v>
      </c>
      <c r="FF16" s="331"/>
      <c r="FG16" s="331"/>
      <c r="FH16" s="331"/>
      <c r="FI16" s="331"/>
      <c r="FJ16" s="331"/>
      <c r="FK16" s="331"/>
      <c r="FL16" s="331"/>
      <c r="FM16" s="331"/>
      <c r="FN16" s="331"/>
      <c r="FO16" s="331"/>
      <c r="FP16" s="331"/>
      <c r="FQ16" s="331"/>
      <c r="FR16" s="331"/>
      <c r="FS16" s="331"/>
      <c r="FT16" s="331"/>
      <c r="FU16" s="331"/>
      <c r="FV16" s="331"/>
      <c r="FW16" s="331"/>
      <c r="FX16" s="331"/>
      <c r="FY16" s="331"/>
      <c r="FZ16" s="331"/>
      <c r="GA16" s="331"/>
      <c r="GB16" s="331"/>
      <c r="GC16" s="331"/>
      <c r="GD16" s="331"/>
      <c r="GE16" s="331"/>
      <c r="GF16" s="331"/>
      <c r="GG16" s="331"/>
      <c r="GH16" s="331"/>
      <c r="GI16" s="331"/>
      <c r="GJ16" s="331"/>
      <c r="GK16" s="331"/>
      <c r="GL16" s="331"/>
      <c r="GM16" s="331"/>
      <c r="GN16" s="331"/>
      <c r="GO16" s="331"/>
      <c r="GP16" s="331"/>
      <c r="GQ16" s="331"/>
      <c r="GR16" s="331"/>
      <c r="GS16" s="331"/>
      <c r="GT16" s="331"/>
      <c r="GU16" s="331"/>
      <c r="GV16" s="331"/>
      <c r="GW16" s="331"/>
      <c r="GX16" s="331"/>
      <c r="GY16" s="331"/>
      <c r="GZ16" s="331"/>
      <c r="HA16" s="331"/>
      <c r="HB16" s="331"/>
      <c r="HC16" s="331"/>
      <c r="HD16" s="331"/>
      <c r="HE16" s="331"/>
      <c r="HF16" s="331"/>
      <c r="HG16" s="331"/>
      <c r="HH16" s="331"/>
      <c r="HI16" s="331"/>
      <c r="HJ16" s="331"/>
      <c r="HK16" s="331"/>
      <c r="HL16" s="331"/>
      <c r="HM16" s="331"/>
      <c r="HN16" s="331"/>
      <c r="HO16" s="331"/>
      <c r="HP16" s="331"/>
      <c r="HQ16" s="331"/>
      <c r="HR16" s="331"/>
      <c r="HS16" s="331"/>
      <c r="HT16" s="331"/>
    </row>
    <row r="17" spans="1:228" ht="15" customHeight="1" thickBot="1" x14ac:dyDescent="0.4">
      <c r="A17" s="152" t="s">
        <v>614</v>
      </c>
      <c r="B17" s="153">
        <v>45349.332673611112</v>
      </c>
      <c r="D17" s="342" t="s">
        <v>985</v>
      </c>
      <c r="F17" s="91"/>
      <c r="G17" s="99" t="s">
        <v>597</v>
      </c>
      <c r="H17" s="81"/>
      <c r="I17" s="81"/>
      <c r="J17" s="82"/>
      <c r="L17" s="452" t="str">
        <f t="array" ref="L17">IFERROR(IF($D$9="",IF($D$11="",IF($D$13="",IF($D$15="",INDEX(orderHistory[customer],SMALL(MATCH(ROW(orderHistory[customer]),ROW(orderHistory[customer])),ROWS($A$15:A22)+$B$3)),INDEX(orderHistory[customer],SMALL(IF(ISNUMBER(MATCH(YEAR(orderHistory[invoice_date]),$D$15,0)),MATCH(ROW(orderHistory[customer]),ROW(orderHistory[customer])),""),ROWS($A$15:A22)+$B$3))),IF($D$15="",INDEX(orderHistory[customer],SMALL(IF(ISNUMBER(MATCH(orderHistory[order_type],$D$13,0)),MATCH(ROW(orderHistory[customer]),ROW(orderHistory[customer])),""),ROWS($A$15:A22)+$B$3)),INDEX(orderHistory[customer],SMALL(IF(ISNUMBER(MATCH(orderHistory[order_type],$D$13,0)*MATCH(YEAR(orderHistory[invoice_date]),$D$15,0)),MATCH(ROW(orderHistory[customer]),ROW(orderHistory[customer])),""),ROWS($A$15:A22)+$B$3)))),IF($D$13="",IF($D$15="",INDEX(orderHistory[customer],SMALL(IF(ISNUMBER(MATCH(orderHistory[status],$D$11,0)),MATCH(ROW(orderHistory[customer]),ROW(orderHistory[customer])),""),ROWS($A$15:A22)+$B$3)),INDEX(orderHistory[customer],SMALL(IF(ISNUMBER(MATCH(orderHistory[status],$D$11,0)*MATCH(YEAR(orderHistory[invoice_date]),$D$15,0)),MATCH(ROW(orderHistory[customer]),ROW(orderHistory[customer])),""),ROWS($A$15:A22)+$B$3))),IF($D$15="",INDEX(orderHistory[customer],SMALL(IF(ISNUMBER(MATCH(orderHistory[status],$D$11,0)*MATCH(orderHistory[order_type],$D$13,0)),MATCH(ROW(orderHistory[customer]),ROW(orderHistory[customer])),""),ROWS($A$15:A22)+$B$3)),INDEX(orderHistory[customer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customer],SMALL(IF(ISNUMBER(MATCH(orderHistory[customer],$D$9,0)),MATCH(ROW(orderHistory[customer]),ROW(orderHistory[customer])),""),ROWS($A$15:A22)+$B$3)),INDEX(orderHistory[customer],SMALL(IF(ISNUMBER(MATCH(orderHistory[customer],$D$9,0)*MATCH(YEAR(orderHistory[invoice_date]),$D$15,0)),MATCH(ROW(orderHistory[customer]),ROW(orderHistory[customer])),""),ROWS($A$15:A22)+$B$3))),IF($D$15="",INDEX(orderHistory[customer],SMALL(IF(ISNUMBER(MATCH(orderHistory[customer],$D$9,0)*MATCH(orderHistory[order_type],$D$13,0)),MATCH(ROW(orderHistory[customer]),ROW(orderHistory[customer])),""),ROWS($A$15:A22)+$B$3)),INDEX(orderHistory[customer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YEAR(orderHistory[invoice_date]),$D$15,0)),MATCH(ROW(orderHistory[customer]),ROW(orderHistory[customer])),""),ROWS($A$15:A22)+$B$3))),IF($D$15="",INDEX(orderHistory[customer],SMALL(IF(ISNUMBER(MATCH(orderHistory[customer],$D$9,0)*MATCH(orderHistory[status],$D$11,0)*MATCH(orderHistory[order_type],$D$13,0)),MATCH(ROW(orderHistory[customer]),ROW(orderHistory[customer])),""),ROWS($A$15:A22)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M17" s="453" t="str">
        <f t="array" ref="M17">IFERROR(IF($D$9="",IF($D$11="",IF($D$13="",IF($D$15="",INDEX(orderHistory[order_no],SMALL(MATCH(ROW(orderHistory[customer]),ROW(orderHistory[customer])),ROWS($A$15:A22)+$B$3)),INDEX(orderHistory[order_no],SMALL(IF(ISNUMBER(MATCH(YEAR(orderHistory[invoice_date]),$D$15,0)),MATCH(ROW(orderHistory[customer]),ROW(orderHistory[customer])),""),ROWS($A$15:A22)+$B$3))),IF($D$15="",INDEX(orderHistory[order_no],SMALL(IF(ISNUMBER(MATCH(orderHistory[order_type],$D$13,0)),MATCH(ROW(orderHistory[customer]),ROW(orderHistory[customer])),""),ROWS($A$15:A22)+$B$3)),INDEX(orderHistory[order_no],SMALL(IF(ISNUMBER(MATCH(orderHistory[order_type],$D$13,0)*MATCH(YEAR(orderHistory[invoice_date]),$D$15,0)),MATCH(ROW(orderHistory[customer]),ROW(orderHistory[customer])),""),ROWS($A$15:A22)+$B$3)))),IF($D$13="",IF($D$15="",INDEX(orderHistory[order_no],SMALL(IF(ISNUMBER(MATCH(orderHistory[status],$D$11,0)),MATCH(ROW(orderHistory[customer]),ROW(orderHistory[customer])),""),ROWS($A$15:A22)+$B$3)),INDEX(orderHistory[order_no],SMALL(IF(ISNUMBER(MATCH(orderHistory[status],$D$11,0)*MATCH(YEAR(orderHistory[invoice_date]),$D$15,0)),MATCH(ROW(orderHistory[customer]),ROW(orderHistory[customer])),""),ROWS($A$15:A22)+$B$3))),IF($D$15="",INDEX(orderHistory[order_no],SMALL(IF(ISNUMBER(MATCH(orderHistory[status],$D$11,0)*MATCH(orderHistory[order_type],$D$13,0)),MATCH(ROW(orderHistory[customer]),ROW(orderHistory[customer])),""),ROWS($A$15:A22)+$B$3)),INDEX(orderHistory[order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no],SMALL(IF(ISNUMBER(MATCH(orderHistory[customer],$D$9,0)),MATCH(ROW(orderHistory[customer]),ROW(orderHistory[customer])),""),ROWS($A$15:A22)+$B$3)),INDEX(orderHistory[order_no],SMALL(IF(ISNUMBER(MATCH(orderHistory[customer],$D$9,0)*MATCH(YEAR(orderHistory[invoice_date]),$D$15,0)),MATCH(ROW(orderHistory[customer]),ROW(orderHistory[customer])),""),ROWS($A$15:A22)+$B$3))),IF($D$15="",INDEX(orderHistory[order_no],SMALL(IF(ISNUMBER(MATCH(orderHistory[customer],$D$9,0)*MATCH(orderHistory[order_type],$D$13,0)),MATCH(ROW(orderHistory[customer]),ROW(orderHistory[customer])),""),ROWS($A$15:A22)+$B$3)),INDEX(orderHistory[order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YEAR(orderHistory[invoice_date]),$D$15,0)),MATCH(ROW(orderHistory[customer]),ROW(orderHistory[customer])),""),ROWS($A$15:A22)+$B$3))),IF($D$15="",INDEX(orderHistory[order_no],SMALL(IF(ISNUMBER(MATCH(orderHistory[customer],$D$9,0)*MATCH(orderHistory[status],$D$11,0)*MATCH(orderHistory[order_type],$D$13,0)),MATCH(ROW(orderHistory[customer]),ROW(orderHistory[customer])),""),ROWS($A$15:A22)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N17" s="454" t="str">
        <f t="array" ref="N17">IFERROR(IF($D$9="",IF($D$11="",IF($D$13="",IF($D$15="",INDEX(orderHistory[order_type],SMALL(MATCH(ROW(orderHistory[customer]),ROW(orderHistory[customer])),ROWS($A$15:A22)+$B$3)),INDEX(orderHistory[order_type],SMALL(IF(ISNUMBER(MATCH(YEAR(orderHistory[invoice_date]),$D$15,0)),MATCH(ROW(orderHistory[customer]),ROW(orderHistory[customer])),""),ROWS($A$15:A22)+$B$3))),IF($D$15="",INDEX(orderHistory[order_type],SMALL(IF(ISNUMBER(MATCH(orderHistory[order_type],$D$13,0)),MATCH(ROW(orderHistory[customer]),ROW(orderHistory[customer])),""),ROWS($A$15:A22)+$B$3)),INDEX(orderHistory[order_type],SMALL(IF(ISNUMBER(MATCH(orderHistory[order_type],$D$13,0)*MATCH(YEAR(orderHistory[invoice_date]),$D$15,0)),MATCH(ROW(orderHistory[customer]),ROW(orderHistory[customer])),""),ROWS($A$15:A22)+$B$3)))),IF($D$13="",IF($D$15="",INDEX(orderHistory[order_type],SMALL(IF(ISNUMBER(MATCH(orderHistory[status],$D$11,0)),MATCH(ROW(orderHistory[customer]),ROW(orderHistory[customer])),""),ROWS($A$15:A22)+$B$3)),INDEX(orderHistory[order_type],SMALL(IF(ISNUMBER(MATCH(orderHistory[status],$D$11,0)*MATCH(YEAR(orderHistory[invoice_date]),$D$15,0)),MATCH(ROW(orderHistory[customer]),ROW(orderHistory[customer])),""),ROWS($A$15:A22)+$B$3))),IF($D$15="",INDEX(orderHistory[order_type],SMALL(IF(ISNUMBER(MATCH(orderHistory[status],$D$11,0)*MATCH(orderHistory[order_type],$D$13,0)),MATCH(ROW(orderHistory[customer]),ROW(orderHistory[customer])),""),ROWS($A$15:A22)+$B$3)),INDEX(orderHistory[order_typ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type],SMALL(IF(ISNUMBER(MATCH(orderHistory[customer],$D$9,0)),MATCH(ROW(orderHistory[customer]),ROW(orderHistory[customer])),""),ROWS($A$15:A22)+$B$3)),INDEX(orderHistory[order_type],SMALL(IF(ISNUMBER(MATCH(orderHistory[customer],$D$9,0)*MATCH(YEAR(orderHistory[invoice_date]),$D$15,0)),MATCH(ROW(orderHistory[customer]),ROW(orderHistory[customer])),""),ROWS($A$15:A22)+$B$3))),IF($D$15="",INDEX(orderHistory[order_type],SMALL(IF(ISNUMBER(MATCH(orderHistory[customer],$D$9,0)*MATCH(orderHistory[order_type],$D$13,0)),MATCH(ROW(orderHistory[customer]),ROW(orderHistory[customer])),""),ROWS($A$15:A22)+$B$3)),INDEX(orderHistory[order_typ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YEAR(orderHistory[invoice_date]),$D$15,0)),MATCH(ROW(orderHistory[customer]),ROW(orderHistory[customer])),""),ROWS($A$15:A22)+$B$3))),IF($D$15="",INDEX(orderHistory[order_type],SMALL(IF(ISNUMBER(MATCH(orderHistory[customer],$D$9,0)*MATCH(orderHistory[status],$D$11,0)*MATCH(orderHistory[order_type],$D$13,0)),MATCH(ROW(orderHistory[customer]),ROW(orderHistory[customer])),""),ROWS($A$15:A22)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O17" s="455" t="str">
        <f t="array" ref="O17">IFERROR(IF($D$9="",IF($D$11="",IF($D$13="",IF($D$15="",INDEX(orderHistory[order_date],SMALL(MATCH(ROW(orderHistory[customer]),ROW(orderHistory[customer])),ROWS($A$15:A22)+$B$3)),INDEX(orderHistory[order_date],SMALL(IF(ISNUMBER(MATCH(YEAR(orderHistory[invoice_date]),$D$15,0)),MATCH(ROW(orderHistory[customer]),ROW(orderHistory[customer])),""),ROWS($A$15:A22)+$B$3))),IF($D$15="",INDEX(orderHistory[order_date],SMALL(IF(ISNUMBER(MATCH(orderHistory[order_type],$D$13,0)),MATCH(ROW(orderHistory[customer]),ROW(orderHistory[customer])),""),ROWS($A$15:A22)+$B$3)),INDEX(orderHistory[order_date],SMALL(IF(ISNUMBER(MATCH(orderHistory[order_type],$D$13,0)*MATCH(YEAR(orderHistory[invoice_date]),$D$15,0)),MATCH(ROW(orderHistory[customer]),ROW(orderHistory[customer])),""),ROWS($A$15:A22)+$B$3)))),IF($D$13="",IF($D$15="",INDEX(orderHistory[order_date],SMALL(IF(ISNUMBER(MATCH(orderHistory[status],$D$11,0)),MATCH(ROW(orderHistory[customer]),ROW(orderHistory[customer])),""),ROWS($A$15:A22)+$B$3)),INDEX(orderHistory[order_date],SMALL(IF(ISNUMBER(MATCH(orderHistory[status],$D$11,0)*MATCH(YEAR(orderHistory[invoice_date]),$D$15,0)),MATCH(ROW(orderHistory[customer]),ROW(orderHistory[customer])),""),ROWS($A$15:A22)+$B$3))),IF($D$15="",INDEX(orderHistory[order_date],SMALL(IF(ISNUMBER(MATCH(orderHistory[status],$D$11,0)*MATCH(orderHistory[order_type],$D$13,0)),MATCH(ROW(orderHistory[customer]),ROW(orderHistory[customer])),""),ROWS($A$15:A22)+$B$3)),INDEX(orderHistory[order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date],SMALL(IF(ISNUMBER(MATCH(orderHistory[customer],$D$9,0)),MATCH(ROW(orderHistory[customer]),ROW(orderHistory[customer])),""),ROWS($A$15:A22)+$B$3)),INDEX(orderHistory[order_date],SMALL(IF(ISNUMBER(MATCH(orderHistory[customer],$D$9,0)*MATCH(YEAR(orderHistory[invoice_date]),$D$15,0)),MATCH(ROW(orderHistory[customer]),ROW(orderHistory[customer])),""),ROWS($A$15:A22)+$B$3))),IF($D$15="",INDEX(orderHistory[order_date],SMALL(IF(ISNUMBER(MATCH(orderHistory[customer],$D$9,0)*MATCH(orderHistory[order_type],$D$13,0)),MATCH(ROW(orderHistory[customer]),ROW(orderHistory[customer])),""),ROWS($A$15:A22)+$B$3)),INDEX(orderHistory[order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YEAR(orderHistory[invoice_date]),$D$15,0)),MATCH(ROW(orderHistory[customer]),ROW(orderHistory[customer])),""),ROWS($A$15:A22)+$B$3))),IF($D$15="",INDEX(orderHistory[order_date],SMALL(IF(ISNUMBER(MATCH(orderHistory[customer],$D$9,0)*MATCH(orderHistory[status],$D$11,0)*MATCH(orderHistory[order_type],$D$13,0)),MATCH(ROW(orderHistory[customer]),ROW(orderHistory[customer])),""),ROWS($A$15:A22)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P17" s="456" t="str">
        <f t="array" ref="P17">IFERROR(IF($D$9="",IF($D$11="",IF($D$13="",IF($D$15="",INDEX(orderHistory[invoice_no],SMALL(MATCH(ROW(orderHistory[customer]),ROW(orderHistory[customer])),ROWS($A$15:A22)+$B$3)),INDEX(orderHistory[invoice_no],SMALL(IF(ISNUMBER(MATCH(YEAR(orderHistory[invoice_date]),$D$15,0)),MATCH(ROW(orderHistory[customer]),ROW(orderHistory[customer])),""),ROWS($A$15:A22)+$B$3))),IF($D$15="",INDEX(orderHistory[invoice_no],SMALL(IF(ISNUMBER(MATCH(orderHistory[order_type],$D$13,0)),MATCH(ROW(orderHistory[customer]),ROW(orderHistory[customer])),""),ROWS($A$15:A22)+$B$3)),INDEX(orderHistory[invoice_no],SMALL(IF(ISNUMBER(MATCH(orderHistory[order_type],$D$13,0)*MATCH(YEAR(orderHistory[invoice_date]),$D$15,0)),MATCH(ROW(orderHistory[customer]),ROW(orderHistory[customer])),""),ROWS($A$15:A22)+$B$3)))),IF($D$13="",IF($D$15="",INDEX(orderHistory[invoice_no],SMALL(IF(ISNUMBER(MATCH(orderHistory[status],$D$11,0)),MATCH(ROW(orderHistory[customer]),ROW(orderHistory[customer])),""),ROWS($A$15:A22)+$B$3)),INDEX(orderHistory[invoice_no],SMALL(IF(ISNUMBER(MATCH(orderHistory[status],$D$11,0)*MATCH(YEAR(orderHistory[invoice_date]),$D$15,0)),MATCH(ROW(orderHistory[customer]),ROW(orderHistory[customer])),""),ROWS($A$15:A22)+$B$3))),IF($D$15="",INDEX(orderHistory[invoice_no],SMALL(IF(ISNUMBER(MATCH(orderHistory[status],$D$11,0)*MATCH(orderHistory[order_type],$D$13,0)),MATCH(ROW(orderHistory[customer]),ROW(orderHistory[customer])),""),ROWS($A$15:A22)+$B$3)),INDEX(orderHistory[invoice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no],SMALL(IF(ISNUMBER(MATCH(orderHistory[customer],$D$9,0)),MATCH(ROW(orderHistory[customer]),ROW(orderHistory[customer])),""),ROWS($A$15:A22)+$B$3)),INDEX(orderHistory[invoice_no],SMALL(IF(ISNUMBER(MATCH(orderHistory[customer],$D$9,0)*MATCH(YEAR(orderHistory[invoice_date]),$D$15,0)),MATCH(ROW(orderHistory[customer]),ROW(orderHistory[customer])),""),ROWS($A$15:A22)+$B$3))),IF($D$15="",INDEX(orderHistory[invoice_no],SMALL(IF(ISNUMBER(MATCH(orderHistory[customer],$D$9,0)*MATCH(orderHistory[order_type],$D$13,0)),MATCH(ROW(orderHistory[customer]),ROW(orderHistory[customer])),""),ROWS($A$15:A22)+$B$3)),INDEX(orderHistory[invoice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YEAR(orderHistory[invoice_date]),$D$15,0)),MATCH(ROW(orderHistory[customer]),ROW(orderHistory[customer])),""),ROWS($A$15:A22)+$B$3))),IF($D$15="",INDEX(orderHistory[invoice_no],SMALL(IF(ISNUMBER(MATCH(orderHistory[customer],$D$9,0)*MATCH(orderHistory[status],$D$11,0)*MATCH(orderHistory[order_type],$D$13,0)),MATCH(ROW(orderHistory[customer]),ROW(orderHistory[customer])),""),ROWS($A$15:A22)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Q17" s="457" t="str">
        <f t="array" ref="Q17">IFERROR(IF($D$9="",IF($D$11="",IF($D$13="",IF($D$15="",INDEX(orderHistory[invoice_date],SMALL(MATCH(ROW(orderHistory[customer]),ROW(orderHistory[customer])),ROWS($A$15:A22)+$B$3)),INDEX(orderHistory[invoice_date],SMALL(IF(ISNUMBER(MATCH(YEAR(orderHistory[invoice_date]),$D$15,0)),MATCH(ROW(orderHistory[customer]),ROW(orderHistory[customer])),""),ROWS($A$15:A22)+$B$3))),IF($D$15="",INDEX(orderHistory[invoice_date],SMALL(IF(ISNUMBER(MATCH(orderHistory[order_type],$D$13,0)),MATCH(ROW(orderHistory[customer]),ROW(orderHistory[customer])),""),ROWS($A$15:A22)+$B$3)),INDEX(orderHistory[invoice_date],SMALL(IF(ISNUMBER(MATCH(orderHistory[order_type],$D$13,0)*MATCH(YEAR(orderHistory[invoice_date]),$D$15,0)),MATCH(ROW(orderHistory[customer]),ROW(orderHistory[customer])),""),ROWS($A$15:A22)+$B$3)))),IF($D$13="",IF($D$15="",INDEX(orderHistory[invoice_date],SMALL(IF(ISNUMBER(MATCH(orderHistory[status],$D$11,0)),MATCH(ROW(orderHistory[customer]),ROW(orderHistory[customer])),""),ROWS($A$15:A22)+$B$3)),INDEX(orderHistory[invoice_date],SMALL(IF(ISNUMBER(MATCH(orderHistory[status],$D$11,0)*MATCH(YEAR(orderHistory[invoice_date]),$D$15,0)),MATCH(ROW(orderHistory[customer]),ROW(orderHistory[customer])),""),ROWS($A$15:A22)+$B$3))),IF($D$15="",INDEX(orderHistory[invoice_date],SMALL(IF(ISNUMBER(MATCH(orderHistory[status],$D$11,0)*MATCH(orderHistory[order_type],$D$13,0)),MATCH(ROW(orderHistory[customer]),ROW(orderHistory[customer])),""),ROWS($A$15:A22)+$B$3)),INDEX(orderHistory[invoice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date],SMALL(IF(ISNUMBER(MATCH(orderHistory[customer],$D$9,0)),MATCH(ROW(orderHistory[customer]),ROW(orderHistory[customer])),""),ROWS($A$15:A22)+$B$3)),INDEX(orderHistory[invoice_date],SMALL(IF(ISNUMBER(MATCH(orderHistory[customer],$D$9,0)*MATCH(YEAR(orderHistory[invoice_date]),$D$15,0)),MATCH(ROW(orderHistory[customer]),ROW(orderHistory[customer])),""),ROWS($A$15:A22)+$B$3))),IF($D$15="",INDEX(orderHistory[invoice_date],SMALL(IF(ISNUMBER(MATCH(orderHistory[customer],$D$9,0)*MATCH(orderHistory[order_type],$D$13,0)),MATCH(ROW(orderHistory[customer]),ROW(orderHistory[customer])),""),ROWS($A$15:A22)+$B$3)),INDEX(orderHistory[invoice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YEAR(orderHistory[invoice_date]),$D$15,0)),MATCH(ROW(orderHistory[customer]),ROW(orderHistory[customer])),""),ROWS($A$15:A22)+$B$3))),IF($D$15="",INDEX(orderHistory[invoice_date],SMALL(IF(ISNUMBER(MATCH(orderHistory[customer],$D$9,0)*MATCH(orderHistory[status],$D$11,0)*MATCH(orderHistory[order_type],$D$13,0)),MATCH(ROW(orderHistory[customer]),ROW(orderHistory[customer])),""),ROWS($A$15:A22)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R17" s="458" t="str">
        <f t="array" ref="R17">IFERROR(IF($D$9="",IF($D$11="",IF($D$13="",IF($D$15="",INDEX(orderHistory[inv_amount],SMALL(MATCH(ROW(orderHistory[customer]),ROW(orderHistory[customer])),ROWS($A$15:A22)+$B$3)),INDEX(orderHistory[inv_amount],SMALL(IF(ISNUMBER(MATCH(YEAR(orderHistory[invoice_date]),$D$15,0)),MATCH(ROW(orderHistory[customer]),ROW(orderHistory[customer])),""),ROWS($A$15:A22)+$B$3))),IF($D$15="",INDEX(orderHistory[inv_amount],SMALL(IF(ISNUMBER(MATCH(orderHistory[order_type],$D$13,0)),MATCH(ROW(orderHistory[customer]),ROW(orderHistory[customer])),""),ROWS($A$15:A22)+$B$3)),INDEX(orderHistory[inv_amount],SMALL(IF(ISNUMBER(MATCH(orderHistory[order_type],$D$13,0)*MATCH(YEAR(orderHistory[invoice_date]),$D$15,0)),MATCH(ROW(orderHistory[customer]),ROW(orderHistory[customer])),""),ROWS($A$15:A22)+$B$3)))),IF($D$13="",IF($D$15="",INDEX(orderHistory[inv_amount],SMALL(IF(ISNUMBER(MATCH(orderHistory[status],$D$11,0)),MATCH(ROW(orderHistory[customer]),ROW(orderHistory[customer])),""),ROWS($A$15:A22)+$B$3)),INDEX(orderHistory[inv_amount],SMALL(IF(ISNUMBER(MATCH(orderHistory[status],$D$11,0)*MATCH(YEAR(orderHistory[invoice_date]),$D$15,0)),MATCH(ROW(orderHistory[customer]),ROW(orderHistory[customer])),""),ROWS($A$15:A22)+$B$3))),IF($D$15="",INDEX(orderHistory[inv_amount],SMALL(IF(ISNUMBER(MATCH(orderHistory[status],$D$11,0)*MATCH(orderHistory[order_type],$D$13,0)),MATCH(ROW(orderHistory[customer]),ROW(orderHistory[customer])),""),ROWS($A$15:A22)+$B$3)),INDEX(orderHistory[inv_amount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_amount],SMALL(IF(ISNUMBER(MATCH(orderHistory[customer],$D$9,0)),MATCH(ROW(orderHistory[customer]),ROW(orderHistory[customer])),""),ROWS($A$15:A22)+$B$3)),INDEX(orderHistory[inv_amount],SMALL(IF(ISNUMBER(MATCH(orderHistory[customer],$D$9,0)*MATCH(YEAR(orderHistory[invoice_date]),$D$15,0)),MATCH(ROW(orderHistory[customer]),ROW(orderHistory[customer])),""),ROWS($A$15:A22)+$B$3))),IF($D$15="",INDEX(orderHistory[inv_amount],SMALL(IF(ISNUMBER(MATCH(orderHistory[customer],$D$9,0)*MATCH(orderHistory[order_type],$D$13,0)),MATCH(ROW(orderHistory[customer]),ROW(orderHistory[customer])),""),ROWS($A$15:A22)+$B$3)),INDEX(orderHistory[inv_amount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YEAR(orderHistory[inv_amount]),$D$15,0)),MATCH(ROW(orderHistory[customer]),ROW(orderHistory[customer])),""),ROWS($A$15:A22)+$B$3))),IF($D$15="",INDEX(orderHistory[inv_amount],SMALL(IF(ISNUMBER(MATCH(orderHistory[customer],$D$9,0)*MATCH(orderHistory[status],$D$11,0)*MATCH(orderHistory[order_type],$D$13,0)),MATCH(ROW(orderHistory[customer]),ROW(orderHistory[customer])),""),ROWS($A$15:A22)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S17" s="569" t="str">
        <f t="array" ref="S17">IFERROR(IF($D$9="",IF($D$11="",IF($D$13="",IF($D$15="",INDEX(orderHistory[lock_goods],SMALL(MATCH(ROW(orderHistory[customer]),ROW(orderHistory[customer])),ROWS($A$15:A22)+$B$3)),INDEX(orderHistory[lock_goods],SMALL(IF(ISNUMBER(MATCH(YEAR(orderHistory[invoice_date]),$D$15,0)),MATCH(ROW(orderHistory[customer]),ROW(orderHistory[customer])),""),ROWS($A$15:A22)+$B$3))),IF($D$15="",INDEX(orderHistory[lock_goods],SMALL(IF(ISNUMBER(MATCH(orderHistory[order_type],$D$13,0)),MATCH(ROW(orderHistory[customer]),ROW(orderHistory[customer])),""),ROWS($A$15:A22)+$B$3)),INDEX(orderHistory[lock_goods],SMALL(IF(ISNUMBER(MATCH(orderHistory[order_type],$D$13,0)*MATCH(YEAR(orderHistory[invoice_date]),$D$15,0)),MATCH(ROW(orderHistory[customer]),ROW(orderHistory[customer])),""),ROWS($A$15:A22)+$B$3)))),IF($D$13="",IF($D$15="",INDEX(orderHistory[lock_goods],SMALL(IF(ISNUMBER(MATCH(orderHistory[status],$D$11,0)),MATCH(ROW(orderHistory[customer]),ROW(orderHistory[customer])),""),ROWS($A$15:A22)+$B$3)),INDEX(orderHistory[lock_goods],SMALL(IF(ISNUMBER(MATCH(orderHistory[status],$D$11,0)*MATCH(YEAR(orderHistory[invoice_date]),$D$15,0)),MATCH(ROW(orderHistory[customer]),ROW(orderHistory[customer])),""),ROWS($A$15:A22)+$B$3))),IF($D$15="",INDEX(orderHistory[lock_goods],SMALL(IF(ISNUMBER(MATCH(orderHistory[status],$D$11,0)*MATCH(orderHistory[order_type],$D$13,0)),MATCH(ROW(orderHistory[customer]),ROW(orderHistory[customer])),""),ROWS($A$15:A22)+$B$3)),INDEX(orderHistory[lock_good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lock_goods],SMALL(IF(ISNUMBER(MATCH(orderHistory[customer],$D$9,0)),MATCH(ROW(orderHistory[customer]),ROW(orderHistory[customer])),""),ROWS($A$15:A22)+$B$3)),INDEX(orderHistory[lock_goods],SMALL(IF(ISNUMBER(MATCH(orderHistory[customer],$D$9,0)*MATCH(YEAR(orderHistory[invoice_date]),$D$15,0)),MATCH(ROW(orderHistory[customer]),ROW(orderHistory[customer])),""),ROWS($A$15:A22)+$B$3))),IF($D$15="",INDEX(orderHistory[lock_goods],SMALL(IF(ISNUMBER(MATCH(orderHistory[customer],$D$9,0)*MATCH(orderHistory[order_type],$D$13,0)),MATCH(ROW(orderHistory[customer]),ROW(orderHistory[customer])),""),ROWS($A$15:A22)+$B$3)),INDEX(orderHistory[lock_good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lock_goods],SMALL(IF(ISNUMBER(MATCH(orderHistory[customer],$D$9,0)*MATCH(orderHistory[status],$D$11,0)),MATCH(ROW(orderHistory[customer]),ROW(orderHistory[customer])),""),ROWS($A$15:A22)+$B$3)),INDEX(orderHistory[lock_goods],SMALL(IF(ISNUMBER(MATCH(orderHistory[customer],$D$9,0)*MATCH(orderHistory[status],$D$11,0)*MATCH(YEAR(orderHistory[payed]),$D$15,0)),MATCH(ROW(orderHistory[customer]),ROW(orderHistory[customer])),""),ROWS($A$15:A22)+$B$3))),IF($D$15="",INDEX(orderHistory[lock_goods],SMALL(IF(ISNUMBER(MATCH(orderHistory[customer],$D$9,0)*MATCH(orderHistory[status],$D$11,0)*MATCH(orderHistory[order_type],$D$13,0)),MATCH(ROW(orderHistory[customer]),ROW(orderHistory[customer])),""),ROWS($A$15:A22)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T17" s="459" t="str">
        <f t="array" ref="T17">IFERROR(IF($D$9="",IF($D$11="",IF($D$13="",IF($D$15="",INDEX(orderHistory[payed],SMALL(MATCH(ROW(orderHistory[customer]),ROW(orderHistory[customer])),ROWS($A$15:A22)+$B$3)),INDEX(orderHistory[payed],SMALL(IF(ISNUMBER(MATCH(YEAR(orderHistory[invoice_date]),$D$15,0)),MATCH(ROW(orderHistory[customer]),ROW(orderHistory[customer])),""),ROWS($A$15:A22)+$B$3))),IF($D$15="",INDEX(orderHistory[payed],SMALL(IF(ISNUMBER(MATCH(orderHistory[order_type],$D$13,0)),MATCH(ROW(orderHistory[customer]),ROW(orderHistory[customer])),""),ROWS($A$15:A22)+$B$3)),INDEX(orderHistory[payed],SMALL(IF(ISNUMBER(MATCH(orderHistory[order_type],$D$13,0)*MATCH(YEAR(orderHistory[invoice_date]),$D$15,0)),MATCH(ROW(orderHistory[customer]),ROW(orderHistory[customer])),""),ROWS($A$15:A22)+$B$3)))),IF($D$13="",IF($D$15="",INDEX(orderHistory[payed],SMALL(IF(ISNUMBER(MATCH(orderHistory[status],$D$11,0)),MATCH(ROW(orderHistory[customer]),ROW(orderHistory[customer])),""),ROWS($A$15:A22)+$B$3)),INDEX(orderHistory[payed],SMALL(IF(ISNUMBER(MATCH(orderHistory[status],$D$11,0)*MATCH(YEAR(orderHistory[invoice_date]),$D$15,0)),MATCH(ROW(orderHistory[customer]),ROW(orderHistory[customer])),""),ROWS($A$15:A22)+$B$3))),IF($D$15="",INDEX(orderHistory[payed],SMALL(IF(ISNUMBER(MATCH(orderHistory[status],$D$11,0)*MATCH(orderHistory[order_type],$D$13,0)),MATCH(ROW(orderHistory[customer]),ROW(orderHistory[customer])),""),ROWS($A$15:A22)+$B$3)),INDEX(orderHistory[paye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payed],SMALL(IF(ISNUMBER(MATCH(orderHistory[customer],$D$9,0)),MATCH(ROW(orderHistory[customer]),ROW(orderHistory[customer])),""),ROWS($A$15:A22)+$B$3)),INDEX(orderHistory[payed],SMALL(IF(ISNUMBER(MATCH(orderHistory[customer],$D$9,0)*MATCH(YEAR(orderHistory[invoice_date]),$D$15,0)),MATCH(ROW(orderHistory[customer]),ROW(orderHistory[customer])),""),ROWS($A$15:A22)+$B$3))),IF($D$15="",INDEX(orderHistory[payed],SMALL(IF(ISNUMBER(MATCH(orderHistory[customer],$D$9,0)*MATCH(orderHistory[order_type],$D$13,0)),MATCH(ROW(orderHistory[customer]),ROW(orderHistory[customer])),""),ROWS($A$15:A22)+$B$3)),INDEX(orderHistory[paye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YEAR(orderHistory[payed]),$D$15,0)),MATCH(ROW(orderHistory[customer]),ROW(orderHistory[customer])),""),ROWS($A$15:A22)+$B$3))),IF($D$15="",INDEX(orderHistory[payed],SMALL(IF(ISNUMBER(MATCH(orderHistory[customer],$D$9,0)*MATCH(orderHistory[status],$D$11,0)*MATCH(orderHistory[order_type],$D$13,0)),MATCH(ROW(orderHistory[customer]),ROW(orderHistory[customer])),""),ROWS($A$15:A22)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U17" s="454" t="str">
        <f t="array" ref="U17">IFERROR(IF($D$9="",IF($D$11="",IF($D$13="",IF($D$15="",INDEX(orderHistory[shipping_method],SMALL(MATCH(ROW(orderHistory[customer]),ROW(orderHistory[customer])),ROWS($A$15:A22)+$B$3)),INDEX(orderHistory[shipping_method],SMALL(IF(ISNUMBER(MATCH(YEAR(orderHistory[invoice_date]),$D$15,0)),MATCH(ROW(orderHistory[customer]),ROW(orderHistory[customer])),""),ROWS($A$15:A22)+$B$3))),IF($D$15="",INDEX(orderHistory[shipping_method],SMALL(IF(ISNUMBER(MATCH(orderHistory[order_type],$D$13,0)),MATCH(ROW(orderHistory[customer]),ROW(orderHistory[customer])),""),ROWS($A$15:A22)+$B$3)),INDEX(orderHistory[shipping_method],SMALL(IF(ISNUMBER(MATCH(orderHistory[order_type],$D$13,0)*MATCH(YEAR(orderHistory[invoice_date]),$D$15,0)),MATCH(ROW(orderHistory[customer]),ROW(orderHistory[customer])),""),ROWS($A$15:A22)+$B$3)))),IF($D$13="",IF($D$15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YEAR(orderHistory[invoice_date]),$D$15,0)),MATCH(ROW(orderHistory[customer]),ROW(orderHistory[customer])),""),ROWS($A$15:A22)+$B$3))),IF($D$15="",INDEX(orderHistory[shipping_method],SMALL(IF(ISNUMBER(MATCH(orderHistory[status],$D$11,0)*MATCH(orderHistory[order_type],$D$13,0)),MATCH(ROW(orderHistory[customer]),ROW(orderHistory[customer])),""),ROWS($A$15:A22)+$B$3)),INDEX(orderHistory[shipping_metho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YEAR(orderHistory[invoice_date]),$D$15,0)),MATCH(ROW(orderHistory[customer]),ROW(orderHistory[customer])),""),ROWS($A$15:A22)+$B$3))),IF($D$15="",INDEX(orderHistory[shipping_method],SMALL(IF(ISNUMBER(MATCH(orderHistory[customer],$D$9,0)*MATCH(orderHistory[order_type],$D$13,0)),MATCH(ROW(orderHistory[customer]),ROW(orderHistory[customer])),""),ROWS($A$15:A22)+$B$3)),INDEX(orderHistory[shipping_metho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YEAR(orderHistory[shipping_method]),$D$15,0)),MATCH(ROW(orderHistory[customer]),ROW(orderHistory[customer])),""),ROWS($A$15:A22)+$B$3))),IF($D$15="",INDEX(orderHistory[shipping_method],SMALL(IF(ISNUMBER(MATCH(orderHistory[customer],$D$9,0)*MATCH(orderHistory[status],$D$11,0)*MATCH(orderHistory[order_type],$D$13,0)),MATCH(ROW(orderHistory[customer]),ROW(orderHistory[customer])),""),ROWS($A$15:A22)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V17" s="460" t="str">
        <f t="array" ref="V17">IFERROR(IF($D$9="",IF($D$11="",IF($D$13="",IF($D$15="",INDEX(orderHistory[status],SMALL(MATCH(ROW(orderHistory[customer]),ROW(orderHistory[customer])),ROWS($A$15:A22)+$B$3)),INDEX(orderHistory[status],SMALL(IF(ISNUMBER(MATCH(YEAR(orderHistory[invoice_date]),$D$15,0)),MATCH(ROW(orderHistory[customer]),ROW(orderHistory[customer])),""),ROWS($A$15:A22)+$B$3))),IF($D$15="",INDEX(orderHistory[status],SMALL(IF(ISNUMBER(MATCH(orderHistory[order_type],$D$13,0)),MATCH(ROW(orderHistory[customer]),ROW(orderHistory[customer])),""),ROWS($A$15:A22)+$B$3)),INDEX(orderHistory[status],SMALL(IF(ISNUMBER(MATCH(orderHistory[order_type],$D$13,0)*MATCH(YEAR(orderHistory[invoice_date]),$D$15,0)),MATCH(ROW(orderHistory[customer]),ROW(orderHistory[customer])),""),ROWS($A$15:A22)+$B$3)))),IF($D$13="",IF($D$15="",INDEX(orderHistory[status],SMALL(IF(ISNUMBER(MATCH(orderHistory[status],$D$11,0)),MATCH(ROW(orderHistory[customer]),ROW(orderHistory[customer])),""),ROWS($A$15:A22)+$B$3)),INDEX(orderHistory[status],SMALL(IF(ISNUMBER(MATCH(orderHistory[status],$D$11,0)*MATCH(YEAR(orderHistory[invoice_date]),$D$15,0)),MATCH(ROW(orderHistory[customer]),ROW(orderHistory[customer])),""),ROWS($A$15:A22)+$B$3))),IF($D$15="",INDEX(orderHistory[status],SMALL(IF(ISNUMBER(MATCH(orderHistory[status],$D$11,0)*MATCH(orderHistory[order_type],$D$13,0)),MATCH(ROW(orderHistory[customer]),ROW(orderHistory[customer])),""),ROWS($A$15:A22)+$B$3)),INDEX(orderHistory[statu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tatus],SMALL(IF(ISNUMBER(MATCH(orderHistory[customer],$D$9,0)),MATCH(ROW(orderHistory[customer]),ROW(orderHistory[customer])),""),ROWS($A$15:A22)+$B$3)),INDEX(orderHistory[status],SMALL(IF(ISNUMBER(MATCH(orderHistory[customer],$D$9,0)*MATCH(YEAR(orderHistory[invoice_date]),$D$15,0)),MATCH(ROW(orderHistory[customer]),ROW(orderHistory[customer])),""),ROWS($A$15:A22)+$B$3))),IF($D$15="",INDEX(orderHistory[status],SMALL(IF(ISNUMBER(MATCH(orderHistory[customer],$D$9,0)*MATCH(orderHistory[order_type],$D$13,0)),MATCH(ROW(orderHistory[customer]),ROW(orderHistory[customer])),""),ROWS($A$15:A22)+$B$3)),INDEX(orderHistory[statu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YEAR(orderHistory[status]),$D$15,0)),MATCH(ROW(orderHistory[customer]),ROW(orderHistory[customer])),""),ROWS($A$15:A22)+$B$3))),IF($D$15="",INDEX(orderHistory[status],SMALL(IF(ISNUMBER(MATCH(orderHistory[customer],$D$9,0)*MATCH(orderHistory[status],$D$11,0)*MATCH(orderHistory[order_type],$D$13,0)),MATCH(ROW(orderHistory[customer]),ROW(orderHistory[customer])),""),ROWS($A$15:A22)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W17" s="75"/>
      <c r="AO17" s="341"/>
      <c r="AQ17" s="373"/>
      <c r="AR17" s="374"/>
      <c r="AS17" s="374"/>
      <c r="AT17" s="374"/>
      <c r="AU17" s="338"/>
      <c r="AW17" s="378"/>
      <c r="AX17" s="388"/>
      <c r="AZ17" s="400"/>
      <c r="BD17" s="398"/>
      <c r="BE17" s="346"/>
      <c r="BF17" s="346"/>
      <c r="BG17" s="399"/>
      <c r="BH17" s="346"/>
      <c r="BJ17" s="346"/>
      <c r="BK17" s="366"/>
      <c r="BL17" s="367"/>
      <c r="BM17" s="368"/>
      <c r="BN17" s="367"/>
      <c r="BO17" s="368"/>
      <c r="BX17" s="342"/>
      <c r="BZ17" s="495" t="s">
        <v>129</v>
      </c>
      <c r="CA17" s="477" t="str">
        <f>IF(BZ17="","",INDEX(bhpc_data[description],MATCH(BZ17,bhpc_data[sku],0)))</f>
        <v>BHPC PRESTIGE PASSION 100ML EDP WOMEN</v>
      </c>
      <c r="CB17" s="478">
        <v>720</v>
      </c>
      <c r="CC17" s="589">
        <v>14.53</v>
      </c>
      <c r="CD17" s="491"/>
      <c r="CE17" s="481"/>
      <c r="CF17" s="482">
        <v>100</v>
      </c>
      <c r="CG17" s="483">
        <f>IFERROR(ROUNDUP(CB17/INDEX(bhpc_data[units_per_carton],MATCH(BZ17,bhpc_data[sku],0)),0),"")</f>
        <v>30</v>
      </c>
      <c r="CH17" s="484">
        <f>IFERROR(ROUNDUP(CD17/INDEX(bhpc_data[units_per_carton],MATCH(BZ17,bhpc_data[sku],0)),0),"")</f>
        <v>0</v>
      </c>
      <c r="CI17" s="484">
        <f>IFERROR(ROUNDUP(CF17/INDEX(bhpc_data[units_per_carton],MATCH(BZ17,bhpc_data[sku])),0),"")</f>
        <v>5</v>
      </c>
      <c r="CJ17" s="484">
        <f>IFERROR(((CB17+CD17+CF17)/INDEX(bhpc_data[units_per_carton],MATCH(BZ17,bhpc_data[sku],0)))*INDEX(bhpc_data[net_weight],MATCH(BZ17,bhpc_data[sku],0)),"")</f>
        <v>311.59999999999997</v>
      </c>
      <c r="CK17" s="484">
        <f>IFERROR(((CB17+CD17+CF17)/INDEX(bhpc_data[units_per_carton],MATCH(BZ17,bhpc_data[sku],0)))*INDEX(bhpc_data[gross_weight],MATCH(BZ17,bhpc_data[sku],0)),"")</f>
        <v>324.58333333333331</v>
      </c>
      <c r="CL17" s="485">
        <f>IFERROR((CB17+CD17+CF17)/INDEX(bhpc_data[units_per_carton],MATCH(BZ17,bhpc_data[sku],0))*INDEX(bhpc_data[lenght],MATCH(BZ17,bhpc_data[sku],0))*INDEX(bhpc_data[width],MATCH(BZ17,bhpc_data[sku],0))*INDEX(bhpc_data[height],MATCH(BZ17,bhpc_data[sku],0))/1000000000,"")</f>
        <v>0.59898437500000001</v>
      </c>
      <c r="CM17" s="486" t="str">
        <f>IFERROR(INDEX(bhpc_data[category],MATCH(BZ17,bhpc_data[sku],0)),"")</f>
        <v>PRESTIGE</v>
      </c>
      <c r="CN17" s="486">
        <f>IFERROR(INDEX(bhpc_data[size1],MATCH(BZ17,bhpc_data[sku],0)),"")</f>
        <v>100</v>
      </c>
      <c r="CO17" s="487" t="str">
        <f>IFERROR(INDEX(bhpc_data[hs_code],MATCH(BZ17,bhpc_data[sku],0)),"")</f>
        <v>33030010</v>
      </c>
      <c r="CP17" s="482">
        <v>11.68</v>
      </c>
      <c r="CQ17" s="492" t="str">
        <f>IFERROR(IF(BZ17="","",IF($BX$15="SALE",INDEX(inventory[COSTO UNITARIO],MATCH(BZ17,inventory[ARTICOLO],0)),IF($BX$15="SAMPLING",INDEX(inventory[COSTO UNITARIO],MATCH(BZ17,inventory[ARTICOLO],0)),""))),"")</f>
        <v/>
      </c>
      <c r="CR17" s="492" t="str">
        <f t="shared" si="0"/>
        <v/>
      </c>
      <c r="CS17" s="489">
        <f t="shared" si="1"/>
        <v>10461.6</v>
      </c>
      <c r="CT17" s="573" t="e">
        <f t="shared" si="2"/>
        <v>#N/A</v>
      </c>
      <c r="CV17" s="85"/>
      <c r="CW17" s="89" t="s">
        <v>596</v>
      </c>
      <c r="CX17" s="232" t="str">
        <f>IFERROR(CONCATENATE(ROUND(1/($CX$16/SUMIF($CF$10:$CF$110,"&lt;&gt;""",$CB$10:$CB$110)),1),":1"),0)</f>
        <v>7,2:1</v>
      </c>
      <c r="CY17" s="89"/>
      <c r="CZ17" s="81"/>
      <c r="DA17" s="82"/>
      <c r="DH17" s="245"/>
      <c r="EE17" s="541" t="str" cm="1">
        <f t="array" ref="EE17">IFERROR(IF($EC$9="",IF($EC$11="",IF($EC$13="",INDEX(bhpc_data[sku],SMALL(MATCH(ROW(bhpc_data[sku]),ROW(bhpc_data[sku])),ROWS($A$15:A22)+$B$3)),INDEX(bhpc_data[sku],SMALL(IF(ISNUMBER(MATCH(bhpc_data[size1],$EC$13,0)),MATCH(ROW(bhpc_data[sku]),ROW(bhpc_data[sku])),""),ROWS($A$15:A22)+$B$3))),IF($EC$13="",INDEX(bhpc_data[sku],SMALL(IF(ISNUMBER(MATCH(bhpc_data[sex],$EC$11,0)),MATCH(ROW(bhpc_data[sku]),ROW(bhpc_data[sku])),""),ROWS($A$15:A22)+$B$3)),INDEX(bhpc_data[sku],SMALL(IF(ISNUMBER(MATCH(bhpc_data[sex],$EC$11,0)*MATCH(bhpc_data[size1],$EC$13,0)),MATCH(ROW(bhpc_data[sku]),ROW(bhpc_data[sku])),""),ROWS($A$15:A22)+$B$3)))),IF($EC$11="",IF($EC$13="",INDEX(bhpc_data[sku],SMALL(IF(ISNUMBER(MATCH(bhpc_data[category],$EC$9,0)),MATCH(ROW(bhpc_data[sku]),ROW(bhpc_data[sku])),""),ROWS($A$15:A22)+$B$3)),INDEX(bhpc_data[sku],SMALL(IF(ISNUMBER(MATCH(bhpc_data[category],$EC$9,0)*MATCH(bhpc_data[size1],$EC$13,0)),MATCH(ROW(bhpc_data[sku]),ROW(bhpc_data[sku])),""),ROWS($A$15:A22)+$B$3))),IF($EC$13="",INDEX(bhpc_data[sku],SMALL(IF(ISNUMBER(MATCH(bhpc_data[category],$EC$9,0)*MATCH(bhpc_data[sex],$EC$11,0)),MATCH(ROW(bhpc_data[sku]),ROW(bhpc_data[sku])),""),ROWS($A$15:A22)+$B$3)),INDEX(bhpc_data[sku],SMALL(IF(ISNUMBER(MATCH(bhpc_data[category],$EC$9,0)*MATCH(bhpc_data[sex],$EC$11,0)*MATCH(bhpc_data[size1],$EC$13,0)),MATCH(ROW(bhpc_data[sku]),ROW(bhpc_data[sku])),""),ROWS($A$15:A22)+$B$3))))),"")</f>
        <v>GS5011</v>
      </c>
      <c r="EF17" s="542" t="str" cm="1">
        <f t="array" ref="EF17">IFERROR(IF($EC$9="",IF($EC$11="",IF($EC$13="",INDEX(bhpc_data[description],SMALL(MATCH(ROW(bhpc_data[sku]),ROW(bhpc_data[sku])),ROWS($A$15:A22)+$B$3)),INDEX(bhpc_data[description],SMALL(IF(ISNUMBER(MATCH(bhpc_data[size1],$EC$13,0)),MATCH(ROW(bhpc_data[sku]),ROW(bhpc_data[sku])),""),ROWS($A$15:A22)+$B$3))),IF($EC$13="",INDEX(bhpc_data[description],SMALL(IF(ISNUMBER(MATCH(bhpc_data[sex],$EC$11,0)),MATCH(ROW(bhpc_data[sku]),ROW(bhpc_data[sku])),""),ROWS($A$15:A22)+$B$3)),INDEX(bhpc_data[description],SMALL(IF(ISNUMBER(MATCH(bhpc_data[sex],$EC$11,0)*MATCH(bhpc_data[size1],$EC$13,0)),MATCH(ROW(bhpc_data[sku]),ROW(bhpc_data[sku])),""),ROWS($A$15:A22)+$B$3)))),IF($EC$11="",IF($EC$13="",INDEX(bhpc_data[description],SMALL(IF(ISNUMBER(MATCH(bhpc_data[category],$EC$9,0)),MATCH(ROW(bhpc_data[sku]),ROW(bhpc_data[sku])),""),ROWS($A$15:A22)+$B$3)),INDEX(bhpc_data[description],SMALL(IF(ISNUMBER(MATCH(bhpc_data[category],$EC$9,0)*MATCH(bhpc_data[size1],$EC$13,0)),MATCH(ROW(bhpc_data[sku]),ROW(bhpc_data[sku])),""),ROWS($A$15:A22)+$B$3))),IF($EC$13="",INDEX(bhpc_data[description],SMALL(IF(ISNUMBER(MATCH(bhpc_data[category],$EC$9,0)*MATCH(bhpc_data[sex],$EC$11,0)),MATCH(ROW(bhpc_data[sku]),ROW(bhpc_data[sku])),""),ROWS($A$15:A22)+$B$3)),INDEX(bhpc_data[description],SMALL(IF(ISNUMBER(MATCH(bhpc_data[category],$EC$9,0)*MATCH(bhpc_data[sex],$EC$11,0)*MATCH(bhpc_data[size1],$EC$13,0)),MATCH(ROW(bhpc_data[sku]),ROW(bhpc_data[sku])),""),ROWS($A$15:A22)+$B$3))))),"")</f>
        <v>BHPC GIFT SET SPORT MEN 2 EDT 50ML + DEO 175ML</v>
      </c>
      <c r="EG17" s="543">
        <f>IFERROR(IF('BHPC MANAGER'!$EE17="","",INDEX(inventory[ESISTENZA],MATCH('BHPC MANAGER'!$EE17,inventory[ARTICOLO],0))),0)</f>
        <v>461</v>
      </c>
      <c r="EH17" s="544">
        <v>-1962</v>
      </c>
      <c r="EI17" s="544">
        <f t="shared" si="3"/>
        <v>-1501</v>
      </c>
      <c r="EJ17" s="545">
        <v>-72</v>
      </c>
      <c r="EK17" s="546">
        <f t="shared" si="4"/>
        <v>-1573</v>
      </c>
      <c r="FF17" s="331"/>
      <c r="FG17" s="331"/>
      <c r="FH17" s="331"/>
      <c r="FI17" s="331"/>
      <c r="FJ17" s="331"/>
      <c r="FK17" s="331"/>
      <c r="FL17" s="331"/>
      <c r="FM17" s="331"/>
      <c r="FN17" s="331"/>
      <c r="FO17" s="331"/>
      <c r="FP17" s="331"/>
      <c r="FQ17" s="331"/>
      <c r="FR17" s="331"/>
      <c r="FS17" s="331"/>
      <c r="FT17" s="331"/>
      <c r="FU17" s="331"/>
      <c r="FV17" s="331"/>
      <c r="FW17" s="331"/>
      <c r="FX17" s="331"/>
      <c r="FY17" s="331"/>
      <c r="FZ17" s="331"/>
      <c r="GA17" s="331"/>
      <c r="GB17" s="331"/>
      <c r="GC17" s="331"/>
      <c r="GD17" s="331"/>
      <c r="GE17" s="331"/>
      <c r="GF17" s="331"/>
      <c r="GG17" s="331"/>
      <c r="GH17" s="331"/>
      <c r="GI17" s="331"/>
      <c r="GJ17" s="331"/>
      <c r="GK17" s="331"/>
      <c r="GL17" s="331"/>
      <c r="GM17" s="331"/>
      <c r="GN17" s="331"/>
      <c r="GO17" s="331"/>
      <c r="GP17" s="331"/>
      <c r="GQ17" s="331"/>
      <c r="GR17" s="331"/>
      <c r="GS17" s="331"/>
      <c r="GT17" s="331"/>
      <c r="GU17" s="331"/>
      <c r="GV17" s="331"/>
      <c r="GW17" s="331"/>
      <c r="GX17" s="331"/>
      <c r="GY17" s="331"/>
      <c r="GZ17" s="331"/>
      <c r="HA17" s="331"/>
      <c r="HB17" s="331"/>
      <c r="HC17" s="331"/>
      <c r="HD17" s="331"/>
      <c r="HE17" s="331"/>
      <c r="HF17" s="331"/>
      <c r="HG17" s="331"/>
      <c r="HH17" s="331"/>
      <c r="HI17" s="331"/>
      <c r="HJ17" s="331"/>
      <c r="HK17" s="331"/>
      <c r="HL17" s="331"/>
      <c r="HM17" s="331"/>
      <c r="HN17" s="331"/>
      <c r="HO17" s="331"/>
      <c r="HP17" s="331"/>
      <c r="HQ17" s="331"/>
      <c r="HR17" s="331"/>
      <c r="HS17" s="331"/>
      <c r="HT17" s="331"/>
    </row>
    <row r="18" spans="1:228" ht="15" customHeight="1" x14ac:dyDescent="0.35">
      <c r="A18" s="152" t="s">
        <v>615</v>
      </c>
      <c r="B18" s="153"/>
      <c r="D18" s="244" t="s">
        <v>1015</v>
      </c>
      <c r="F18" s="94"/>
      <c r="G18" s="844" t="str">
        <f>IFERROR(INDEX(clientData[payment_method],MATCH($B$6,clientData[cod_cliente],0)),"")</f>
        <v/>
      </c>
      <c r="H18" s="845"/>
      <c r="I18" s="846"/>
      <c r="J18" s="82"/>
      <c r="L18" s="452" t="str">
        <f t="array" ref="L18">IFERROR(IF($D$9="",IF($D$11="",IF($D$13="",IF($D$15="",INDEX(orderHistory[customer],SMALL(MATCH(ROW(orderHistory[customer]),ROW(orderHistory[customer])),ROWS($A$15:A23)+$B$3)),INDEX(orderHistory[customer],SMALL(IF(ISNUMBER(MATCH(YEAR(orderHistory[invoice_date]),$D$15,0)),MATCH(ROW(orderHistory[customer]),ROW(orderHistory[customer])),""),ROWS($A$15:A23)+$B$3))),IF($D$15="",INDEX(orderHistory[customer],SMALL(IF(ISNUMBER(MATCH(orderHistory[order_type],$D$13,0)),MATCH(ROW(orderHistory[customer]),ROW(orderHistory[customer])),""),ROWS($A$15:A23)+$B$3)),INDEX(orderHistory[customer],SMALL(IF(ISNUMBER(MATCH(orderHistory[order_type],$D$13,0)*MATCH(YEAR(orderHistory[invoice_date]),$D$15,0)),MATCH(ROW(orderHistory[customer]),ROW(orderHistory[customer])),""),ROWS($A$15:A23)+$B$3)))),IF($D$13="",IF($D$15="",INDEX(orderHistory[customer],SMALL(IF(ISNUMBER(MATCH(orderHistory[status],$D$11,0)),MATCH(ROW(orderHistory[customer]),ROW(orderHistory[customer])),""),ROWS($A$15:A23)+$B$3)),INDEX(orderHistory[customer],SMALL(IF(ISNUMBER(MATCH(orderHistory[status],$D$11,0)*MATCH(YEAR(orderHistory[invoice_date]),$D$15,0)),MATCH(ROW(orderHistory[customer]),ROW(orderHistory[customer])),""),ROWS($A$15:A23)+$B$3))),IF($D$15="",INDEX(orderHistory[customer],SMALL(IF(ISNUMBER(MATCH(orderHistory[status],$D$11,0)*MATCH(orderHistory[order_type],$D$13,0)),MATCH(ROW(orderHistory[customer]),ROW(orderHistory[customer])),""),ROWS($A$15:A23)+$B$3)),INDEX(orderHistory[customer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customer],SMALL(IF(ISNUMBER(MATCH(orderHistory[customer],$D$9,0)),MATCH(ROW(orderHistory[customer]),ROW(orderHistory[customer])),""),ROWS($A$15:A23)+$B$3)),INDEX(orderHistory[customer],SMALL(IF(ISNUMBER(MATCH(orderHistory[customer],$D$9,0)*MATCH(YEAR(orderHistory[invoice_date]),$D$15,0)),MATCH(ROW(orderHistory[customer]),ROW(orderHistory[customer])),""),ROWS($A$15:A23)+$B$3))),IF($D$15="",INDEX(orderHistory[customer],SMALL(IF(ISNUMBER(MATCH(orderHistory[customer],$D$9,0)*MATCH(orderHistory[order_type],$D$13,0)),MATCH(ROW(orderHistory[customer]),ROW(orderHistory[customer])),""),ROWS($A$15:A23)+$B$3)),INDEX(orderHistory[customer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YEAR(orderHistory[invoice_date]),$D$15,0)),MATCH(ROW(orderHistory[customer]),ROW(orderHistory[customer])),""),ROWS($A$15:A23)+$B$3))),IF($D$15="",INDEX(orderHistory[customer],SMALL(IF(ISNUMBER(MATCH(orderHistory[customer],$D$9,0)*MATCH(orderHistory[status],$D$11,0)*MATCH(orderHistory[order_type],$D$13,0)),MATCH(ROW(orderHistory[customer]),ROW(orderHistory[customer])),""),ROWS($A$15:A23)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M18" s="453" t="str">
        <f t="array" ref="M18">IFERROR(IF($D$9="",IF($D$11="",IF($D$13="",IF($D$15="",INDEX(orderHistory[order_no],SMALL(MATCH(ROW(orderHistory[customer]),ROW(orderHistory[customer])),ROWS($A$15:A23)+$B$3)),INDEX(orderHistory[order_no],SMALL(IF(ISNUMBER(MATCH(YEAR(orderHistory[invoice_date]),$D$15,0)),MATCH(ROW(orderHistory[customer]),ROW(orderHistory[customer])),""),ROWS($A$15:A23)+$B$3))),IF($D$15="",INDEX(orderHistory[order_no],SMALL(IF(ISNUMBER(MATCH(orderHistory[order_type],$D$13,0)),MATCH(ROW(orderHistory[customer]),ROW(orderHistory[customer])),""),ROWS($A$15:A23)+$B$3)),INDEX(orderHistory[order_no],SMALL(IF(ISNUMBER(MATCH(orderHistory[order_type],$D$13,0)*MATCH(YEAR(orderHistory[invoice_date]),$D$15,0)),MATCH(ROW(orderHistory[customer]),ROW(orderHistory[customer])),""),ROWS($A$15:A23)+$B$3)))),IF($D$13="",IF($D$15="",INDEX(orderHistory[order_no],SMALL(IF(ISNUMBER(MATCH(orderHistory[status],$D$11,0)),MATCH(ROW(orderHistory[customer]),ROW(orderHistory[customer])),""),ROWS($A$15:A23)+$B$3)),INDEX(orderHistory[order_no],SMALL(IF(ISNUMBER(MATCH(orderHistory[status],$D$11,0)*MATCH(YEAR(orderHistory[invoice_date]),$D$15,0)),MATCH(ROW(orderHistory[customer]),ROW(orderHistory[customer])),""),ROWS($A$15:A23)+$B$3))),IF($D$15="",INDEX(orderHistory[order_no],SMALL(IF(ISNUMBER(MATCH(orderHistory[status],$D$11,0)*MATCH(orderHistory[order_type],$D$13,0)),MATCH(ROW(orderHistory[customer]),ROW(orderHistory[customer])),""),ROWS($A$15:A23)+$B$3)),INDEX(orderHistory[order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no],SMALL(IF(ISNUMBER(MATCH(orderHistory[customer],$D$9,0)),MATCH(ROW(orderHistory[customer]),ROW(orderHistory[customer])),""),ROWS($A$15:A23)+$B$3)),INDEX(orderHistory[order_no],SMALL(IF(ISNUMBER(MATCH(orderHistory[customer],$D$9,0)*MATCH(YEAR(orderHistory[invoice_date]),$D$15,0)),MATCH(ROW(orderHistory[customer]),ROW(orderHistory[customer])),""),ROWS($A$15:A23)+$B$3))),IF($D$15="",INDEX(orderHistory[order_no],SMALL(IF(ISNUMBER(MATCH(orderHistory[customer],$D$9,0)*MATCH(orderHistory[order_type],$D$13,0)),MATCH(ROW(orderHistory[customer]),ROW(orderHistory[customer])),""),ROWS($A$15:A23)+$B$3)),INDEX(orderHistory[order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YEAR(orderHistory[invoice_date]),$D$15,0)),MATCH(ROW(orderHistory[customer]),ROW(orderHistory[customer])),""),ROWS($A$15:A23)+$B$3))),IF($D$15="",INDEX(orderHistory[order_no],SMALL(IF(ISNUMBER(MATCH(orderHistory[customer],$D$9,0)*MATCH(orderHistory[status],$D$11,0)*MATCH(orderHistory[order_type],$D$13,0)),MATCH(ROW(orderHistory[customer]),ROW(orderHistory[customer])),""),ROWS($A$15:A23)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N18" s="454" t="str">
        <f t="array" ref="N18">IFERROR(IF($D$9="",IF($D$11="",IF($D$13="",IF($D$15="",INDEX(orderHistory[order_type],SMALL(MATCH(ROW(orderHistory[customer]),ROW(orderHistory[customer])),ROWS($A$15:A23)+$B$3)),INDEX(orderHistory[order_type],SMALL(IF(ISNUMBER(MATCH(YEAR(orderHistory[invoice_date]),$D$15,0)),MATCH(ROW(orderHistory[customer]),ROW(orderHistory[customer])),""),ROWS($A$15:A23)+$B$3))),IF($D$15="",INDEX(orderHistory[order_type],SMALL(IF(ISNUMBER(MATCH(orderHistory[order_type],$D$13,0)),MATCH(ROW(orderHistory[customer]),ROW(orderHistory[customer])),""),ROWS($A$15:A23)+$B$3)),INDEX(orderHistory[order_type],SMALL(IF(ISNUMBER(MATCH(orderHistory[order_type],$D$13,0)*MATCH(YEAR(orderHistory[invoice_date]),$D$15,0)),MATCH(ROW(orderHistory[customer]),ROW(orderHistory[customer])),""),ROWS($A$15:A23)+$B$3)))),IF($D$13="",IF($D$15="",INDEX(orderHistory[order_type],SMALL(IF(ISNUMBER(MATCH(orderHistory[status],$D$11,0)),MATCH(ROW(orderHistory[customer]),ROW(orderHistory[customer])),""),ROWS($A$15:A23)+$B$3)),INDEX(orderHistory[order_type],SMALL(IF(ISNUMBER(MATCH(orderHistory[status],$D$11,0)*MATCH(YEAR(orderHistory[invoice_date]),$D$15,0)),MATCH(ROW(orderHistory[customer]),ROW(orderHistory[customer])),""),ROWS($A$15:A23)+$B$3))),IF($D$15="",INDEX(orderHistory[order_type],SMALL(IF(ISNUMBER(MATCH(orderHistory[status],$D$11,0)*MATCH(orderHistory[order_type],$D$13,0)),MATCH(ROW(orderHistory[customer]),ROW(orderHistory[customer])),""),ROWS($A$15:A23)+$B$3)),INDEX(orderHistory[order_typ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type],SMALL(IF(ISNUMBER(MATCH(orderHistory[customer],$D$9,0)),MATCH(ROW(orderHistory[customer]),ROW(orderHistory[customer])),""),ROWS($A$15:A23)+$B$3)),INDEX(orderHistory[order_type],SMALL(IF(ISNUMBER(MATCH(orderHistory[customer],$D$9,0)*MATCH(YEAR(orderHistory[invoice_date]),$D$15,0)),MATCH(ROW(orderHistory[customer]),ROW(orderHistory[customer])),""),ROWS($A$15:A23)+$B$3))),IF($D$15="",INDEX(orderHistory[order_type],SMALL(IF(ISNUMBER(MATCH(orderHistory[customer],$D$9,0)*MATCH(orderHistory[order_type],$D$13,0)),MATCH(ROW(orderHistory[customer]),ROW(orderHistory[customer])),""),ROWS($A$15:A23)+$B$3)),INDEX(orderHistory[order_typ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YEAR(orderHistory[invoice_date]),$D$15,0)),MATCH(ROW(orderHistory[customer]),ROW(orderHistory[customer])),""),ROWS($A$15:A23)+$B$3))),IF($D$15="",INDEX(orderHistory[order_type],SMALL(IF(ISNUMBER(MATCH(orderHistory[customer],$D$9,0)*MATCH(orderHistory[status],$D$11,0)*MATCH(orderHistory[order_type],$D$13,0)),MATCH(ROW(orderHistory[customer]),ROW(orderHistory[customer])),""),ROWS($A$15:A23)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O18" s="455" t="str">
        <f t="array" ref="O18">IFERROR(IF($D$9="",IF($D$11="",IF($D$13="",IF($D$15="",INDEX(orderHistory[order_date],SMALL(MATCH(ROW(orderHistory[customer]),ROW(orderHistory[customer])),ROWS($A$15:A23)+$B$3)),INDEX(orderHistory[order_date],SMALL(IF(ISNUMBER(MATCH(YEAR(orderHistory[invoice_date]),$D$15,0)),MATCH(ROW(orderHistory[customer]),ROW(orderHistory[customer])),""),ROWS($A$15:A23)+$B$3))),IF($D$15="",INDEX(orderHistory[order_date],SMALL(IF(ISNUMBER(MATCH(orderHistory[order_type],$D$13,0)),MATCH(ROW(orderHistory[customer]),ROW(orderHistory[customer])),""),ROWS($A$15:A23)+$B$3)),INDEX(orderHistory[order_date],SMALL(IF(ISNUMBER(MATCH(orderHistory[order_type],$D$13,0)*MATCH(YEAR(orderHistory[invoice_date]),$D$15,0)),MATCH(ROW(orderHistory[customer]),ROW(orderHistory[customer])),""),ROWS($A$15:A23)+$B$3)))),IF($D$13="",IF($D$15="",INDEX(orderHistory[order_date],SMALL(IF(ISNUMBER(MATCH(orderHistory[status],$D$11,0)),MATCH(ROW(orderHistory[customer]),ROW(orderHistory[customer])),""),ROWS($A$15:A23)+$B$3)),INDEX(orderHistory[order_date],SMALL(IF(ISNUMBER(MATCH(orderHistory[status],$D$11,0)*MATCH(YEAR(orderHistory[invoice_date]),$D$15,0)),MATCH(ROW(orderHistory[customer]),ROW(orderHistory[customer])),""),ROWS($A$15:A23)+$B$3))),IF($D$15="",INDEX(orderHistory[order_date],SMALL(IF(ISNUMBER(MATCH(orderHistory[status],$D$11,0)*MATCH(orderHistory[order_type],$D$13,0)),MATCH(ROW(orderHistory[customer]),ROW(orderHistory[customer])),""),ROWS($A$15:A23)+$B$3)),INDEX(orderHistory[order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date],SMALL(IF(ISNUMBER(MATCH(orderHistory[customer],$D$9,0)),MATCH(ROW(orderHistory[customer]),ROW(orderHistory[customer])),""),ROWS($A$15:A23)+$B$3)),INDEX(orderHistory[order_date],SMALL(IF(ISNUMBER(MATCH(orderHistory[customer],$D$9,0)*MATCH(YEAR(orderHistory[invoice_date]),$D$15,0)),MATCH(ROW(orderHistory[customer]),ROW(orderHistory[customer])),""),ROWS($A$15:A23)+$B$3))),IF($D$15="",INDEX(orderHistory[order_date],SMALL(IF(ISNUMBER(MATCH(orderHistory[customer],$D$9,0)*MATCH(orderHistory[order_type],$D$13,0)),MATCH(ROW(orderHistory[customer]),ROW(orderHistory[customer])),""),ROWS($A$15:A23)+$B$3)),INDEX(orderHistory[order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YEAR(orderHistory[invoice_date]),$D$15,0)),MATCH(ROW(orderHistory[customer]),ROW(orderHistory[customer])),""),ROWS($A$15:A23)+$B$3))),IF($D$15="",INDEX(orderHistory[order_date],SMALL(IF(ISNUMBER(MATCH(orderHistory[customer],$D$9,0)*MATCH(orderHistory[status],$D$11,0)*MATCH(orderHistory[order_type],$D$13,0)),MATCH(ROW(orderHistory[customer]),ROW(orderHistory[customer])),""),ROWS($A$15:A23)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P18" s="456" t="str">
        <f t="array" ref="P18">IFERROR(IF($D$9="",IF($D$11="",IF($D$13="",IF($D$15="",INDEX(orderHistory[invoice_no],SMALL(MATCH(ROW(orderHistory[customer]),ROW(orderHistory[customer])),ROWS($A$15:A23)+$B$3)),INDEX(orderHistory[invoice_no],SMALL(IF(ISNUMBER(MATCH(YEAR(orderHistory[invoice_date]),$D$15,0)),MATCH(ROW(orderHistory[customer]),ROW(orderHistory[customer])),""),ROWS($A$15:A23)+$B$3))),IF($D$15="",INDEX(orderHistory[invoice_no],SMALL(IF(ISNUMBER(MATCH(orderHistory[order_type],$D$13,0)),MATCH(ROW(orderHistory[customer]),ROW(orderHistory[customer])),""),ROWS($A$15:A23)+$B$3)),INDEX(orderHistory[invoice_no],SMALL(IF(ISNUMBER(MATCH(orderHistory[order_type],$D$13,0)*MATCH(YEAR(orderHistory[invoice_date]),$D$15,0)),MATCH(ROW(orderHistory[customer]),ROW(orderHistory[customer])),""),ROWS($A$15:A23)+$B$3)))),IF($D$13="",IF($D$15="",INDEX(orderHistory[invoice_no],SMALL(IF(ISNUMBER(MATCH(orderHistory[status],$D$11,0)),MATCH(ROW(orderHistory[customer]),ROW(orderHistory[customer])),""),ROWS($A$15:A23)+$B$3)),INDEX(orderHistory[invoice_no],SMALL(IF(ISNUMBER(MATCH(orderHistory[status],$D$11,0)*MATCH(YEAR(orderHistory[invoice_date]),$D$15,0)),MATCH(ROW(orderHistory[customer]),ROW(orderHistory[customer])),""),ROWS($A$15:A23)+$B$3))),IF($D$15="",INDEX(orderHistory[invoice_no],SMALL(IF(ISNUMBER(MATCH(orderHistory[status],$D$11,0)*MATCH(orderHistory[order_type],$D$13,0)),MATCH(ROW(orderHistory[customer]),ROW(orderHistory[customer])),""),ROWS($A$15:A23)+$B$3)),INDEX(orderHistory[invoice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no],SMALL(IF(ISNUMBER(MATCH(orderHistory[customer],$D$9,0)),MATCH(ROW(orderHistory[customer]),ROW(orderHistory[customer])),""),ROWS($A$15:A23)+$B$3)),INDEX(orderHistory[invoice_no],SMALL(IF(ISNUMBER(MATCH(orderHistory[customer],$D$9,0)*MATCH(YEAR(orderHistory[invoice_date]),$D$15,0)),MATCH(ROW(orderHistory[customer]),ROW(orderHistory[customer])),""),ROWS($A$15:A23)+$B$3))),IF($D$15="",INDEX(orderHistory[invoice_no],SMALL(IF(ISNUMBER(MATCH(orderHistory[customer],$D$9,0)*MATCH(orderHistory[order_type],$D$13,0)),MATCH(ROW(orderHistory[customer]),ROW(orderHistory[customer])),""),ROWS($A$15:A23)+$B$3)),INDEX(orderHistory[invoice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YEAR(orderHistory[invoice_date]),$D$15,0)),MATCH(ROW(orderHistory[customer]),ROW(orderHistory[customer])),""),ROWS($A$15:A23)+$B$3))),IF($D$15="",INDEX(orderHistory[invoice_no],SMALL(IF(ISNUMBER(MATCH(orderHistory[customer],$D$9,0)*MATCH(orderHistory[status],$D$11,0)*MATCH(orderHistory[order_type],$D$13,0)),MATCH(ROW(orderHistory[customer]),ROW(orderHistory[customer])),""),ROWS($A$15:A23)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Q18" s="457" t="str">
        <f t="array" ref="Q18">IFERROR(IF($D$9="",IF($D$11="",IF($D$13="",IF($D$15="",INDEX(orderHistory[invoice_date],SMALL(MATCH(ROW(orderHistory[customer]),ROW(orderHistory[customer])),ROWS($A$15:A23)+$B$3)),INDEX(orderHistory[invoice_date],SMALL(IF(ISNUMBER(MATCH(YEAR(orderHistory[invoice_date]),$D$15,0)),MATCH(ROW(orderHistory[customer]),ROW(orderHistory[customer])),""),ROWS($A$15:A23)+$B$3))),IF($D$15="",INDEX(orderHistory[invoice_date],SMALL(IF(ISNUMBER(MATCH(orderHistory[order_type],$D$13,0)),MATCH(ROW(orderHistory[customer]),ROW(orderHistory[customer])),""),ROWS($A$15:A23)+$B$3)),INDEX(orderHistory[invoice_date],SMALL(IF(ISNUMBER(MATCH(orderHistory[order_type],$D$13,0)*MATCH(YEAR(orderHistory[invoice_date]),$D$15,0)),MATCH(ROW(orderHistory[customer]),ROW(orderHistory[customer])),""),ROWS($A$15:A23)+$B$3)))),IF($D$13="",IF($D$15="",INDEX(orderHistory[invoice_date],SMALL(IF(ISNUMBER(MATCH(orderHistory[status],$D$11,0)),MATCH(ROW(orderHistory[customer]),ROW(orderHistory[customer])),""),ROWS($A$15:A23)+$B$3)),INDEX(orderHistory[invoice_date],SMALL(IF(ISNUMBER(MATCH(orderHistory[status],$D$11,0)*MATCH(YEAR(orderHistory[invoice_date]),$D$15,0)),MATCH(ROW(orderHistory[customer]),ROW(orderHistory[customer])),""),ROWS($A$15:A23)+$B$3))),IF($D$15="",INDEX(orderHistory[invoice_date],SMALL(IF(ISNUMBER(MATCH(orderHistory[status],$D$11,0)*MATCH(orderHistory[order_type],$D$13,0)),MATCH(ROW(orderHistory[customer]),ROW(orderHistory[customer])),""),ROWS($A$15:A23)+$B$3)),INDEX(orderHistory[invoice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date],SMALL(IF(ISNUMBER(MATCH(orderHistory[customer],$D$9,0)),MATCH(ROW(orderHistory[customer]),ROW(orderHistory[customer])),""),ROWS($A$15:A23)+$B$3)),INDEX(orderHistory[invoice_date],SMALL(IF(ISNUMBER(MATCH(orderHistory[customer],$D$9,0)*MATCH(YEAR(orderHistory[invoice_date]),$D$15,0)),MATCH(ROW(orderHistory[customer]),ROW(orderHistory[customer])),""),ROWS($A$15:A23)+$B$3))),IF($D$15="",INDEX(orderHistory[invoice_date],SMALL(IF(ISNUMBER(MATCH(orderHistory[customer],$D$9,0)*MATCH(orderHistory[order_type],$D$13,0)),MATCH(ROW(orderHistory[customer]),ROW(orderHistory[customer])),""),ROWS($A$15:A23)+$B$3)),INDEX(orderHistory[invoice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YEAR(orderHistory[invoice_date]),$D$15,0)),MATCH(ROW(orderHistory[customer]),ROW(orderHistory[customer])),""),ROWS($A$15:A23)+$B$3))),IF($D$15="",INDEX(orderHistory[invoice_date],SMALL(IF(ISNUMBER(MATCH(orderHistory[customer],$D$9,0)*MATCH(orderHistory[status],$D$11,0)*MATCH(orderHistory[order_type],$D$13,0)),MATCH(ROW(orderHistory[customer]),ROW(orderHistory[customer])),""),ROWS($A$15:A23)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R18" s="458" t="str">
        <f t="array" ref="R18">IFERROR(IF($D$9="",IF($D$11="",IF($D$13="",IF($D$15="",INDEX(orderHistory[inv_amount],SMALL(MATCH(ROW(orderHistory[customer]),ROW(orderHistory[customer])),ROWS($A$15:A23)+$B$3)),INDEX(orderHistory[inv_amount],SMALL(IF(ISNUMBER(MATCH(YEAR(orderHistory[invoice_date]),$D$15,0)),MATCH(ROW(orderHistory[customer]),ROW(orderHistory[customer])),""),ROWS($A$15:A23)+$B$3))),IF($D$15="",INDEX(orderHistory[inv_amount],SMALL(IF(ISNUMBER(MATCH(orderHistory[order_type],$D$13,0)),MATCH(ROW(orderHistory[customer]),ROW(orderHistory[customer])),""),ROWS($A$15:A23)+$B$3)),INDEX(orderHistory[inv_amount],SMALL(IF(ISNUMBER(MATCH(orderHistory[order_type],$D$13,0)*MATCH(YEAR(orderHistory[invoice_date]),$D$15,0)),MATCH(ROW(orderHistory[customer]),ROW(orderHistory[customer])),""),ROWS($A$15:A23)+$B$3)))),IF($D$13="",IF($D$15="",INDEX(orderHistory[inv_amount],SMALL(IF(ISNUMBER(MATCH(orderHistory[status],$D$11,0)),MATCH(ROW(orderHistory[customer]),ROW(orderHistory[customer])),""),ROWS($A$15:A23)+$B$3)),INDEX(orderHistory[inv_amount],SMALL(IF(ISNUMBER(MATCH(orderHistory[status],$D$11,0)*MATCH(YEAR(orderHistory[invoice_date]),$D$15,0)),MATCH(ROW(orderHistory[customer]),ROW(orderHistory[customer])),""),ROWS($A$15:A23)+$B$3))),IF($D$15="",INDEX(orderHistory[inv_amount],SMALL(IF(ISNUMBER(MATCH(orderHistory[status],$D$11,0)*MATCH(orderHistory[order_type],$D$13,0)),MATCH(ROW(orderHistory[customer]),ROW(orderHistory[customer])),""),ROWS($A$15:A23)+$B$3)),INDEX(orderHistory[inv_amount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_amount],SMALL(IF(ISNUMBER(MATCH(orderHistory[customer],$D$9,0)),MATCH(ROW(orderHistory[customer]),ROW(orderHistory[customer])),""),ROWS($A$15:A23)+$B$3)),INDEX(orderHistory[inv_amount],SMALL(IF(ISNUMBER(MATCH(orderHistory[customer],$D$9,0)*MATCH(YEAR(orderHistory[invoice_date]),$D$15,0)),MATCH(ROW(orderHistory[customer]),ROW(orderHistory[customer])),""),ROWS($A$15:A23)+$B$3))),IF($D$15="",INDEX(orderHistory[inv_amount],SMALL(IF(ISNUMBER(MATCH(orderHistory[customer],$D$9,0)*MATCH(orderHistory[order_type],$D$13,0)),MATCH(ROW(orderHistory[customer]),ROW(orderHistory[customer])),""),ROWS($A$15:A23)+$B$3)),INDEX(orderHistory[inv_amount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YEAR(orderHistory[inv_amount]),$D$15,0)),MATCH(ROW(orderHistory[customer]),ROW(orderHistory[customer])),""),ROWS($A$15:A23)+$B$3))),IF($D$15="",INDEX(orderHistory[inv_amount],SMALL(IF(ISNUMBER(MATCH(orderHistory[customer],$D$9,0)*MATCH(orderHistory[status],$D$11,0)*MATCH(orderHistory[order_type],$D$13,0)),MATCH(ROW(orderHistory[customer]),ROW(orderHistory[customer])),""),ROWS($A$15:A23)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S18" s="569" t="str">
        <f t="array" ref="S18">IFERROR(IF($D$9="",IF($D$11="",IF($D$13="",IF($D$15="",INDEX(orderHistory[lock_goods],SMALL(MATCH(ROW(orderHistory[customer]),ROW(orderHistory[customer])),ROWS($A$15:A23)+$B$3)),INDEX(orderHistory[lock_goods],SMALL(IF(ISNUMBER(MATCH(YEAR(orderHistory[invoice_date]),$D$15,0)),MATCH(ROW(orderHistory[customer]),ROW(orderHistory[customer])),""),ROWS($A$15:A23)+$B$3))),IF($D$15="",INDEX(orderHistory[lock_goods],SMALL(IF(ISNUMBER(MATCH(orderHistory[order_type],$D$13,0)),MATCH(ROW(orderHistory[customer]),ROW(orderHistory[customer])),""),ROWS($A$15:A23)+$B$3)),INDEX(orderHistory[lock_goods],SMALL(IF(ISNUMBER(MATCH(orderHistory[order_type],$D$13,0)*MATCH(YEAR(orderHistory[invoice_date]),$D$15,0)),MATCH(ROW(orderHistory[customer]),ROW(orderHistory[customer])),""),ROWS($A$15:A23)+$B$3)))),IF($D$13="",IF($D$15="",INDEX(orderHistory[lock_goods],SMALL(IF(ISNUMBER(MATCH(orderHistory[status],$D$11,0)),MATCH(ROW(orderHistory[customer]),ROW(orderHistory[customer])),""),ROWS($A$15:A23)+$B$3)),INDEX(orderHistory[lock_goods],SMALL(IF(ISNUMBER(MATCH(orderHistory[status],$D$11,0)*MATCH(YEAR(orderHistory[invoice_date]),$D$15,0)),MATCH(ROW(orderHistory[customer]),ROW(orderHistory[customer])),""),ROWS($A$15:A23)+$B$3))),IF($D$15="",INDEX(orderHistory[lock_goods],SMALL(IF(ISNUMBER(MATCH(orderHistory[status],$D$11,0)*MATCH(orderHistory[order_type],$D$13,0)),MATCH(ROW(orderHistory[customer]),ROW(orderHistory[customer])),""),ROWS($A$15:A23)+$B$3)),INDEX(orderHistory[lock_good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lock_goods],SMALL(IF(ISNUMBER(MATCH(orderHistory[customer],$D$9,0)),MATCH(ROW(orderHistory[customer]),ROW(orderHistory[customer])),""),ROWS($A$15:A23)+$B$3)),INDEX(orderHistory[lock_goods],SMALL(IF(ISNUMBER(MATCH(orderHistory[customer],$D$9,0)*MATCH(YEAR(orderHistory[invoice_date]),$D$15,0)),MATCH(ROW(orderHistory[customer]),ROW(orderHistory[customer])),""),ROWS($A$15:A23)+$B$3))),IF($D$15="",INDEX(orderHistory[lock_goods],SMALL(IF(ISNUMBER(MATCH(orderHistory[customer],$D$9,0)*MATCH(orderHistory[order_type],$D$13,0)),MATCH(ROW(orderHistory[customer]),ROW(orderHistory[customer])),""),ROWS($A$15:A23)+$B$3)),INDEX(orderHistory[lock_good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lock_goods],SMALL(IF(ISNUMBER(MATCH(orderHistory[customer],$D$9,0)*MATCH(orderHistory[status],$D$11,0)),MATCH(ROW(orderHistory[customer]),ROW(orderHistory[customer])),""),ROWS($A$15:A23)+$B$3)),INDEX(orderHistory[lock_goods],SMALL(IF(ISNUMBER(MATCH(orderHistory[customer],$D$9,0)*MATCH(orderHistory[status],$D$11,0)*MATCH(YEAR(orderHistory[payed]),$D$15,0)),MATCH(ROW(orderHistory[customer]),ROW(orderHistory[customer])),""),ROWS($A$15:A23)+$B$3))),IF($D$15="",INDEX(orderHistory[lock_goods],SMALL(IF(ISNUMBER(MATCH(orderHistory[customer],$D$9,0)*MATCH(orderHistory[status],$D$11,0)*MATCH(orderHistory[order_type],$D$13,0)),MATCH(ROW(orderHistory[customer]),ROW(orderHistory[customer])),""),ROWS($A$15:A23)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T18" s="459" t="str">
        <f t="array" ref="T18">IFERROR(IF($D$9="",IF($D$11="",IF($D$13="",IF($D$15="",INDEX(orderHistory[payed],SMALL(MATCH(ROW(orderHistory[customer]),ROW(orderHistory[customer])),ROWS($A$15:A23)+$B$3)),INDEX(orderHistory[payed],SMALL(IF(ISNUMBER(MATCH(YEAR(orderHistory[invoice_date]),$D$15,0)),MATCH(ROW(orderHistory[customer]),ROW(orderHistory[customer])),""),ROWS($A$15:A23)+$B$3))),IF($D$15="",INDEX(orderHistory[payed],SMALL(IF(ISNUMBER(MATCH(orderHistory[order_type],$D$13,0)),MATCH(ROW(orderHistory[customer]),ROW(orderHistory[customer])),""),ROWS($A$15:A23)+$B$3)),INDEX(orderHistory[payed],SMALL(IF(ISNUMBER(MATCH(orderHistory[order_type],$D$13,0)*MATCH(YEAR(orderHistory[invoice_date]),$D$15,0)),MATCH(ROW(orderHistory[customer]),ROW(orderHistory[customer])),""),ROWS($A$15:A23)+$B$3)))),IF($D$13="",IF($D$15="",INDEX(orderHistory[payed],SMALL(IF(ISNUMBER(MATCH(orderHistory[status],$D$11,0)),MATCH(ROW(orderHistory[customer]),ROW(orderHistory[customer])),""),ROWS($A$15:A23)+$B$3)),INDEX(orderHistory[payed],SMALL(IF(ISNUMBER(MATCH(orderHistory[status],$D$11,0)*MATCH(YEAR(orderHistory[invoice_date]),$D$15,0)),MATCH(ROW(orderHistory[customer]),ROW(orderHistory[customer])),""),ROWS($A$15:A23)+$B$3))),IF($D$15="",INDEX(orderHistory[payed],SMALL(IF(ISNUMBER(MATCH(orderHistory[status],$D$11,0)*MATCH(orderHistory[order_type],$D$13,0)),MATCH(ROW(orderHistory[customer]),ROW(orderHistory[customer])),""),ROWS($A$15:A23)+$B$3)),INDEX(orderHistory[paye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payed],SMALL(IF(ISNUMBER(MATCH(orderHistory[customer],$D$9,0)),MATCH(ROW(orderHistory[customer]),ROW(orderHistory[customer])),""),ROWS($A$15:A23)+$B$3)),INDEX(orderHistory[payed],SMALL(IF(ISNUMBER(MATCH(orderHistory[customer],$D$9,0)*MATCH(YEAR(orderHistory[invoice_date]),$D$15,0)),MATCH(ROW(orderHistory[customer]),ROW(orderHistory[customer])),""),ROWS($A$15:A23)+$B$3))),IF($D$15="",INDEX(orderHistory[payed],SMALL(IF(ISNUMBER(MATCH(orderHistory[customer],$D$9,0)*MATCH(orderHistory[order_type],$D$13,0)),MATCH(ROW(orderHistory[customer]),ROW(orderHistory[customer])),""),ROWS($A$15:A23)+$B$3)),INDEX(orderHistory[paye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YEAR(orderHistory[payed]),$D$15,0)),MATCH(ROW(orderHistory[customer]),ROW(orderHistory[customer])),""),ROWS($A$15:A23)+$B$3))),IF($D$15="",INDEX(orderHistory[payed],SMALL(IF(ISNUMBER(MATCH(orderHistory[customer],$D$9,0)*MATCH(orderHistory[status],$D$11,0)*MATCH(orderHistory[order_type],$D$13,0)),MATCH(ROW(orderHistory[customer]),ROW(orderHistory[customer])),""),ROWS($A$15:A23)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U18" s="454" t="str">
        <f t="array" ref="U18">IFERROR(IF($D$9="",IF($D$11="",IF($D$13="",IF($D$15="",INDEX(orderHistory[shipping_method],SMALL(MATCH(ROW(orderHistory[customer]),ROW(orderHistory[customer])),ROWS($A$15:A23)+$B$3)),INDEX(orderHistory[shipping_method],SMALL(IF(ISNUMBER(MATCH(YEAR(orderHistory[invoice_date]),$D$15,0)),MATCH(ROW(orderHistory[customer]),ROW(orderHistory[customer])),""),ROWS($A$15:A23)+$B$3))),IF($D$15="",INDEX(orderHistory[shipping_method],SMALL(IF(ISNUMBER(MATCH(orderHistory[order_type],$D$13,0)),MATCH(ROW(orderHistory[customer]),ROW(orderHistory[customer])),""),ROWS($A$15:A23)+$B$3)),INDEX(orderHistory[shipping_method],SMALL(IF(ISNUMBER(MATCH(orderHistory[order_type],$D$13,0)*MATCH(YEAR(orderHistory[invoice_date]),$D$15,0)),MATCH(ROW(orderHistory[customer]),ROW(orderHistory[customer])),""),ROWS($A$15:A23)+$B$3)))),IF($D$13="",IF($D$15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YEAR(orderHistory[invoice_date]),$D$15,0)),MATCH(ROW(orderHistory[customer]),ROW(orderHistory[customer])),""),ROWS($A$15:A23)+$B$3))),IF($D$15="",INDEX(orderHistory[shipping_method],SMALL(IF(ISNUMBER(MATCH(orderHistory[status],$D$11,0)*MATCH(orderHistory[order_type],$D$13,0)),MATCH(ROW(orderHistory[customer]),ROW(orderHistory[customer])),""),ROWS($A$15:A23)+$B$3)),INDEX(orderHistory[shipping_metho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YEAR(orderHistory[invoice_date]),$D$15,0)),MATCH(ROW(orderHistory[customer]),ROW(orderHistory[customer])),""),ROWS($A$15:A23)+$B$3))),IF($D$15="",INDEX(orderHistory[shipping_method],SMALL(IF(ISNUMBER(MATCH(orderHistory[customer],$D$9,0)*MATCH(orderHistory[order_type],$D$13,0)),MATCH(ROW(orderHistory[customer]),ROW(orderHistory[customer])),""),ROWS($A$15:A23)+$B$3)),INDEX(orderHistory[shipping_metho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YEAR(orderHistory[shipping_method]),$D$15,0)),MATCH(ROW(orderHistory[customer]),ROW(orderHistory[customer])),""),ROWS($A$15:A23)+$B$3))),IF($D$15="",INDEX(orderHistory[shipping_method],SMALL(IF(ISNUMBER(MATCH(orderHistory[customer],$D$9,0)*MATCH(orderHistory[status],$D$11,0)*MATCH(orderHistory[order_type],$D$13,0)),MATCH(ROW(orderHistory[customer]),ROW(orderHistory[customer])),""),ROWS($A$15:A23)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V18" s="460" t="str">
        <f t="array" ref="V18">IFERROR(IF($D$9="",IF($D$11="",IF($D$13="",IF($D$15="",INDEX(orderHistory[status],SMALL(MATCH(ROW(orderHistory[customer]),ROW(orderHistory[customer])),ROWS($A$15:A23)+$B$3)),INDEX(orderHistory[status],SMALL(IF(ISNUMBER(MATCH(YEAR(orderHistory[invoice_date]),$D$15,0)),MATCH(ROW(orderHistory[customer]),ROW(orderHistory[customer])),""),ROWS($A$15:A23)+$B$3))),IF($D$15="",INDEX(orderHistory[status],SMALL(IF(ISNUMBER(MATCH(orderHistory[order_type],$D$13,0)),MATCH(ROW(orderHistory[customer]),ROW(orderHistory[customer])),""),ROWS($A$15:A23)+$B$3)),INDEX(orderHistory[status],SMALL(IF(ISNUMBER(MATCH(orderHistory[order_type],$D$13,0)*MATCH(YEAR(orderHistory[invoice_date]),$D$15,0)),MATCH(ROW(orderHistory[customer]),ROW(orderHistory[customer])),""),ROWS($A$15:A23)+$B$3)))),IF($D$13="",IF($D$15="",INDEX(orderHistory[status],SMALL(IF(ISNUMBER(MATCH(orderHistory[status],$D$11,0)),MATCH(ROW(orderHistory[customer]),ROW(orderHistory[customer])),""),ROWS($A$15:A23)+$B$3)),INDEX(orderHistory[status],SMALL(IF(ISNUMBER(MATCH(orderHistory[status],$D$11,0)*MATCH(YEAR(orderHistory[invoice_date]),$D$15,0)),MATCH(ROW(orderHistory[customer]),ROW(orderHistory[customer])),""),ROWS($A$15:A23)+$B$3))),IF($D$15="",INDEX(orderHistory[status],SMALL(IF(ISNUMBER(MATCH(orderHistory[status],$D$11,0)*MATCH(orderHistory[order_type],$D$13,0)),MATCH(ROW(orderHistory[customer]),ROW(orderHistory[customer])),""),ROWS($A$15:A23)+$B$3)),INDEX(orderHistory[statu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tatus],SMALL(IF(ISNUMBER(MATCH(orderHistory[customer],$D$9,0)),MATCH(ROW(orderHistory[customer]),ROW(orderHistory[customer])),""),ROWS($A$15:A23)+$B$3)),INDEX(orderHistory[status],SMALL(IF(ISNUMBER(MATCH(orderHistory[customer],$D$9,0)*MATCH(YEAR(orderHistory[invoice_date]),$D$15,0)),MATCH(ROW(orderHistory[customer]),ROW(orderHistory[customer])),""),ROWS($A$15:A23)+$B$3))),IF($D$15="",INDEX(orderHistory[status],SMALL(IF(ISNUMBER(MATCH(orderHistory[customer],$D$9,0)*MATCH(orderHistory[order_type],$D$13,0)),MATCH(ROW(orderHistory[customer]),ROW(orderHistory[customer])),""),ROWS($A$15:A23)+$B$3)),INDEX(orderHistory[statu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YEAR(orderHistory[status]),$D$15,0)),MATCH(ROW(orderHistory[customer]),ROW(orderHistory[customer])),""),ROWS($A$15:A23)+$B$3))),IF($D$15="",INDEX(orderHistory[status],SMALL(IF(ISNUMBER(MATCH(orderHistory[customer],$D$9,0)*MATCH(orderHistory[status],$D$11,0)*MATCH(orderHistory[order_type],$D$13,0)),MATCH(ROW(orderHistory[customer]),ROW(orderHistory[customer])),""),ROWS($A$15:A23)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W18" s="75"/>
      <c r="AO18" s="341"/>
      <c r="AQ18" s="378"/>
      <c r="AR18" s="401"/>
      <c r="AS18" s="402"/>
      <c r="AT18" s="403"/>
      <c r="AU18" s="339"/>
      <c r="AW18" s="378"/>
      <c r="AX18" s="404"/>
      <c r="AZ18" s="348"/>
      <c r="BB18" s="348"/>
      <c r="BD18" s="341"/>
      <c r="BI18" s="337"/>
      <c r="BJ18" s="339"/>
      <c r="BK18" s="366"/>
      <c r="BL18" s="367"/>
      <c r="BM18" s="368"/>
      <c r="BN18" s="367"/>
      <c r="BO18" s="368"/>
      <c r="BX18" s="816"/>
      <c r="BZ18" s="495"/>
      <c r="CA18" s="477" t="str">
        <f>IF(BZ18="","",INDEX(bhpc_data[description],MATCH(BZ18,bhpc_data[sku],0)))</f>
        <v/>
      </c>
      <c r="CB18" s="480"/>
      <c r="CC18" s="479"/>
      <c r="CD18" s="491"/>
      <c r="CE18" s="481"/>
      <c r="CF18" s="482"/>
      <c r="CG18" s="483" t="str">
        <f>IFERROR(ROUNDUP(CB18/INDEX(bhpc_data[units_per_carton],MATCH(BZ18,bhpc_data[sku],0)),0),"")</f>
        <v/>
      </c>
      <c r="CH18" s="484" t="str">
        <f>IFERROR(ROUNDUP(CD18/INDEX(bhpc_data[units_per_carton],MATCH(BZ18,bhpc_data[sku],0)),0),"")</f>
        <v/>
      </c>
      <c r="CI18" s="484" t="str">
        <f>IFERROR(ROUNDUP(CF18/INDEX(bhpc_data[units_per_carton],MATCH(BZ18,bhpc_data[sku])),0),"")</f>
        <v/>
      </c>
      <c r="CJ18" s="484" t="str">
        <f>IFERROR(((CB18+CD18+CF18)/INDEX(bhpc_data[units_per_carton],MATCH(BZ18,bhpc_data[sku],0)))*INDEX(bhpc_data[net_weight],MATCH(BZ18,bhpc_data[sku],0)),"")</f>
        <v/>
      </c>
      <c r="CK18" s="484" t="str">
        <f>IFERROR(((CB18+CD18+CF18)/INDEX(bhpc_data[units_per_carton],MATCH(BZ18,bhpc_data[sku],0)))*INDEX(bhpc_data[gross_weight],MATCH(BZ18,bhpc_data[sku],0)),"")</f>
        <v/>
      </c>
      <c r="CL18" s="485" t="str">
        <f>IFERROR((CB18+CD18+CF18)/INDEX(bhpc_data[units_per_carton],MATCH(BZ18,bhpc_data[sku],0))*INDEX(bhpc_data[lenght],MATCH(BZ18,bhpc_data[sku],0))*INDEX(bhpc_data[width],MATCH(BZ18,bhpc_data[sku],0))*INDEX(bhpc_data[height],MATCH(BZ18,bhpc_data[sku],0))/1000000000,"")</f>
        <v/>
      </c>
      <c r="CM18" s="486" t="str">
        <f>IFERROR(INDEX(bhpc_data[category],MATCH(BZ18,bhpc_data[sku],0)),"")</f>
        <v/>
      </c>
      <c r="CN18" s="486" t="str">
        <f>IFERROR(INDEX(bhpc_data[size1],MATCH(BZ18,bhpc_data[sku],0)),"")</f>
        <v/>
      </c>
      <c r="CO18" s="487" t="str">
        <f>IFERROR(INDEX(bhpc_data[hs_code],MATCH(BZ18,bhpc_data[sku],0)),"")</f>
        <v/>
      </c>
      <c r="CP18" s="482"/>
      <c r="CQ18" s="488" t="str">
        <f>IFERROR(IF(BZ18="","",IF($BX$15="SALE",INDEX(inventory[COSTO UNITARIO],MATCH(BZ18,inventory[ARTICOLO],0)),IF($BX$15="SAMPLING",INDEX(inventory[COSTO UNITARIO],MATCH(BZ18,inventory[ARTICOLO],0)),""))),"")</f>
        <v/>
      </c>
      <c r="CR18" s="488" t="str">
        <f t="shared" si="0"/>
        <v/>
      </c>
      <c r="CS18" s="489" t="str">
        <f t="shared" si="1"/>
        <v/>
      </c>
      <c r="CT18" s="573" t="str">
        <f t="shared" si="2"/>
        <v/>
      </c>
      <c r="CV18" s="85"/>
      <c r="CW18" s="301" t="s">
        <v>598</v>
      </c>
      <c r="CX18" s="233">
        <f>SUMPRODUCT(CF10:CF110,CQ10:CQ110)</f>
        <v>0</v>
      </c>
      <c r="CY18" s="118"/>
      <c r="CZ18" s="81"/>
      <c r="DA18" s="82"/>
      <c r="DH18" s="245"/>
      <c r="EE18" s="547" t="str" cm="1">
        <f t="array" ref="EE18">IFERROR(IF($EC$9="",IF($EC$11="",IF($EC$13="",INDEX(bhpc_data[sku],SMALL(MATCH(ROW(bhpc_data[sku]),ROW(bhpc_data[sku])),ROWS($A$15:A23)+$B$3)),INDEX(bhpc_data[sku],SMALL(IF(ISNUMBER(MATCH(bhpc_data[size1],$EC$13,0)),MATCH(ROW(bhpc_data[sku]),ROW(bhpc_data[sku])),""),ROWS($A$15:A23)+$B$3))),IF($EC$13="",INDEX(bhpc_data[sku],SMALL(IF(ISNUMBER(MATCH(bhpc_data[sex],$EC$11,0)),MATCH(ROW(bhpc_data[sku]),ROW(bhpc_data[sku])),""),ROWS($A$15:A23)+$B$3)),INDEX(bhpc_data[sku],SMALL(IF(ISNUMBER(MATCH(bhpc_data[sex],$EC$11,0)*MATCH(bhpc_data[size1],$EC$13,0)),MATCH(ROW(bhpc_data[sku]),ROW(bhpc_data[sku])),""),ROWS($A$15:A23)+$B$3)))),IF($EC$11="",IF($EC$13="",INDEX(bhpc_data[sku],SMALL(IF(ISNUMBER(MATCH(bhpc_data[category],$EC$9,0)),MATCH(ROW(bhpc_data[sku]),ROW(bhpc_data[sku])),""),ROWS($A$15:A23)+$B$3)),INDEX(bhpc_data[sku],SMALL(IF(ISNUMBER(MATCH(bhpc_data[category],$EC$9,0)*MATCH(bhpc_data[size1],$EC$13,0)),MATCH(ROW(bhpc_data[sku]),ROW(bhpc_data[sku])),""),ROWS($A$15:A23)+$B$3))),IF($EC$13="",INDEX(bhpc_data[sku],SMALL(IF(ISNUMBER(MATCH(bhpc_data[category],$EC$9,0)*MATCH(bhpc_data[sex],$EC$11,0)),MATCH(ROW(bhpc_data[sku]),ROW(bhpc_data[sku])),""),ROWS($A$15:A23)+$B$3)),INDEX(bhpc_data[sku],SMALL(IF(ISNUMBER(MATCH(bhpc_data[category],$EC$9,0)*MATCH(bhpc_data[sex],$EC$11,0)*MATCH(bhpc_data[size1],$EC$13,0)),MATCH(ROW(bhpc_data[sku]),ROW(bhpc_data[sku])),""),ROWS($A$15:A23)+$B$3))))),"")</f>
        <v>GS5028</v>
      </c>
      <c r="EF18" s="548" t="str" cm="1">
        <f t="array" ref="EF18">IFERROR(IF($EC$9="",IF($EC$11="",IF($EC$13="",INDEX(bhpc_data[description],SMALL(MATCH(ROW(bhpc_data[sku]),ROW(bhpc_data[sku])),ROWS($A$15:A23)+$B$3)),INDEX(bhpc_data[description],SMALL(IF(ISNUMBER(MATCH(bhpc_data[size1],$EC$13,0)),MATCH(ROW(bhpc_data[sku]),ROW(bhpc_data[sku])),""),ROWS($A$15:A23)+$B$3))),IF($EC$13="",INDEX(bhpc_data[description],SMALL(IF(ISNUMBER(MATCH(bhpc_data[sex],$EC$11,0)),MATCH(ROW(bhpc_data[sku]),ROW(bhpc_data[sku])),""),ROWS($A$15:A23)+$B$3)),INDEX(bhpc_data[description],SMALL(IF(ISNUMBER(MATCH(bhpc_data[sex],$EC$11,0)*MATCH(bhpc_data[size1],$EC$13,0)),MATCH(ROW(bhpc_data[sku]),ROW(bhpc_data[sku])),""),ROWS($A$15:A23)+$B$3)))),IF($EC$11="",IF($EC$13="",INDEX(bhpc_data[description],SMALL(IF(ISNUMBER(MATCH(bhpc_data[category],$EC$9,0)),MATCH(ROW(bhpc_data[sku]),ROW(bhpc_data[sku])),""),ROWS($A$15:A23)+$B$3)),INDEX(bhpc_data[description],SMALL(IF(ISNUMBER(MATCH(bhpc_data[category],$EC$9,0)*MATCH(bhpc_data[size1],$EC$13,0)),MATCH(ROW(bhpc_data[sku]),ROW(bhpc_data[sku])),""),ROWS($A$15:A23)+$B$3))),IF($EC$13="",INDEX(bhpc_data[description],SMALL(IF(ISNUMBER(MATCH(bhpc_data[category],$EC$9,0)*MATCH(bhpc_data[sex],$EC$11,0)),MATCH(ROW(bhpc_data[sku]),ROW(bhpc_data[sku])),""),ROWS($A$15:A23)+$B$3)),INDEX(bhpc_data[description],SMALL(IF(ISNUMBER(MATCH(bhpc_data[category],$EC$9,0)*MATCH(bhpc_data[sex],$EC$11,0)*MATCH(bhpc_data[size1],$EC$13,0)),MATCH(ROW(bhpc_data[sku]),ROW(bhpc_data[sku])),""),ROWS($A$15:A23)+$B$3))))),"")</f>
        <v>BHPC GIFT SET WOMEN 1 EDP 50ML + DEO 150ML</v>
      </c>
      <c r="EG18" s="549">
        <f>IFERROR(IF('BHPC MANAGER'!$EE18="","",INDEX(inventory[ESISTENZA],MATCH('BHPC MANAGER'!$EE18,inventory[ARTICOLO],0))),0)</f>
        <v>496</v>
      </c>
      <c r="EH18" s="550">
        <v>-1773</v>
      </c>
      <c r="EI18" s="550">
        <f t="shared" si="3"/>
        <v>-1277</v>
      </c>
      <c r="EJ18" s="551">
        <v>-72</v>
      </c>
      <c r="EK18" s="552">
        <f t="shared" si="4"/>
        <v>-1349</v>
      </c>
      <c r="FF18" s="331"/>
      <c r="FG18" s="331"/>
      <c r="FH18" s="331"/>
      <c r="FI18" s="331"/>
      <c r="FJ18" s="331"/>
      <c r="FK18" s="331"/>
      <c r="FL18" s="331"/>
      <c r="FM18" s="331"/>
      <c r="FN18" s="331"/>
      <c r="FO18" s="331"/>
      <c r="FP18" s="331"/>
      <c r="FQ18" s="331"/>
      <c r="FR18" s="331"/>
      <c r="FS18" s="331"/>
      <c r="FT18" s="331"/>
      <c r="FU18" s="331"/>
      <c r="FV18" s="331"/>
      <c r="FW18" s="331"/>
      <c r="FX18" s="331"/>
      <c r="FY18" s="331"/>
      <c r="FZ18" s="331"/>
      <c r="GA18" s="331"/>
      <c r="GB18" s="331"/>
      <c r="GC18" s="331"/>
      <c r="GD18" s="331"/>
      <c r="GE18" s="331"/>
      <c r="GF18" s="331"/>
      <c r="GG18" s="331"/>
      <c r="GH18" s="331"/>
      <c r="GI18" s="331"/>
      <c r="GJ18" s="331"/>
      <c r="GK18" s="331"/>
      <c r="GL18" s="331"/>
      <c r="GM18" s="331"/>
      <c r="GN18" s="331"/>
      <c r="GO18" s="331"/>
      <c r="GP18" s="331"/>
      <c r="GQ18" s="331"/>
      <c r="GR18" s="331"/>
      <c r="GS18" s="331"/>
      <c r="GT18" s="331"/>
      <c r="GU18" s="331"/>
      <c r="GV18" s="331"/>
      <c r="GW18" s="331"/>
      <c r="GX18" s="331"/>
      <c r="GY18" s="331"/>
      <c r="GZ18" s="331"/>
      <c r="HA18" s="331"/>
      <c r="HB18" s="331"/>
      <c r="HC18" s="331"/>
      <c r="HD18" s="331"/>
      <c r="HE18" s="331"/>
      <c r="HF18" s="331"/>
      <c r="HG18" s="331"/>
      <c r="HH18" s="331"/>
      <c r="HI18" s="331"/>
      <c r="HJ18" s="331"/>
      <c r="HK18" s="331"/>
      <c r="HL18" s="331"/>
      <c r="HM18" s="331"/>
      <c r="HN18" s="331"/>
      <c r="HO18" s="331"/>
      <c r="HP18" s="331"/>
      <c r="HQ18" s="331"/>
      <c r="HR18" s="331"/>
      <c r="HS18" s="331"/>
      <c r="HT18" s="331"/>
    </row>
    <row r="19" spans="1:228" ht="15" customHeight="1" thickBot="1" x14ac:dyDescent="0.4">
      <c r="D19" s="343" t="str">
        <f>IFERROR(IF(VLOOKUP($B$4,orderHistory[],18,FALSE)="PREPARING",VLOOKUP($B$4,orderHistory[],42,FALSE),""),"")</f>
        <v/>
      </c>
      <c r="F19" s="95"/>
      <c r="G19" s="99" t="s">
        <v>599</v>
      </c>
      <c r="H19" s="81"/>
      <c r="I19" s="81"/>
      <c r="J19" s="82"/>
      <c r="L19" s="452" t="str">
        <f t="array" ref="L19">IFERROR(IF($D$9="",IF($D$11="",IF($D$13="",IF($D$15="",INDEX(orderHistory[customer],SMALL(MATCH(ROW(orderHistory[customer]),ROW(orderHistory[customer])),ROWS($A$15:A24)+$B$3)),INDEX(orderHistory[customer],SMALL(IF(ISNUMBER(MATCH(YEAR(orderHistory[invoice_date]),$D$15,0)),MATCH(ROW(orderHistory[customer]),ROW(orderHistory[customer])),""),ROWS($A$15:A24)+$B$3))),IF($D$15="",INDEX(orderHistory[customer],SMALL(IF(ISNUMBER(MATCH(orderHistory[order_type],$D$13,0)),MATCH(ROW(orderHistory[customer]),ROW(orderHistory[customer])),""),ROWS($A$15:A24)+$B$3)),INDEX(orderHistory[customer],SMALL(IF(ISNUMBER(MATCH(orderHistory[order_type],$D$13,0)*MATCH(YEAR(orderHistory[invoice_date]),$D$15,0)),MATCH(ROW(orderHistory[customer]),ROW(orderHistory[customer])),""),ROWS($A$15:A24)+$B$3)))),IF($D$13="",IF($D$15="",INDEX(orderHistory[customer],SMALL(IF(ISNUMBER(MATCH(orderHistory[status],$D$11,0)),MATCH(ROW(orderHistory[customer]),ROW(orderHistory[customer])),""),ROWS($A$15:A24)+$B$3)),INDEX(orderHistory[customer],SMALL(IF(ISNUMBER(MATCH(orderHistory[status],$D$11,0)*MATCH(YEAR(orderHistory[invoice_date]),$D$15,0)),MATCH(ROW(orderHistory[customer]),ROW(orderHistory[customer])),""),ROWS($A$15:A24)+$B$3))),IF($D$15="",INDEX(orderHistory[customer],SMALL(IF(ISNUMBER(MATCH(orderHistory[status],$D$11,0)*MATCH(orderHistory[order_type],$D$13,0)),MATCH(ROW(orderHistory[customer]),ROW(orderHistory[customer])),""),ROWS($A$15:A24)+$B$3)),INDEX(orderHistory[customer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customer],SMALL(IF(ISNUMBER(MATCH(orderHistory[customer],$D$9,0)),MATCH(ROW(orderHistory[customer]),ROW(orderHistory[customer])),""),ROWS($A$15:A24)+$B$3)),INDEX(orderHistory[customer],SMALL(IF(ISNUMBER(MATCH(orderHistory[customer],$D$9,0)*MATCH(YEAR(orderHistory[invoice_date]),$D$15,0)),MATCH(ROW(orderHistory[customer]),ROW(orderHistory[customer])),""),ROWS($A$15:A24)+$B$3))),IF($D$15="",INDEX(orderHistory[customer],SMALL(IF(ISNUMBER(MATCH(orderHistory[customer],$D$9,0)*MATCH(orderHistory[order_type],$D$13,0)),MATCH(ROW(orderHistory[customer]),ROW(orderHistory[customer])),""),ROWS($A$15:A24)+$B$3)),INDEX(orderHistory[customer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YEAR(orderHistory[invoice_date]),$D$15,0)),MATCH(ROW(orderHistory[customer]),ROW(orderHistory[customer])),""),ROWS($A$15:A24)+$B$3))),IF($D$15="",INDEX(orderHistory[customer],SMALL(IF(ISNUMBER(MATCH(orderHistory[customer],$D$9,0)*MATCH(orderHistory[status],$D$11,0)*MATCH(orderHistory[order_type],$D$13,0)),MATCH(ROW(orderHistory[customer]),ROW(orderHistory[customer])),""),ROWS($A$15:A24)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M19" s="453" t="str">
        <f t="array" ref="M19">IFERROR(IF($D$9="",IF($D$11="",IF($D$13="",IF($D$15="",INDEX(orderHistory[order_no],SMALL(MATCH(ROW(orderHistory[customer]),ROW(orderHistory[customer])),ROWS($A$15:A24)+$B$3)),INDEX(orderHistory[order_no],SMALL(IF(ISNUMBER(MATCH(YEAR(orderHistory[invoice_date]),$D$15,0)),MATCH(ROW(orderHistory[customer]),ROW(orderHistory[customer])),""),ROWS($A$15:A24)+$B$3))),IF($D$15="",INDEX(orderHistory[order_no],SMALL(IF(ISNUMBER(MATCH(orderHistory[order_type],$D$13,0)),MATCH(ROW(orderHistory[customer]),ROW(orderHistory[customer])),""),ROWS($A$15:A24)+$B$3)),INDEX(orderHistory[order_no],SMALL(IF(ISNUMBER(MATCH(orderHistory[order_type],$D$13,0)*MATCH(YEAR(orderHistory[invoice_date]),$D$15,0)),MATCH(ROW(orderHistory[customer]),ROW(orderHistory[customer])),""),ROWS($A$15:A24)+$B$3)))),IF($D$13="",IF($D$15="",INDEX(orderHistory[order_no],SMALL(IF(ISNUMBER(MATCH(orderHistory[status],$D$11,0)),MATCH(ROW(orderHistory[customer]),ROW(orderHistory[customer])),""),ROWS($A$15:A24)+$B$3)),INDEX(orderHistory[order_no],SMALL(IF(ISNUMBER(MATCH(orderHistory[status],$D$11,0)*MATCH(YEAR(orderHistory[invoice_date]),$D$15,0)),MATCH(ROW(orderHistory[customer]),ROW(orderHistory[customer])),""),ROWS($A$15:A24)+$B$3))),IF($D$15="",INDEX(orderHistory[order_no],SMALL(IF(ISNUMBER(MATCH(orderHistory[status],$D$11,0)*MATCH(orderHistory[order_type],$D$13,0)),MATCH(ROW(orderHistory[customer]),ROW(orderHistory[customer])),""),ROWS($A$15:A24)+$B$3)),INDEX(orderHistory[order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no],SMALL(IF(ISNUMBER(MATCH(orderHistory[customer],$D$9,0)),MATCH(ROW(orderHistory[customer]),ROW(orderHistory[customer])),""),ROWS($A$15:A24)+$B$3)),INDEX(orderHistory[order_no],SMALL(IF(ISNUMBER(MATCH(orderHistory[customer],$D$9,0)*MATCH(YEAR(orderHistory[invoice_date]),$D$15,0)),MATCH(ROW(orderHistory[customer]),ROW(orderHistory[customer])),""),ROWS($A$15:A24)+$B$3))),IF($D$15="",INDEX(orderHistory[order_no],SMALL(IF(ISNUMBER(MATCH(orderHistory[customer],$D$9,0)*MATCH(orderHistory[order_type],$D$13,0)),MATCH(ROW(orderHistory[customer]),ROW(orderHistory[customer])),""),ROWS($A$15:A24)+$B$3)),INDEX(orderHistory[order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YEAR(orderHistory[invoice_date]),$D$15,0)),MATCH(ROW(orderHistory[customer]),ROW(orderHistory[customer])),""),ROWS($A$15:A24)+$B$3))),IF($D$15="",INDEX(orderHistory[order_no],SMALL(IF(ISNUMBER(MATCH(orderHistory[customer],$D$9,0)*MATCH(orderHistory[status],$D$11,0)*MATCH(orderHistory[order_type],$D$13,0)),MATCH(ROW(orderHistory[customer]),ROW(orderHistory[customer])),""),ROWS($A$15:A24)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N19" s="454" t="str">
        <f t="array" ref="N19">IFERROR(IF($D$9="",IF($D$11="",IF($D$13="",IF($D$15="",INDEX(orderHistory[order_type],SMALL(MATCH(ROW(orderHistory[customer]),ROW(orderHistory[customer])),ROWS($A$15:A24)+$B$3)),INDEX(orderHistory[order_type],SMALL(IF(ISNUMBER(MATCH(YEAR(orderHistory[invoice_date]),$D$15,0)),MATCH(ROW(orderHistory[customer]),ROW(orderHistory[customer])),""),ROWS($A$15:A24)+$B$3))),IF($D$15="",INDEX(orderHistory[order_type],SMALL(IF(ISNUMBER(MATCH(orderHistory[order_type],$D$13,0)),MATCH(ROW(orderHistory[customer]),ROW(orderHistory[customer])),""),ROWS($A$15:A24)+$B$3)),INDEX(orderHistory[order_type],SMALL(IF(ISNUMBER(MATCH(orderHistory[order_type],$D$13,0)*MATCH(YEAR(orderHistory[invoice_date]),$D$15,0)),MATCH(ROW(orderHistory[customer]),ROW(orderHistory[customer])),""),ROWS($A$15:A24)+$B$3)))),IF($D$13="",IF($D$15="",INDEX(orderHistory[order_type],SMALL(IF(ISNUMBER(MATCH(orderHistory[status],$D$11,0)),MATCH(ROW(orderHistory[customer]),ROW(orderHistory[customer])),""),ROWS($A$15:A24)+$B$3)),INDEX(orderHistory[order_type],SMALL(IF(ISNUMBER(MATCH(orderHistory[status],$D$11,0)*MATCH(YEAR(orderHistory[invoice_date]),$D$15,0)),MATCH(ROW(orderHistory[customer]),ROW(orderHistory[customer])),""),ROWS($A$15:A24)+$B$3))),IF($D$15="",INDEX(orderHistory[order_type],SMALL(IF(ISNUMBER(MATCH(orderHistory[status],$D$11,0)*MATCH(orderHistory[order_type],$D$13,0)),MATCH(ROW(orderHistory[customer]),ROW(orderHistory[customer])),""),ROWS($A$15:A24)+$B$3)),INDEX(orderHistory[order_typ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type],SMALL(IF(ISNUMBER(MATCH(orderHistory[customer],$D$9,0)),MATCH(ROW(orderHistory[customer]),ROW(orderHistory[customer])),""),ROWS($A$15:A24)+$B$3)),INDEX(orderHistory[order_type],SMALL(IF(ISNUMBER(MATCH(orderHistory[customer],$D$9,0)*MATCH(YEAR(orderHistory[invoice_date]),$D$15,0)),MATCH(ROW(orderHistory[customer]),ROW(orderHistory[customer])),""),ROWS($A$15:A24)+$B$3))),IF($D$15="",INDEX(orderHistory[order_type],SMALL(IF(ISNUMBER(MATCH(orderHistory[customer],$D$9,0)*MATCH(orderHistory[order_type],$D$13,0)),MATCH(ROW(orderHistory[customer]),ROW(orderHistory[customer])),""),ROWS($A$15:A24)+$B$3)),INDEX(orderHistory[order_typ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YEAR(orderHistory[invoice_date]),$D$15,0)),MATCH(ROW(orderHistory[customer]),ROW(orderHistory[customer])),""),ROWS($A$15:A24)+$B$3))),IF($D$15="",INDEX(orderHistory[order_type],SMALL(IF(ISNUMBER(MATCH(orderHistory[customer],$D$9,0)*MATCH(orderHistory[status],$D$11,0)*MATCH(orderHistory[order_type],$D$13,0)),MATCH(ROW(orderHistory[customer]),ROW(orderHistory[customer])),""),ROWS($A$15:A24)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O19" s="455" t="str">
        <f t="array" ref="O19">IFERROR(IF($D$9="",IF($D$11="",IF($D$13="",IF($D$15="",INDEX(orderHistory[order_date],SMALL(MATCH(ROW(orderHistory[customer]),ROW(orderHistory[customer])),ROWS($A$15:A24)+$B$3)),INDEX(orderHistory[order_date],SMALL(IF(ISNUMBER(MATCH(YEAR(orderHistory[invoice_date]),$D$15,0)),MATCH(ROW(orderHistory[customer]),ROW(orderHistory[customer])),""),ROWS($A$15:A24)+$B$3))),IF($D$15="",INDEX(orderHistory[order_date],SMALL(IF(ISNUMBER(MATCH(orderHistory[order_type],$D$13,0)),MATCH(ROW(orderHistory[customer]),ROW(orderHistory[customer])),""),ROWS($A$15:A24)+$B$3)),INDEX(orderHistory[order_date],SMALL(IF(ISNUMBER(MATCH(orderHistory[order_type],$D$13,0)*MATCH(YEAR(orderHistory[invoice_date]),$D$15,0)),MATCH(ROW(orderHistory[customer]),ROW(orderHistory[customer])),""),ROWS($A$15:A24)+$B$3)))),IF($D$13="",IF($D$15="",INDEX(orderHistory[order_date],SMALL(IF(ISNUMBER(MATCH(orderHistory[status],$D$11,0)),MATCH(ROW(orderHistory[customer]),ROW(orderHistory[customer])),""),ROWS($A$15:A24)+$B$3)),INDEX(orderHistory[order_date],SMALL(IF(ISNUMBER(MATCH(orderHistory[status],$D$11,0)*MATCH(YEAR(orderHistory[invoice_date]),$D$15,0)),MATCH(ROW(orderHistory[customer]),ROW(orderHistory[customer])),""),ROWS($A$15:A24)+$B$3))),IF($D$15="",INDEX(orderHistory[order_date],SMALL(IF(ISNUMBER(MATCH(orderHistory[status],$D$11,0)*MATCH(orderHistory[order_type],$D$13,0)),MATCH(ROW(orderHistory[customer]),ROW(orderHistory[customer])),""),ROWS($A$15:A24)+$B$3)),INDEX(orderHistory[order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date],SMALL(IF(ISNUMBER(MATCH(orderHistory[customer],$D$9,0)),MATCH(ROW(orderHistory[customer]),ROW(orderHistory[customer])),""),ROWS($A$15:A24)+$B$3)),INDEX(orderHistory[order_date],SMALL(IF(ISNUMBER(MATCH(orderHistory[customer],$D$9,0)*MATCH(YEAR(orderHistory[invoice_date]),$D$15,0)),MATCH(ROW(orderHistory[customer]),ROW(orderHistory[customer])),""),ROWS($A$15:A24)+$B$3))),IF($D$15="",INDEX(orderHistory[order_date],SMALL(IF(ISNUMBER(MATCH(orderHistory[customer],$D$9,0)*MATCH(orderHistory[order_type],$D$13,0)),MATCH(ROW(orderHistory[customer]),ROW(orderHistory[customer])),""),ROWS($A$15:A24)+$B$3)),INDEX(orderHistory[order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YEAR(orderHistory[invoice_date]),$D$15,0)),MATCH(ROW(orderHistory[customer]),ROW(orderHistory[customer])),""),ROWS($A$15:A24)+$B$3))),IF($D$15="",INDEX(orderHistory[order_date],SMALL(IF(ISNUMBER(MATCH(orderHistory[customer],$D$9,0)*MATCH(orderHistory[status],$D$11,0)*MATCH(orderHistory[order_type],$D$13,0)),MATCH(ROW(orderHistory[customer]),ROW(orderHistory[customer])),""),ROWS($A$15:A24)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P19" s="456" t="str">
        <f t="array" ref="P19">IFERROR(IF($D$9="",IF($D$11="",IF($D$13="",IF($D$15="",INDEX(orderHistory[invoice_no],SMALL(MATCH(ROW(orderHistory[customer]),ROW(orderHistory[customer])),ROWS($A$15:A24)+$B$3)),INDEX(orderHistory[invoice_no],SMALL(IF(ISNUMBER(MATCH(YEAR(orderHistory[invoice_date]),$D$15,0)),MATCH(ROW(orderHistory[customer]),ROW(orderHistory[customer])),""),ROWS($A$15:A24)+$B$3))),IF($D$15="",INDEX(orderHistory[invoice_no],SMALL(IF(ISNUMBER(MATCH(orderHistory[order_type],$D$13,0)),MATCH(ROW(orderHistory[customer]),ROW(orderHistory[customer])),""),ROWS($A$15:A24)+$B$3)),INDEX(orderHistory[invoice_no],SMALL(IF(ISNUMBER(MATCH(orderHistory[order_type],$D$13,0)*MATCH(YEAR(orderHistory[invoice_date]),$D$15,0)),MATCH(ROW(orderHistory[customer]),ROW(orderHistory[customer])),""),ROWS($A$15:A24)+$B$3)))),IF($D$13="",IF($D$15="",INDEX(orderHistory[invoice_no],SMALL(IF(ISNUMBER(MATCH(orderHistory[status],$D$11,0)),MATCH(ROW(orderHistory[customer]),ROW(orderHistory[customer])),""),ROWS($A$15:A24)+$B$3)),INDEX(orderHistory[invoice_no],SMALL(IF(ISNUMBER(MATCH(orderHistory[status],$D$11,0)*MATCH(YEAR(orderHistory[invoice_date]),$D$15,0)),MATCH(ROW(orderHistory[customer]),ROW(orderHistory[customer])),""),ROWS($A$15:A24)+$B$3))),IF($D$15="",INDEX(orderHistory[invoice_no],SMALL(IF(ISNUMBER(MATCH(orderHistory[status],$D$11,0)*MATCH(orderHistory[order_type],$D$13,0)),MATCH(ROW(orderHistory[customer]),ROW(orderHistory[customer])),""),ROWS($A$15:A24)+$B$3)),INDEX(orderHistory[invoice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no],SMALL(IF(ISNUMBER(MATCH(orderHistory[customer],$D$9,0)),MATCH(ROW(orderHistory[customer]),ROW(orderHistory[customer])),""),ROWS($A$15:A24)+$B$3)),INDEX(orderHistory[invoice_no],SMALL(IF(ISNUMBER(MATCH(orderHistory[customer],$D$9,0)*MATCH(YEAR(orderHistory[invoice_date]),$D$15,0)),MATCH(ROW(orderHistory[customer]),ROW(orderHistory[customer])),""),ROWS($A$15:A24)+$B$3))),IF($D$15="",INDEX(orderHistory[invoice_no],SMALL(IF(ISNUMBER(MATCH(orderHistory[customer],$D$9,0)*MATCH(orderHistory[order_type],$D$13,0)),MATCH(ROW(orderHistory[customer]),ROW(orderHistory[customer])),""),ROWS($A$15:A24)+$B$3)),INDEX(orderHistory[invoice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YEAR(orderHistory[invoice_date]),$D$15,0)),MATCH(ROW(orderHistory[customer]),ROW(orderHistory[customer])),""),ROWS($A$15:A24)+$B$3))),IF($D$15="",INDEX(orderHistory[invoice_no],SMALL(IF(ISNUMBER(MATCH(orderHistory[customer],$D$9,0)*MATCH(orderHistory[status],$D$11,0)*MATCH(orderHistory[order_type],$D$13,0)),MATCH(ROW(orderHistory[customer]),ROW(orderHistory[customer])),""),ROWS($A$15:A24)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Q19" s="457" t="str">
        <f t="array" ref="Q19">IFERROR(IF($D$9="",IF($D$11="",IF($D$13="",IF($D$15="",INDEX(orderHistory[invoice_date],SMALL(MATCH(ROW(orderHistory[customer]),ROW(orderHistory[customer])),ROWS($A$15:A24)+$B$3)),INDEX(orderHistory[invoice_date],SMALL(IF(ISNUMBER(MATCH(YEAR(orderHistory[invoice_date]),$D$15,0)),MATCH(ROW(orderHistory[customer]),ROW(orderHistory[customer])),""),ROWS($A$15:A24)+$B$3))),IF($D$15="",INDEX(orderHistory[invoice_date],SMALL(IF(ISNUMBER(MATCH(orderHistory[order_type],$D$13,0)),MATCH(ROW(orderHistory[customer]),ROW(orderHistory[customer])),""),ROWS($A$15:A24)+$B$3)),INDEX(orderHistory[invoice_date],SMALL(IF(ISNUMBER(MATCH(orderHistory[order_type],$D$13,0)*MATCH(YEAR(orderHistory[invoice_date]),$D$15,0)),MATCH(ROW(orderHistory[customer]),ROW(orderHistory[customer])),""),ROWS($A$15:A24)+$B$3)))),IF($D$13="",IF($D$15="",INDEX(orderHistory[invoice_date],SMALL(IF(ISNUMBER(MATCH(orderHistory[status],$D$11,0)),MATCH(ROW(orderHistory[customer]),ROW(orderHistory[customer])),""),ROWS($A$15:A24)+$B$3)),INDEX(orderHistory[invoice_date],SMALL(IF(ISNUMBER(MATCH(orderHistory[status],$D$11,0)*MATCH(YEAR(orderHistory[invoice_date]),$D$15,0)),MATCH(ROW(orderHistory[customer]),ROW(orderHistory[customer])),""),ROWS($A$15:A24)+$B$3))),IF($D$15="",INDEX(orderHistory[invoice_date],SMALL(IF(ISNUMBER(MATCH(orderHistory[status],$D$11,0)*MATCH(orderHistory[order_type],$D$13,0)),MATCH(ROW(orderHistory[customer]),ROW(orderHistory[customer])),""),ROWS($A$15:A24)+$B$3)),INDEX(orderHistory[invoice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date],SMALL(IF(ISNUMBER(MATCH(orderHistory[customer],$D$9,0)),MATCH(ROW(orderHistory[customer]),ROW(orderHistory[customer])),""),ROWS($A$15:A24)+$B$3)),INDEX(orderHistory[invoice_date],SMALL(IF(ISNUMBER(MATCH(orderHistory[customer],$D$9,0)*MATCH(YEAR(orderHistory[invoice_date]),$D$15,0)),MATCH(ROW(orderHistory[customer]),ROW(orderHistory[customer])),""),ROWS($A$15:A24)+$B$3))),IF($D$15="",INDEX(orderHistory[invoice_date],SMALL(IF(ISNUMBER(MATCH(orderHistory[customer],$D$9,0)*MATCH(orderHistory[order_type],$D$13,0)),MATCH(ROW(orderHistory[customer]),ROW(orderHistory[customer])),""),ROWS($A$15:A24)+$B$3)),INDEX(orderHistory[invoice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YEAR(orderHistory[invoice_date]),$D$15,0)),MATCH(ROW(orderHistory[customer]),ROW(orderHistory[customer])),""),ROWS($A$15:A24)+$B$3))),IF($D$15="",INDEX(orderHistory[invoice_date],SMALL(IF(ISNUMBER(MATCH(orderHistory[customer],$D$9,0)*MATCH(orderHistory[status],$D$11,0)*MATCH(orderHistory[order_type],$D$13,0)),MATCH(ROW(orderHistory[customer]),ROW(orderHistory[customer])),""),ROWS($A$15:A24)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R19" s="458" t="str">
        <f t="array" ref="R19">IFERROR(IF($D$9="",IF($D$11="",IF($D$13="",IF($D$15="",INDEX(orderHistory[inv_amount],SMALL(MATCH(ROW(orderHistory[customer]),ROW(orderHistory[customer])),ROWS($A$15:A24)+$B$3)),INDEX(orderHistory[inv_amount],SMALL(IF(ISNUMBER(MATCH(YEAR(orderHistory[invoice_date]),$D$15,0)),MATCH(ROW(orderHistory[customer]),ROW(orderHistory[customer])),""),ROWS($A$15:A24)+$B$3))),IF($D$15="",INDEX(orderHistory[inv_amount],SMALL(IF(ISNUMBER(MATCH(orderHistory[order_type],$D$13,0)),MATCH(ROW(orderHistory[customer]),ROW(orderHistory[customer])),""),ROWS($A$15:A24)+$B$3)),INDEX(orderHistory[inv_amount],SMALL(IF(ISNUMBER(MATCH(orderHistory[order_type],$D$13,0)*MATCH(YEAR(orderHistory[invoice_date]),$D$15,0)),MATCH(ROW(orderHistory[customer]),ROW(orderHistory[customer])),""),ROWS($A$15:A24)+$B$3)))),IF($D$13="",IF($D$15="",INDEX(orderHistory[inv_amount],SMALL(IF(ISNUMBER(MATCH(orderHistory[status],$D$11,0)),MATCH(ROW(orderHistory[customer]),ROW(orderHistory[customer])),""),ROWS($A$15:A24)+$B$3)),INDEX(orderHistory[inv_amount],SMALL(IF(ISNUMBER(MATCH(orderHistory[status],$D$11,0)*MATCH(YEAR(orderHistory[invoice_date]),$D$15,0)),MATCH(ROW(orderHistory[customer]),ROW(orderHistory[customer])),""),ROWS($A$15:A24)+$B$3))),IF($D$15="",INDEX(orderHistory[inv_amount],SMALL(IF(ISNUMBER(MATCH(orderHistory[status],$D$11,0)*MATCH(orderHistory[order_type],$D$13,0)),MATCH(ROW(orderHistory[customer]),ROW(orderHistory[customer])),""),ROWS($A$15:A24)+$B$3)),INDEX(orderHistory[inv_amount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_amount],SMALL(IF(ISNUMBER(MATCH(orderHistory[customer],$D$9,0)),MATCH(ROW(orderHistory[customer]),ROW(orderHistory[customer])),""),ROWS($A$15:A24)+$B$3)),INDEX(orderHistory[inv_amount],SMALL(IF(ISNUMBER(MATCH(orderHistory[customer],$D$9,0)*MATCH(YEAR(orderHistory[invoice_date]),$D$15,0)),MATCH(ROW(orderHistory[customer]),ROW(orderHistory[customer])),""),ROWS($A$15:A24)+$B$3))),IF($D$15="",INDEX(orderHistory[inv_amount],SMALL(IF(ISNUMBER(MATCH(orderHistory[customer],$D$9,0)*MATCH(orderHistory[order_type],$D$13,0)),MATCH(ROW(orderHistory[customer]),ROW(orderHistory[customer])),""),ROWS($A$15:A24)+$B$3)),INDEX(orderHistory[inv_amount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YEAR(orderHistory[inv_amount]),$D$15,0)),MATCH(ROW(orderHistory[customer]),ROW(orderHistory[customer])),""),ROWS($A$15:A24)+$B$3))),IF($D$15="",INDEX(orderHistory[inv_amount],SMALL(IF(ISNUMBER(MATCH(orderHistory[customer],$D$9,0)*MATCH(orderHistory[status],$D$11,0)*MATCH(orderHistory[order_type],$D$13,0)),MATCH(ROW(orderHistory[customer]),ROW(orderHistory[customer])),""),ROWS($A$15:A24)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S19" s="569" t="str">
        <f t="array" ref="S19">IFERROR(IF($D$9="",IF($D$11="",IF($D$13="",IF($D$15="",INDEX(orderHistory[lock_goods],SMALL(MATCH(ROW(orderHistory[customer]),ROW(orderHistory[customer])),ROWS($A$15:A24)+$B$3)),INDEX(orderHistory[lock_goods],SMALL(IF(ISNUMBER(MATCH(YEAR(orderHistory[invoice_date]),$D$15,0)),MATCH(ROW(orderHistory[customer]),ROW(orderHistory[customer])),""),ROWS($A$15:A24)+$B$3))),IF($D$15="",INDEX(orderHistory[lock_goods],SMALL(IF(ISNUMBER(MATCH(orderHistory[order_type],$D$13,0)),MATCH(ROW(orderHistory[customer]),ROW(orderHistory[customer])),""),ROWS($A$15:A24)+$B$3)),INDEX(orderHistory[lock_goods],SMALL(IF(ISNUMBER(MATCH(orderHistory[order_type],$D$13,0)*MATCH(YEAR(orderHistory[invoice_date]),$D$15,0)),MATCH(ROW(orderHistory[customer]),ROW(orderHistory[customer])),""),ROWS($A$15:A24)+$B$3)))),IF($D$13="",IF($D$15="",INDEX(orderHistory[lock_goods],SMALL(IF(ISNUMBER(MATCH(orderHistory[status],$D$11,0)),MATCH(ROW(orderHistory[customer]),ROW(orderHistory[customer])),""),ROWS($A$15:A24)+$B$3)),INDEX(orderHistory[lock_goods],SMALL(IF(ISNUMBER(MATCH(orderHistory[status],$D$11,0)*MATCH(YEAR(orderHistory[invoice_date]),$D$15,0)),MATCH(ROW(orderHistory[customer]),ROW(orderHistory[customer])),""),ROWS($A$15:A24)+$B$3))),IF($D$15="",INDEX(orderHistory[lock_goods],SMALL(IF(ISNUMBER(MATCH(orderHistory[status],$D$11,0)*MATCH(orderHistory[order_type],$D$13,0)),MATCH(ROW(orderHistory[customer]),ROW(orderHistory[customer])),""),ROWS($A$15:A24)+$B$3)),INDEX(orderHistory[lock_good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lock_goods],SMALL(IF(ISNUMBER(MATCH(orderHistory[customer],$D$9,0)),MATCH(ROW(orderHistory[customer]),ROW(orderHistory[customer])),""),ROWS($A$15:A24)+$B$3)),INDEX(orderHistory[lock_goods],SMALL(IF(ISNUMBER(MATCH(orderHistory[customer],$D$9,0)*MATCH(YEAR(orderHistory[invoice_date]),$D$15,0)),MATCH(ROW(orderHistory[customer]),ROW(orderHistory[customer])),""),ROWS($A$15:A24)+$B$3))),IF($D$15="",INDEX(orderHistory[lock_goods],SMALL(IF(ISNUMBER(MATCH(orderHistory[customer],$D$9,0)*MATCH(orderHistory[order_type],$D$13,0)),MATCH(ROW(orderHistory[customer]),ROW(orderHistory[customer])),""),ROWS($A$15:A24)+$B$3)),INDEX(orderHistory[lock_good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lock_goods],SMALL(IF(ISNUMBER(MATCH(orderHistory[customer],$D$9,0)*MATCH(orderHistory[status],$D$11,0)),MATCH(ROW(orderHistory[customer]),ROW(orderHistory[customer])),""),ROWS($A$15:A24)+$B$3)),INDEX(orderHistory[lock_goods],SMALL(IF(ISNUMBER(MATCH(orderHistory[customer],$D$9,0)*MATCH(orderHistory[status],$D$11,0)*MATCH(YEAR(orderHistory[payed]),$D$15,0)),MATCH(ROW(orderHistory[customer]),ROW(orderHistory[customer])),""),ROWS($A$15:A24)+$B$3))),IF($D$15="",INDEX(orderHistory[lock_goods],SMALL(IF(ISNUMBER(MATCH(orderHistory[customer],$D$9,0)*MATCH(orderHistory[status],$D$11,0)*MATCH(orderHistory[order_type],$D$13,0)),MATCH(ROW(orderHistory[customer]),ROW(orderHistory[customer])),""),ROWS($A$15:A24)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T19" s="459" t="str">
        <f t="array" ref="T19">IFERROR(IF($D$9="",IF($D$11="",IF($D$13="",IF($D$15="",INDEX(orderHistory[payed],SMALL(MATCH(ROW(orderHistory[customer]),ROW(orderHistory[customer])),ROWS($A$15:A24)+$B$3)),INDEX(orderHistory[payed],SMALL(IF(ISNUMBER(MATCH(YEAR(orderHistory[invoice_date]),$D$15,0)),MATCH(ROW(orderHistory[customer]),ROW(orderHistory[customer])),""),ROWS($A$15:A24)+$B$3))),IF($D$15="",INDEX(orderHistory[payed],SMALL(IF(ISNUMBER(MATCH(orderHistory[order_type],$D$13,0)),MATCH(ROW(orderHistory[customer]),ROW(orderHistory[customer])),""),ROWS($A$15:A24)+$B$3)),INDEX(orderHistory[payed],SMALL(IF(ISNUMBER(MATCH(orderHistory[order_type],$D$13,0)*MATCH(YEAR(orderHistory[invoice_date]),$D$15,0)),MATCH(ROW(orderHistory[customer]),ROW(orderHistory[customer])),""),ROWS($A$15:A24)+$B$3)))),IF($D$13="",IF($D$15="",INDEX(orderHistory[payed],SMALL(IF(ISNUMBER(MATCH(orderHistory[status],$D$11,0)),MATCH(ROW(orderHistory[customer]),ROW(orderHistory[customer])),""),ROWS($A$15:A24)+$B$3)),INDEX(orderHistory[payed],SMALL(IF(ISNUMBER(MATCH(orderHistory[status],$D$11,0)*MATCH(YEAR(orderHistory[invoice_date]),$D$15,0)),MATCH(ROW(orderHistory[customer]),ROW(orderHistory[customer])),""),ROWS($A$15:A24)+$B$3))),IF($D$15="",INDEX(orderHistory[payed],SMALL(IF(ISNUMBER(MATCH(orderHistory[status],$D$11,0)*MATCH(orderHistory[order_type],$D$13,0)),MATCH(ROW(orderHistory[customer]),ROW(orderHistory[customer])),""),ROWS($A$15:A24)+$B$3)),INDEX(orderHistory[paye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payed],SMALL(IF(ISNUMBER(MATCH(orderHistory[customer],$D$9,0)),MATCH(ROW(orderHistory[customer]),ROW(orderHistory[customer])),""),ROWS($A$15:A24)+$B$3)),INDEX(orderHistory[payed],SMALL(IF(ISNUMBER(MATCH(orderHistory[customer],$D$9,0)*MATCH(YEAR(orderHistory[invoice_date]),$D$15,0)),MATCH(ROW(orderHistory[customer]),ROW(orderHistory[customer])),""),ROWS($A$15:A24)+$B$3))),IF($D$15="",INDEX(orderHistory[payed],SMALL(IF(ISNUMBER(MATCH(orderHistory[customer],$D$9,0)*MATCH(orderHistory[order_type],$D$13,0)),MATCH(ROW(orderHistory[customer]),ROW(orderHistory[customer])),""),ROWS($A$15:A24)+$B$3)),INDEX(orderHistory[paye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YEAR(orderHistory[payed]),$D$15,0)),MATCH(ROW(orderHistory[customer]),ROW(orderHistory[customer])),""),ROWS($A$15:A24)+$B$3))),IF($D$15="",INDEX(orderHistory[payed],SMALL(IF(ISNUMBER(MATCH(orderHistory[customer],$D$9,0)*MATCH(orderHistory[status],$D$11,0)*MATCH(orderHistory[order_type],$D$13,0)),MATCH(ROW(orderHistory[customer]),ROW(orderHistory[customer])),""),ROWS($A$15:A24)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U19" s="454" t="str">
        <f t="array" ref="U19">IFERROR(IF($D$9="",IF($D$11="",IF($D$13="",IF($D$15="",INDEX(orderHistory[shipping_method],SMALL(MATCH(ROW(orderHistory[customer]),ROW(orderHistory[customer])),ROWS($A$15:A24)+$B$3)),INDEX(orderHistory[shipping_method],SMALL(IF(ISNUMBER(MATCH(YEAR(orderHistory[invoice_date]),$D$15,0)),MATCH(ROW(orderHistory[customer]),ROW(orderHistory[customer])),""),ROWS($A$15:A24)+$B$3))),IF($D$15="",INDEX(orderHistory[shipping_method],SMALL(IF(ISNUMBER(MATCH(orderHistory[order_type],$D$13,0)),MATCH(ROW(orderHistory[customer]),ROW(orderHistory[customer])),""),ROWS($A$15:A24)+$B$3)),INDEX(orderHistory[shipping_method],SMALL(IF(ISNUMBER(MATCH(orderHistory[order_type],$D$13,0)*MATCH(YEAR(orderHistory[invoice_date]),$D$15,0)),MATCH(ROW(orderHistory[customer]),ROW(orderHistory[customer])),""),ROWS($A$15:A24)+$B$3)))),IF($D$13="",IF($D$15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YEAR(orderHistory[invoice_date]),$D$15,0)),MATCH(ROW(orderHistory[customer]),ROW(orderHistory[customer])),""),ROWS($A$15:A24)+$B$3))),IF($D$15="",INDEX(orderHistory[shipping_method],SMALL(IF(ISNUMBER(MATCH(orderHistory[status],$D$11,0)*MATCH(orderHistory[order_type],$D$13,0)),MATCH(ROW(orderHistory[customer]),ROW(orderHistory[customer])),""),ROWS($A$15:A24)+$B$3)),INDEX(orderHistory[shipping_metho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YEAR(orderHistory[invoice_date]),$D$15,0)),MATCH(ROW(orderHistory[customer]),ROW(orderHistory[customer])),""),ROWS($A$15:A24)+$B$3))),IF($D$15="",INDEX(orderHistory[shipping_method],SMALL(IF(ISNUMBER(MATCH(orderHistory[customer],$D$9,0)*MATCH(orderHistory[order_type],$D$13,0)),MATCH(ROW(orderHistory[customer]),ROW(orderHistory[customer])),""),ROWS($A$15:A24)+$B$3)),INDEX(orderHistory[shipping_metho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YEAR(orderHistory[shipping_method]),$D$15,0)),MATCH(ROW(orderHistory[customer]),ROW(orderHistory[customer])),""),ROWS($A$15:A24)+$B$3))),IF($D$15="",INDEX(orderHistory[shipping_method],SMALL(IF(ISNUMBER(MATCH(orderHistory[customer],$D$9,0)*MATCH(orderHistory[status],$D$11,0)*MATCH(orderHistory[order_type],$D$13,0)),MATCH(ROW(orderHistory[customer]),ROW(orderHistory[customer])),""),ROWS($A$15:A24)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V19" s="460" t="str">
        <f t="array" ref="V19">IFERROR(IF($D$9="",IF($D$11="",IF($D$13="",IF($D$15="",INDEX(orderHistory[status],SMALL(MATCH(ROW(orderHistory[customer]),ROW(orderHistory[customer])),ROWS($A$15:A24)+$B$3)),INDEX(orderHistory[status],SMALL(IF(ISNUMBER(MATCH(YEAR(orderHistory[invoice_date]),$D$15,0)),MATCH(ROW(orderHistory[customer]),ROW(orderHistory[customer])),""),ROWS($A$15:A24)+$B$3))),IF($D$15="",INDEX(orderHistory[status],SMALL(IF(ISNUMBER(MATCH(orderHistory[order_type],$D$13,0)),MATCH(ROW(orderHistory[customer]),ROW(orderHistory[customer])),""),ROWS($A$15:A24)+$B$3)),INDEX(orderHistory[status],SMALL(IF(ISNUMBER(MATCH(orderHistory[order_type],$D$13,0)*MATCH(YEAR(orderHistory[invoice_date]),$D$15,0)),MATCH(ROW(orderHistory[customer]),ROW(orderHistory[customer])),""),ROWS($A$15:A24)+$B$3)))),IF($D$13="",IF($D$15="",INDEX(orderHistory[status],SMALL(IF(ISNUMBER(MATCH(orderHistory[status],$D$11,0)),MATCH(ROW(orderHistory[customer]),ROW(orderHistory[customer])),""),ROWS($A$15:A24)+$B$3)),INDEX(orderHistory[status],SMALL(IF(ISNUMBER(MATCH(orderHistory[status],$D$11,0)*MATCH(YEAR(orderHistory[invoice_date]),$D$15,0)),MATCH(ROW(orderHistory[customer]),ROW(orderHistory[customer])),""),ROWS($A$15:A24)+$B$3))),IF($D$15="",INDEX(orderHistory[status],SMALL(IF(ISNUMBER(MATCH(orderHistory[status],$D$11,0)*MATCH(orderHistory[order_type],$D$13,0)),MATCH(ROW(orderHistory[customer]),ROW(orderHistory[customer])),""),ROWS($A$15:A24)+$B$3)),INDEX(orderHistory[statu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tatus],SMALL(IF(ISNUMBER(MATCH(orderHistory[customer],$D$9,0)),MATCH(ROW(orderHistory[customer]),ROW(orderHistory[customer])),""),ROWS($A$15:A24)+$B$3)),INDEX(orderHistory[status],SMALL(IF(ISNUMBER(MATCH(orderHistory[customer],$D$9,0)*MATCH(YEAR(orderHistory[invoice_date]),$D$15,0)),MATCH(ROW(orderHistory[customer]),ROW(orderHistory[customer])),""),ROWS($A$15:A24)+$B$3))),IF($D$15="",INDEX(orderHistory[status],SMALL(IF(ISNUMBER(MATCH(orderHistory[customer],$D$9,0)*MATCH(orderHistory[order_type],$D$13,0)),MATCH(ROW(orderHistory[customer]),ROW(orderHistory[customer])),""),ROWS($A$15:A24)+$B$3)),INDEX(orderHistory[statu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YEAR(orderHistory[status]),$D$15,0)),MATCH(ROW(orderHistory[customer]),ROW(orderHistory[customer])),""),ROWS($A$15:A24)+$B$3))),IF($D$15="",INDEX(orderHistory[status],SMALL(IF(ISNUMBER(MATCH(orderHistory[customer],$D$9,0)*MATCH(orderHistory[status],$D$11,0)*MATCH(orderHistory[order_type],$D$13,0)),MATCH(ROW(orderHistory[customer]),ROW(orderHistory[customer])),""),ROWS($A$15:A24)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W19" s="75"/>
      <c r="AO19" s="341"/>
      <c r="AQ19" s="378"/>
      <c r="AR19" s="401"/>
      <c r="AU19" s="339"/>
      <c r="AW19" s="378"/>
      <c r="AX19" s="388"/>
      <c r="AZ19" s="340"/>
      <c r="BB19" s="389"/>
      <c r="BD19" s="810"/>
      <c r="BE19" s="811"/>
      <c r="BF19" s="811"/>
      <c r="BG19" s="811"/>
      <c r="BH19" s="812"/>
      <c r="BJ19" s="339"/>
      <c r="BK19" s="366"/>
      <c r="BL19" s="367"/>
      <c r="BM19" s="368"/>
      <c r="BN19" s="367"/>
      <c r="BO19" s="368"/>
      <c r="BX19" s="817"/>
      <c r="BZ19" s="476"/>
      <c r="CA19" s="477" t="str">
        <f>IF(BZ19="","",INDEX(bhpc_data[description],MATCH(BZ19,bhpc_data[sku],0)))</f>
        <v/>
      </c>
      <c r="CB19" s="478"/>
      <c r="CC19" s="479"/>
      <c r="CD19" s="493"/>
      <c r="CE19" s="481"/>
      <c r="CF19" s="482"/>
      <c r="CG19" s="483" t="str">
        <f>IFERROR(ROUNDUP(CB19/INDEX(bhpc_data[units_per_carton],MATCH(BZ19,bhpc_data[sku],0)),0),"")</f>
        <v/>
      </c>
      <c r="CH19" s="484" t="str">
        <f>IFERROR(ROUNDUP(CD19/INDEX(bhpc_data[units_per_carton],MATCH(BZ19,bhpc_data[sku],0)),0),"")</f>
        <v/>
      </c>
      <c r="CI19" s="484" t="str">
        <f>IFERROR(ROUNDUP(CF19/INDEX(bhpc_data[units_per_carton],MATCH(BZ19,bhpc_data[sku])),0),"")</f>
        <v/>
      </c>
      <c r="CJ19" s="484" t="str">
        <f>IFERROR(((CB19+CD19+CF19)/INDEX(bhpc_data[units_per_carton],MATCH(BZ19,bhpc_data[sku],0)))*INDEX(bhpc_data[net_weight],MATCH(BZ19,bhpc_data[sku],0)),"")</f>
        <v/>
      </c>
      <c r="CK19" s="484" t="str">
        <f>IFERROR(((CB19+CD19+CF19)/INDEX(bhpc_data[units_per_carton],MATCH(BZ19,bhpc_data[sku],0)))*INDEX(bhpc_data[gross_weight],MATCH(BZ19,bhpc_data[sku],0)),"")</f>
        <v/>
      </c>
      <c r="CL19" s="485" t="str">
        <f>IFERROR((CB19+CD19+CF19)/INDEX(bhpc_data[units_per_carton],MATCH(BZ19,bhpc_data[sku],0))*INDEX(bhpc_data[lenght],MATCH(BZ19,bhpc_data[sku],0))*INDEX(bhpc_data[width],MATCH(BZ19,bhpc_data[sku],0))*INDEX(bhpc_data[height],MATCH(BZ19,bhpc_data[sku],0))/1000000000,"")</f>
        <v/>
      </c>
      <c r="CM19" s="486" t="str">
        <f>IFERROR(INDEX(bhpc_data[category],MATCH(BZ19,bhpc_data[sku],0)),"")</f>
        <v/>
      </c>
      <c r="CN19" s="486" t="str">
        <f>IFERROR(INDEX(bhpc_data[size1],MATCH(BZ19,bhpc_data[sku],0)),"")</f>
        <v/>
      </c>
      <c r="CO19" s="487" t="str">
        <f>IFERROR(INDEX(bhpc_data[hs_code],MATCH(BZ19,bhpc_data[sku],0)),"")</f>
        <v/>
      </c>
      <c r="CP19" s="482"/>
      <c r="CQ19" s="488" t="str">
        <f>IFERROR(IF(BZ19="","",IF($BX$15="SALE",INDEX(inventory[COSTO UNITARIO],MATCH(BZ19,inventory[ARTICOLO],0)),IF($BX$15="SAMPLING",INDEX(inventory[COSTO UNITARIO],MATCH(BZ19,inventory[ARTICOLO],0)),""))),"")</f>
        <v/>
      </c>
      <c r="CR19" s="488" t="str">
        <f t="shared" si="0"/>
        <v/>
      </c>
      <c r="CS19" s="489" t="str">
        <f t="shared" si="1"/>
        <v/>
      </c>
      <c r="CT19" s="573" t="str">
        <f t="shared" si="2"/>
        <v/>
      </c>
      <c r="CV19" s="88"/>
      <c r="CW19" s="116"/>
      <c r="CX19" s="83"/>
      <c r="CY19" s="116"/>
      <c r="CZ19" s="83"/>
      <c r="DA19" s="84"/>
      <c r="DH19" s="245"/>
      <c r="EE19" s="541" t="str" cm="1">
        <f t="array" ref="EE19">IFERROR(IF($EC$9="",IF($EC$11="",IF($EC$13="",INDEX(bhpc_data[sku],SMALL(MATCH(ROW(bhpc_data[sku]),ROW(bhpc_data[sku])),ROWS($A$15:A24)+$B$3)),INDEX(bhpc_data[sku],SMALL(IF(ISNUMBER(MATCH(bhpc_data[size1],$EC$13,0)),MATCH(ROW(bhpc_data[sku]),ROW(bhpc_data[sku])),""),ROWS($A$15:A24)+$B$3))),IF($EC$13="",INDEX(bhpc_data[sku],SMALL(IF(ISNUMBER(MATCH(bhpc_data[sex],$EC$11,0)),MATCH(ROW(bhpc_data[sku]),ROW(bhpc_data[sku])),""),ROWS($A$15:A24)+$B$3)),INDEX(bhpc_data[sku],SMALL(IF(ISNUMBER(MATCH(bhpc_data[sex],$EC$11,0)*MATCH(bhpc_data[size1],$EC$13,0)),MATCH(ROW(bhpc_data[sku]),ROW(bhpc_data[sku])),""),ROWS($A$15:A24)+$B$3)))),IF($EC$11="",IF($EC$13="",INDEX(bhpc_data[sku],SMALL(IF(ISNUMBER(MATCH(bhpc_data[category],$EC$9,0)),MATCH(ROW(bhpc_data[sku]),ROW(bhpc_data[sku])),""),ROWS($A$15:A24)+$B$3)),INDEX(bhpc_data[sku],SMALL(IF(ISNUMBER(MATCH(bhpc_data[category],$EC$9,0)*MATCH(bhpc_data[size1],$EC$13,0)),MATCH(ROW(bhpc_data[sku]),ROW(bhpc_data[sku])),""),ROWS($A$15:A24)+$B$3))),IF($EC$13="",INDEX(bhpc_data[sku],SMALL(IF(ISNUMBER(MATCH(bhpc_data[category],$EC$9,0)*MATCH(bhpc_data[sex],$EC$11,0)),MATCH(ROW(bhpc_data[sku]),ROW(bhpc_data[sku])),""),ROWS($A$15:A24)+$B$3)),INDEX(bhpc_data[sku],SMALL(IF(ISNUMBER(MATCH(bhpc_data[category],$EC$9,0)*MATCH(bhpc_data[sex],$EC$11,0)*MATCH(bhpc_data[size1],$EC$13,0)),MATCH(ROW(bhpc_data[sku]),ROW(bhpc_data[sku])),""),ROWS($A$15:A24)+$B$3))))),"")</f>
        <v>GS5029</v>
      </c>
      <c r="EF19" s="542" t="str" cm="1">
        <f t="array" ref="EF19">IFERROR(IF($EC$9="",IF($EC$11="",IF($EC$13="",INDEX(bhpc_data[description],SMALL(MATCH(ROW(bhpc_data[sku]),ROW(bhpc_data[sku])),ROWS($A$15:A24)+$B$3)),INDEX(bhpc_data[description],SMALL(IF(ISNUMBER(MATCH(bhpc_data[size1],$EC$13,0)),MATCH(ROW(bhpc_data[sku]),ROW(bhpc_data[sku])),""),ROWS($A$15:A24)+$B$3))),IF($EC$13="",INDEX(bhpc_data[description],SMALL(IF(ISNUMBER(MATCH(bhpc_data[sex],$EC$11,0)),MATCH(ROW(bhpc_data[sku]),ROW(bhpc_data[sku])),""),ROWS($A$15:A24)+$B$3)),INDEX(bhpc_data[description],SMALL(IF(ISNUMBER(MATCH(bhpc_data[sex],$EC$11,0)*MATCH(bhpc_data[size1],$EC$13,0)),MATCH(ROW(bhpc_data[sku]),ROW(bhpc_data[sku])),""),ROWS($A$15:A24)+$B$3)))),IF($EC$11="",IF($EC$13="",INDEX(bhpc_data[description],SMALL(IF(ISNUMBER(MATCH(bhpc_data[category],$EC$9,0)),MATCH(ROW(bhpc_data[sku]),ROW(bhpc_data[sku])),""),ROWS($A$15:A24)+$B$3)),INDEX(bhpc_data[description],SMALL(IF(ISNUMBER(MATCH(bhpc_data[category],$EC$9,0)*MATCH(bhpc_data[size1],$EC$13,0)),MATCH(ROW(bhpc_data[sku]),ROW(bhpc_data[sku])),""),ROWS($A$15:A24)+$B$3))),IF($EC$13="",INDEX(bhpc_data[description],SMALL(IF(ISNUMBER(MATCH(bhpc_data[category],$EC$9,0)*MATCH(bhpc_data[sex],$EC$11,0)),MATCH(ROW(bhpc_data[sku]),ROW(bhpc_data[sku])),""),ROWS($A$15:A24)+$B$3)),INDEX(bhpc_data[description],SMALL(IF(ISNUMBER(MATCH(bhpc_data[category],$EC$9,0)*MATCH(bhpc_data[sex],$EC$11,0)*MATCH(bhpc_data[size1],$EC$13,0)),MATCH(ROW(bhpc_data[sku]),ROW(bhpc_data[sku])),""),ROWS($A$15:A24)+$B$3))))),"")</f>
        <v>BHPC GIFT SET WOMEN 9 EDP 50ML + DEO 150ML</v>
      </c>
      <c r="EG19" s="543">
        <f>IFERROR(IF('BHPC MANAGER'!$EE19="","",INDEX(inventory[ESISTENZA],MATCH('BHPC MANAGER'!$EE19,inventory[ARTICOLO],0))),0)</f>
        <v>327</v>
      </c>
      <c r="EH19" s="544">
        <v>-1434</v>
      </c>
      <c r="EI19" s="544">
        <f t="shared" si="3"/>
        <v>-1107</v>
      </c>
      <c r="EJ19" s="545">
        <v>-72</v>
      </c>
      <c r="EK19" s="546">
        <f t="shared" si="4"/>
        <v>-1179</v>
      </c>
      <c r="FF19" s="331"/>
      <c r="FG19" s="331"/>
      <c r="FH19" s="331"/>
      <c r="FI19" s="331"/>
      <c r="FJ19" s="331"/>
      <c r="FK19" s="331"/>
      <c r="FL19" s="331"/>
      <c r="FM19" s="331"/>
      <c r="FN19" s="331"/>
      <c r="FO19" s="331"/>
      <c r="FP19" s="331"/>
      <c r="FQ19" s="331"/>
      <c r="FR19" s="331"/>
      <c r="FS19" s="331"/>
      <c r="FT19" s="331"/>
      <c r="FU19" s="331"/>
      <c r="FV19" s="331"/>
      <c r="FW19" s="331"/>
      <c r="FX19" s="331"/>
      <c r="FY19" s="331"/>
      <c r="FZ19" s="331"/>
      <c r="GA19" s="331"/>
      <c r="GB19" s="331"/>
      <c r="GC19" s="331"/>
      <c r="GD19" s="331"/>
      <c r="GE19" s="331"/>
      <c r="GF19" s="331"/>
      <c r="GG19" s="331"/>
      <c r="GH19" s="331"/>
      <c r="GI19" s="331"/>
      <c r="GJ19" s="331"/>
      <c r="GK19" s="331"/>
      <c r="GL19" s="331"/>
      <c r="GM19" s="331"/>
      <c r="GN19" s="331"/>
      <c r="GO19" s="331"/>
      <c r="GP19" s="331"/>
      <c r="GQ19" s="331"/>
      <c r="GR19" s="331"/>
      <c r="GS19" s="331"/>
      <c r="GT19" s="331"/>
      <c r="GU19" s="331"/>
      <c r="GV19" s="331"/>
      <c r="GW19" s="331"/>
      <c r="GX19" s="331"/>
      <c r="GY19" s="331"/>
      <c r="GZ19" s="331"/>
      <c r="HA19" s="331"/>
      <c r="HB19" s="331"/>
      <c r="HC19" s="331"/>
      <c r="HD19" s="331"/>
      <c r="HE19" s="331"/>
      <c r="HF19" s="331"/>
      <c r="HG19" s="331"/>
      <c r="HH19" s="331"/>
      <c r="HI19" s="331"/>
      <c r="HJ19" s="331"/>
      <c r="HK19" s="331"/>
      <c r="HL19" s="331"/>
      <c r="HM19" s="331"/>
      <c r="HN19" s="331"/>
      <c r="HO19" s="331"/>
      <c r="HP19" s="331"/>
      <c r="HQ19" s="331"/>
      <c r="HR19" s="331"/>
      <c r="HS19" s="331"/>
      <c r="HT19" s="331"/>
    </row>
    <row r="20" spans="1:228" ht="15" customHeight="1" thickBot="1" x14ac:dyDescent="0.4">
      <c r="D20" s="344" t="s">
        <v>1016</v>
      </c>
      <c r="F20" s="91"/>
      <c r="G20" s="804" t="str">
        <f>IFERROR(INDEX(clientData[vat_no],MATCH($B$6,clientData[cod_cliente],0)),"")</f>
        <v/>
      </c>
      <c r="H20" s="805"/>
      <c r="I20" s="806"/>
      <c r="J20" s="82"/>
      <c r="L20" s="452" t="str">
        <f t="array" ref="L20">IFERROR(IF($D$9="",IF($D$11="",IF($D$13="",IF($D$15="",INDEX(orderHistory[customer],SMALL(MATCH(ROW(orderHistory[customer]),ROW(orderHistory[customer])),ROWS($A$15:A25)+$B$3)),INDEX(orderHistory[customer],SMALL(IF(ISNUMBER(MATCH(YEAR(orderHistory[invoice_date]),$D$15,0)),MATCH(ROW(orderHistory[customer]),ROW(orderHistory[customer])),""),ROWS($A$15:A25)+$B$3))),IF($D$15="",INDEX(orderHistory[customer],SMALL(IF(ISNUMBER(MATCH(orderHistory[order_type],$D$13,0)),MATCH(ROW(orderHistory[customer]),ROW(orderHistory[customer])),""),ROWS($A$15:A25)+$B$3)),INDEX(orderHistory[customer],SMALL(IF(ISNUMBER(MATCH(orderHistory[order_type],$D$13,0)*MATCH(YEAR(orderHistory[invoice_date]),$D$15,0)),MATCH(ROW(orderHistory[customer]),ROW(orderHistory[customer])),""),ROWS($A$15:A25)+$B$3)))),IF($D$13="",IF($D$15="",INDEX(orderHistory[customer],SMALL(IF(ISNUMBER(MATCH(orderHistory[status],$D$11,0)),MATCH(ROW(orderHistory[customer]),ROW(orderHistory[customer])),""),ROWS($A$15:A25)+$B$3)),INDEX(orderHistory[customer],SMALL(IF(ISNUMBER(MATCH(orderHistory[status],$D$11,0)*MATCH(YEAR(orderHistory[invoice_date]),$D$15,0)),MATCH(ROW(orderHistory[customer]),ROW(orderHistory[customer])),""),ROWS($A$15:A25)+$B$3))),IF($D$15="",INDEX(orderHistory[customer],SMALL(IF(ISNUMBER(MATCH(orderHistory[status],$D$11,0)*MATCH(orderHistory[order_type],$D$13,0)),MATCH(ROW(orderHistory[customer]),ROW(orderHistory[customer])),""),ROWS($A$15:A25)+$B$3)),INDEX(orderHistory[customer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customer],SMALL(IF(ISNUMBER(MATCH(orderHistory[customer],$D$9,0)),MATCH(ROW(orderHistory[customer]),ROW(orderHistory[customer])),""),ROWS($A$15:A25)+$B$3)),INDEX(orderHistory[customer],SMALL(IF(ISNUMBER(MATCH(orderHistory[customer],$D$9,0)*MATCH(YEAR(orderHistory[invoice_date]),$D$15,0)),MATCH(ROW(orderHistory[customer]),ROW(orderHistory[customer])),""),ROWS($A$15:A25)+$B$3))),IF($D$15="",INDEX(orderHistory[customer],SMALL(IF(ISNUMBER(MATCH(orderHistory[customer],$D$9,0)*MATCH(orderHistory[order_type],$D$13,0)),MATCH(ROW(orderHistory[customer]),ROW(orderHistory[customer])),""),ROWS($A$15:A25)+$B$3)),INDEX(orderHistory[customer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YEAR(orderHistory[invoice_date]),$D$15,0)),MATCH(ROW(orderHistory[customer]),ROW(orderHistory[customer])),""),ROWS($A$15:A25)+$B$3))),IF($D$15="",INDEX(orderHistory[customer],SMALL(IF(ISNUMBER(MATCH(orderHistory[customer],$D$9,0)*MATCH(orderHistory[status],$D$11,0)*MATCH(orderHistory[order_type],$D$13,0)),MATCH(ROW(orderHistory[customer]),ROW(orderHistory[customer])),""),ROWS($A$15:A25)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M20" s="453" t="str">
        <f t="array" ref="M20">IFERROR(IF($D$9="",IF($D$11="",IF($D$13="",IF($D$15="",INDEX(orderHistory[order_no],SMALL(MATCH(ROW(orderHistory[customer]),ROW(orderHistory[customer])),ROWS($A$15:A25)+$B$3)),INDEX(orderHistory[order_no],SMALL(IF(ISNUMBER(MATCH(YEAR(orderHistory[invoice_date]),$D$15,0)),MATCH(ROW(orderHistory[customer]),ROW(orderHistory[customer])),""),ROWS($A$15:A25)+$B$3))),IF($D$15="",INDEX(orderHistory[order_no],SMALL(IF(ISNUMBER(MATCH(orderHistory[order_type],$D$13,0)),MATCH(ROW(orderHistory[customer]),ROW(orderHistory[customer])),""),ROWS($A$15:A25)+$B$3)),INDEX(orderHistory[order_no],SMALL(IF(ISNUMBER(MATCH(orderHistory[order_type],$D$13,0)*MATCH(YEAR(orderHistory[invoice_date]),$D$15,0)),MATCH(ROW(orderHistory[customer]),ROW(orderHistory[customer])),""),ROWS($A$15:A25)+$B$3)))),IF($D$13="",IF($D$15="",INDEX(orderHistory[order_no],SMALL(IF(ISNUMBER(MATCH(orderHistory[status],$D$11,0)),MATCH(ROW(orderHistory[customer]),ROW(orderHistory[customer])),""),ROWS($A$15:A25)+$B$3)),INDEX(orderHistory[order_no],SMALL(IF(ISNUMBER(MATCH(orderHistory[status],$D$11,0)*MATCH(YEAR(orderHistory[invoice_date]),$D$15,0)),MATCH(ROW(orderHistory[customer]),ROW(orderHistory[customer])),""),ROWS($A$15:A25)+$B$3))),IF($D$15="",INDEX(orderHistory[order_no],SMALL(IF(ISNUMBER(MATCH(orderHistory[status],$D$11,0)*MATCH(orderHistory[order_type],$D$13,0)),MATCH(ROW(orderHistory[customer]),ROW(orderHistory[customer])),""),ROWS($A$15:A25)+$B$3)),INDEX(orderHistory[order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no],SMALL(IF(ISNUMBER(MATCH(orderHistory[customer],$D$9,0)),MATCH(ROW(orderHistory[customer]),ROW(orderHistory[customer])),""),ROWS($A$15:A25)+$B$3)),INDEX(orderHistory[order_no],SMALL(IF(ISNUMBER(MATCH(orderHistory[customer],$D$9,0)*MATCH(YEAR(orderHistory[invoice_date]),$D$15,0)),MATCH(ROW(orderHistory[customer]),ROW(orderHistory[customer])),""),ROWS($A$15:A25)+$B$3))),IF($D$15="",INDEX(orderHistory[order_no],SMALL(IF(ISNUMBER(MATCH(orderHistory[customer],$D$9,0)*MATCH(orderHistory[order_type],$D$13,0)),MATCH(ROW(orderHistory[customer]),ROW(orderHistory[customer])),""),ROWS($A$15:A25)+$B$3)),INDEX(orderHistory[order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YEAR(orderHistory[invoice_date]),$D$15,0)),MATCH(ROW(orderHistory[customer]),ROW(orderHistory[customer])),""),ROWS($A$15:A25)+$B$3))),IF($D$15="",INDEX(orderHistory[order_no],SMALL(IF(ISNUMBER(MATCH(orderHistory[customer],$D$9,0)*MATCH(orderHistory[status],$D$11,0)*MATCH(orderHistory[order_type],$D$13,0)),MATCH(ROW(orderHistory[customer]),ROW(orderHistory[customer])),""),ROWS($A$15:A25)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N20" s="454" t="str">
        <f t="array" ref="N20">IFERROR(IF($D$9="",IF($D$11="",IF($D$13="",IF($D$15="",INDEX(orderHistory[order_type],SMALL(MATCH(ROW(orderHistory[customer]),ROW(orderHistory[customer])),ROWS($A$15:A25)+$B$3)),INDEX(orderHistory[order_type],SMALL(IF(ISNUMBER(MATCH(YEAR(orderHistory[invoice_date]),$D$15,0)),MATCH(ROW(orderHistory[customer]),ROW(orderHistory[customer])),""),ROWS($A$15:A25)+$B$3))),IF($D$15="",INDEX(orderHistory[order_type],SMALL(IF(ISNUMBER(MATCH(orderHistory[order_type],$D$13,0)),MATCH(ROW(orderHistory[customer]),ROW(orderHistory[customer])),""),ROWS($A$15:A25)+$B$3)),INDEX(orderHistory[order_type],SMALL(IF(ISNUMBER(MATCH(orderHistory[order_type],$D$13,0)*MATCH(YEAR(orderHistory[invoice_date]),$D$15,0)),MATCH(ROW(orderHistory[customer]),ROW(orderHistory[customer])),""),ROWS($A$15:A25)+$B$3)))),IF($D$13="",IF($D$15="",INDEX(orderHistory[order_type],SMALL(IF(ISNUMBER(MATCH(orderHistory[status],$D$11,0)),MATCH(ROW(orderHistory[customer]),ROW(orderHistory[customer])),""),ROWS($A$15:A25)+$B$3)),INDEX(orderHistory[order_type],SMALL(IF(ISNUMBER(MATCH(orderHistory[status],$D$11,0)*MATCH(YEAR(orderHistory[invoice_date]),$D$15,0)),MATCH(ROW(orderHistory[customer]),ROW(orderHistory[customer])),""),ROWS($A$15:A25)+$B$3))),IF($D$15="",INDEX(orderHistory[order_type],SMALL(IF(ISNUMBER(MATCH(orderHistory[status],$D$11,0)*MATCH(orderHistory[order_type],$D$13,0)),MATCH(ROW(orderHistory[customer]),ROW(orderHistory[customer])),""),ROWS($A$15:A25)+$B$3)),INDEX(orderHistory[order_typ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type],SMALL(IF(ISNUMBER(MATCH(orderHistory[customer],$D$9,0)),MATCH(ROW(orderHistory[customer]),ROW(orderHistory[customer])),""),ROWS($A$15:A25)+$B$3)),INDEX(orderHistory[order_type],SMALL(IF(ISNUMBER(MATCH(orderHistory[customer],$D$9,0)*MATCH(YEAR(orderHistory[invoice_date]),$D$15,0)),MATCH(ROW(orderHistory[customer]),ROW(orderHistory[customer])),""),ROWS($A$15:A25)+$B$3))),IF($D$15="",INDEX(orderHistory[order_type],SMALL(IF(ISNUMBER(MATCH(orderHistory[customer],$D$9,0)*MATCH(orderHistory[order_type],$D$13,0)),MATCH(ROW(orderHistory[customer]),ROW(orderHistory[customer])),""),ROWS($A$15:A25)+$B$3)),INDEX(orderHistory[order_typ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YEAR(orderHistory[invoice_date]),$D$15,0)),MATCH(ROW(orderHistory[customer]),ROW(orderHistory[customer])),""),ROWS($A$15:A25)+$B$3))),IF($D$15="",INDEX(orderHistory[order_type],SMALL(IF(ISNUMBER(MATCH(orderHistory[customer],$D$9,0)*MATCH(orderHistory[status],$D$11,0)*MATCH(orderHistory[order_type],$D$13,0)),MATCH(ROW(orderHistory[customer]),ROW(orderHistory[customer])),""),ROWS($A$15:A25)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O20" s="455" t="str">
        <f t="array" ref="O20">IFERROR(IF($D$9="",IF($D$11="",IF($D$13="",IF($D$15="",INDEX(orderHistory[order_date],SMALL(MATCH(ROW(orderHistory[customer]),ROW(orderHistory[customer])),ROWS($A$15:A25)+$B$3)),INDEX(orderHistory[order_date],SMALL(IF(ISNUMBER(MATCH(YEAR(orderHistory[invoice_date]),$D$15,0)),MATCH(ROW(orderHistory[customer]),ROW(orderHistory[customer])),""),ROWS($A$15:A25)+$B$3))),IF($D$15="",INDEX(orderHistory[order_date],SMALL(IF(ISNUMBER(MATCH(orderHistory[order_type],$D$13,0)),MATCH(ROW(orderHistory[customer]),ROW(orderHistory[customer])),""),ROWS($A$15:A25)+$B$3)),INDEX(orderHistory[order_date],SMALL(IF(ISNUMBER(MATCH(orderHistory[order_type],$D$13,0)*MATCH(YEAR(orderHistory[invoice_date]),$D$15,0)),MATCH(ROW(orderHistory[customer]),ROW(orderHistory[customer])),""),ROWS($A$15:A25)+$B$3)))),IF($D$13="",IF($D$15="",INDEX(orderHistory[order_date],SMALL(IF(ISNUMBER(MATCH(orderHistory[status],$D$11,0)),MATCH(ROW(orderHistory[customer]),ROW(orderHistory[customer])),""),ROWS($A$15:A25)+$B$3)),INDEX(orderHistory[order_date],SMALL(IF(ISNUMBER(MATCH(orderHistory[status],$D$11,0)*MATCH(YEAR(orderHistory[invoice_date]),$D$15,0)),MATCH(ROW(orderHistory[customer]),ROW(orderHistory[customer])),""),ROWS($A$15:A25)+$B$3))),IF($D$15="",INDEX(orderHistory[order_date],SMALL(IF(ISNUMBER(MATCH(orderHistory[status],$D$11,0)*MATCH(orderHistory[order_type],$D$13,0)),MATCH(ROW(orderHistory[customer]),ROW(orderHistory[customer])),""),ROWS($A$15:A25)+$B$3)),INDEX(orderHistory[order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date],SMALL(IF(ISNUMBER(MATCH(orderHistory[customer],$D$9,0)),MATCH(ROW(orderHistory[customer]),ROW(orderHistory[customer])),""),ROWS($A$15:A25)+$B$3)),INDEX(orderHistory[order_date],SMALL(IF(ISNUMBER(MATCH(orderHistory[customer],$D$9,0)*MATCH(YEAR(orderHistory[invoice_date]),$D$15,0)),MATCH(ROW(orderHistory[customer]),ROW(orderHistory[customer])),""),ROWS($A$15:A25)+$B$3))),IF($D$15="",INDEX(orderHistory[order_date],SMALL(IF(ISNUMBER(MATCH(orderHistory[customer],$D$9,0)*MATCH(orderHistory[order_type],$D$13,0)),MATCH(ROW(orderHistory[customer]),ROW(orderHistory[customer])),""),ROWS($A$15:A25)+$B$3)),INDEX(orderHistory[order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YEAR(orderHistory[invoice_date]),$D$15,0)),MATCH(ROW(orderHistory[customer]),ROW(orderHistory[customer])),""),ROWS($A$15:A25)+$B$3))),IF($D$15="",INDEX(orderHistory[order_date],SMALL(IF(ISNUMBER(MATCH(orderHistory[customer],$D$9,0)*MATCH(orderHistory[status],$D$11,0)*MATCH(orderHistory[order_type],$D$13,0)),MATCH(ROW(orderHistory[customer]),ROW(orderHistory[customer])),""),ROWS($A$15:A25)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P20" s="456" t="str">
        <f t="array" ref="P20">IFERROR(IF($D$9="",IF($D$11="",IF($D$13="",IF($D$15="",INDEX(orderHistory[invoice_no],SMALL(MATCH(ROW(orderHistory[customer]),ROW(orderHistory[customer])),ROWS($A$15:A25)+$B$3)),INDEX(orderHistory[invoice_no],SMALL(IF(ISNUMBER(MATCH(YEAR(orderHistory[invoice_date]),$D$15,0)),MATCH(ROW(orderHistory[customer]),ROW(orderHistory[customer])),""),ROWS($A$15:A25)+$B$3))),IF($D$15="",INDEX(orderHistory[invoice_no],SMALL(IF(ISNUMBER(MATCH(orderHistory[order_type],$D$13,0)),MATCH(ROW(orderHistory[customer]),ROW(orderHistory[customer])),""),ROWS($A$15:A25)+$B$3)),INDEX(orderHistory[invoice_no],SMALL(IF(ISNUMBER(MATCH(orderHistory[order_type],$D$13,0)*MATCH(YEAR(orderHistory[invoice_date]),$D$15,0)),MATCH(ROW(orderHistory[customer]),ROW(orderHistory[customer])),""),ROWS($A$15:A25)+$B$3)))),IF($D$13="",IF($D$15="",INDEX(orderHistory[invoice_no],SMALL(IF(ISNUMBER(MATCH(orderHistory[status],$D$11,0)),MATCH(ROW(orderHistory[customer]),ROW(orderHistory[customer])),""),ROWS($A$15:A25)+$B$3)),INDEX(orderHistory[invoice_no],SMALL(IF(ISNUMBER(MATCH(orderHistory[status],$D$11,0)*MATCH(YEAR(orderHistory[invoice_date]),$D$15,0)),MATCH(ROW(orderHistory[customer]),ROW(orderHistory[customer])),""),ROWS($A$15:A25)+$B$3))),IF($D$15="",INDEX(orderHistory[invoice_no],SMALL(IF(ISNUMBER(MATCH(orderHistory[status],$D$11,0)*MATCH(orderHistory[order_type],$D$13,0)),MATCH(ROW(orderHistory[customer]),ROW(orderHistory[customer])),""),ROWS($A$15:A25)+$B$3)),INDEX(orderHistory[invoice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no],SMALL(IF(ISNUMBER(MATCH(orderHistory[customer],$D$9,0)),MATCH(ROW(orderHistory[customer]),ROW(orderHistory[customer])),""),ROWS($A$15:A25)+$B$3)),INDEX(orderHistory[invoice_no],SMALL(IF(ISNUMBER(MATCH(orderHistory[customer],$D$9,0)*MATCH(YEAR(orderHistory[invoice_date]),$D$15,0)),MATCH(ROW(orderHistory[customer]),ROW(orderHistory[customer])),""),ROWS($A$15:A25)+$B$3))),IF($D$15="",INDEX(orderHistory[invoice_no],SMALL(IF(ISNUMBER(MATCH(orderHistory[customer],$D$9,0)*MATCH(orderHistory[order_type],$D$13,0)),MATCH(ROW(orderHistory[customer]),ROW(orderHistory[customer])),""),ROWS($A$15:A25)+$B$3)),INDEX(orderHistory[invoice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YEAR(orderHistory[invoice_date]),$D$15,0)),MATCH(ROW(orderHistory[customer]),ROW(orderHistory[customer])),""),ROWS($A$15:A25)+$B$3))),IF($D$15="",INDEX(orderHistory[invoice_no],SMALL(IF(ISNUMBER(MATCH(orderHistory[customer],$D$9,0)*MATCH(orderHistory[status],$D$11,0)*MATCH(orderHistory[order_type],$D$13,0)),MATCH(ROW(orderHistory[customer]),ROW(orderHistory[customer])),""),ROWS($A$15:A25)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Q20" s="457" t="str">
        <f t="array" ref="Q20">IFERROR(IF($D$9="",IF($D$11="",IF($D$13="",IF($D$15="",INDEX(orderHistory[invoice_date],SMALL(MATCH(ROW(orderHistory[customer]),ROW(orderHistory[customer])),ROWS($A$15:A25)+$B$3)),INDEX(orderHistory[invoice_date],SMALL(IF(ISNUMBER(MATCH(YEAR(orderHistory[invoice_date]),$D$15,0)),MATCH(ROW(orderHistory[customer]),ROW(orderHistory[customer])),""),ROWS($A$15:A25)+$B$3))),IF($D$15="",INDEX(orderHistory[invoice_date],SMALL(IF(ISNUMBER(MATCH(orderHistory[order_type],$D$13,0)),MATCH(ROW(orderHistory[customer]),ROW(orderHistory[customer])),""),ROWS($A$15:A25)+$B$3)),INDEX(orderHistory[invoice_date],SMALL(IF(ISNUMBER(MATCH(orderHistory[order_type],$D$13,0)*MATCH(YEAR(orderHistory[invoice_date]),$D$15,0)),MATCH(ROW(orderHistory[customer]),ROW(orderHistory[customer])),""),ROWS($A$15:A25)+$B$3)))),IF($D$13="",IF($D$15="",INDEX(orderHistory[invoice_date],SMALL(IF(ISNUMBER(MATCH(orderHistory[status],$D$11,0)),MATCH(ROW(orderHistory[customer]),ROW(orderHistory[customer])),""),ROWS($A$15:A25)+$B$3)),INDEX(orderHistory[invoice_date],SMALL(IF(ISNUMBER(MATCH(orderHistory[status],$D$11,0)*MATCH(YEAR(orderHistory[invoice_date]),$D$15,0)),MATCH(ROW(orderHistory[customer]),ROW(orderHistory[customer])),""),ROWS($A$15:A25)+$B$3))),IF($D$15="",INDEX(orderHistory[invoice_date],SMALL(IF(ISNUMBER(MATCH(orderHistory[status],$D$11,0)*MATCH(orderHistory[order_type],$D$13,0)),MATCH(ROW(orderHistory[customer]),ROW(orderHistory[customer])),""),ROWS($A$15:A25)+$B$3)),INDEX(orderHistory[invoice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date],SMALL(IF(ISNUMBER(MATCH(orderHistory[customer],$D$9,0)),MATCH(ROW(orderHistory[customer]),ROW(orderHistory[customer])),""),ROWS($A$15:A25)+$B$3)),INDEX(orderHistory[invoice_date],SMALL(IF(ISNUMBER(MATCH(orderHistory[customer],$D$9,0)*MATCH(YEAR(orderHistory[invoice_date]),$D$15,0)),MATCH(ROW(orderHistory[customer]),ROW(orderHistory[customer])),""),ROWS($A$15:A25)+$B$3))),IF($D$15="",INDEX(orderHistory[invoice_date],SMALL(IF(ISNUMBER(MATCH(orderHistory[customer],$D$9,0)*MATCH(orderHistory[order_type],$D$13,0)),MATCH(ROW(orderHistory[customer]),ROW(orderHistory[customer])),""),ROWS($A$15:A25)+$B$3)),INDEX(orderHistory[invoice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YEAR(orderHistory[invoice_date]),$D$15,0)),MATCH(ROW(orderHistory[customer]),ROW(orderHistory[customer])),""),ROWS($A$15:A25)+$B$3))),IF($D$15="",INDEX(orderHistory[invoice_date],SMALL(IF(ISNUMBER(MATCH(orderHistory[customer],$D$9,0)*MATCH(orderHistory[status],$D$11,0)*MATCH(orderHistory[order_type],$D$13,0)),MATCH(ROW(orderHistory[customer]),ROW(orderHistory[customer])),""),ROWS($A$15:A25)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R20" s="458" t="str">
        <f t="array" ref="R20">IFERROR(IF($D$9="",IF($D$11="",IF($D$13="",IF($D$15="",INDEX(orderHistory[inv_amount],SMALL(MATCH(ROW(orderHistory[customer]),ROW(orderHistory[customer])),ROWS($A$15:A25)+$B$3)),INDEX(orderHistory[inv_amount],SMALL(IF(ISNUMBER(MATCH(YEAR(orderHistory[invoice_date]),$D$15,0)),MATCH(ROW(orderHistory[customer]),ROW(orderHistory[customer])),""),ROWS($A$15:A25)+$B$3))),IF($D$15="",INDEX(orderHistory[inv_amount],SMALL(IF(ISNUMBER(MATCH(orderHistory[order_type],$D$13,0)),MATCH(ROW(orderHistory[customer]),ROW(orderHistory[customer])),""),ROWS($A$15:A25)+$B$3)),INDEX(orderHistory[inv_amount],SMALL(IF(ISNUMBER(MATCH(orderHistory[order_type],$D$13,0)*MATCH(YEAR(orderHistory[invoice_date]),$D$15,0)),MATCH(ROW(orderHistory[customer]),ROW(orderHistory[customer])),""),ROWS($A$15:A25)+$B$3)))),IF($D$13="",IF($D$15="",INDEX(orderHistory[inv_amount],SMALL(IF(ISNUMBER(MATCH(orderHistory[status],$D$11,0)),MATCH(ROW(orderHistory[customer]),ROW(orderHistory[customer])),""),ROWS($A$15:A25)+$B$3)),INDEX(orderHistory[inv_amount],SMALL(IF(ISNUMBER(MATCH(orderHistory[status],$D$11,0)*MATCH(YEAR(orderHistory[invoice_date]),$D$15,0)),MATCH(ROW(orderHistory[customer]),ROW(orderHistory[customer])),""),ROWS($A$15:A25)+$B$3))),IF($D$15="",INDEX(orderHistory[inv_amount],SMALL(IF(ISNUMBER(MATCH(orderHistory[status],$D$11,0)*MATCH(orderHistory[order_type],$D$13,0)),MATCH(ROW(orderHistory[customer]),ROW(orderHistory[customer])),""),ROWS($A$15:A25)+$B$3)),INDEX(orderHistory[inv_amount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_amount],SMALL(IF(ISNUMBER(MATCH(orderHistory[customer],$D$9,0)),MATCH(ROW(orderHistory[customer]),ROW(orderHistory[customer])),""),ROWS($A$15:A25)+$B$3)),INDEX(orderHistory[inv_amount],SMALL(IF(ISNUMBER(MATCH(orderHistory[customer],$D$9,0)*MATCH(YEAR(orderHistory[invoice_date]),$D$15,0)),MATCH(ROW(orderHistory[customer]),ROW(orderHistory[customer])),""),ROWS($A$15:A25)+$B$3))),IF($D$15="",INDEX(orderHistory[inv_amount],SMALL(IF(ISNUMBER(MATCH(orderHistory[customer],$D$9,0)*MATCH(orderHistory[order_type],$D$13,0)),MATCH(ROW(orderHistory[customer]),ROW(orderHistory[customer])),""),ROWS($A$15:A25)+$B$3)),INDEX(orderHistory[inv_amount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YEAR(orderHistory[inv_amount]),$D$15,0)),MATCH(ROW(orderHistory[customer]),ROW(orderHistory[customer])),""),ROWS($A$15:A25)+$B$3))),IF($D$15="",INDEX(orderHistory[inv_amount],SMALL(IF(ISNUMBER(MATCH(orderHistory[customer],$D$9,0)*MATCH(orderHistory[status],$D$11,0)*MATCH(orderHistory[order_type],$D$13,0)),MATCH(ROW(orderHistory[customer]),ROW(orderHistory[customer])),""),ROWS($A$15:A25)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S20" s="569" t="str">
        <f t="array" ref="S20">IFERROR(IF($D$9="",IF($D$11="",IF($D$13="",IF($D$15="",INDEX(orderHistory[lock_goods],SMALL(MATCH(ROW(orderHistory[customer]),ROW(orderHistory[customer])),ROWS($A$15:A25)+$B$3)),INDEX(orderHistory[lock_goods],SMALL(IF(ISNUMBER(MATCH(YEAR(orderHistory[invoice_date]),$D$15,0)),MATCH(ROW(orderHistory[customer]),ROW(orderHistory[customer])),""),ROWS($A$15:A25)+$B$3))),IF($D$15="",INDEX(orderHistory[lock_goods],SMALL(IF(ISNUMBER(MATCH(orderHistory[order_type],$D$13,0)),MATCH(ROW(orderHistory[customer]),ROW(orderHistory[customer])),""),ROWS($A$15:A25)+$B$3)),INDEX(orderHistory[lock_goods],SMALL(IF(ISNUMBER(MATCH(orderHistory[order_type],$D$13,0)*MATCH(YEAR(orderHistory[invoice_date]),$D$15,0)),MATCH(ROW(orderHistory[customer]),ROW(orderHistory[customer])),""),ROWS($A$15:A25)+$B$3)))),IF($D$13="",IF($D$15="",INDEX(orderHistory[lock_goods],SMALL(IF(ISNUMBER(MATCH(orderHistory[status],$D$11,0)),MATCH(ROW(orderHistory[customer]),ROW(orderHistory[customer])),""),ROWS($A$15:A25)+$B$3)),INDEX(orderHistory[lock_goods],SMALL(IF(ISNUMBER(MATCH(orderHistory[status],$D$11,0)*MATCH(YEAR(orderHistory[invoice_date]),$D$15,0)),MATCH(ROW(orderHistory[customer]),ROW(orderHistory[customer])),""),ROWS($A$15:A25)+$B$3))),IF($D$15="",INDEX(orderHistory[lock_goods],SMALL(IF(ISNUMBER(MATCH(orderHistory[status],$D$11,0)*MATCH(orderHistory[order_type],$D$13,0)),MATCH(ROW(orderHistory[customer]),ROW(orderHistory[customer])),""),ROWS($A$15:A25)+$B$3)),INDEX(orderHistory[lock_good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lock_goods],SMALL(IF(ISNUMBER(MATCH(orderHistory[customer],$D$9,0)),MATCH(ROW(orderHistory[customer]),ROW(orderHistory[customer])),""),ROWS($A$15:A25)+$B$3)),INDEX(orderHistory[lock_goods],SMALL(IF(ISNUMBER(MATCH(orderHistory[customer],$D$9,0)*MATCH(YEAR(orderHistory[invoice_date]),$D$15,0)),MATCH(ROW(orderHistory[customer]),ROW(orderHistory[customer])),""),ROWS($A$15:A25)+$B$3))),IF($D$15="",INDEX(orderHistory[lock_goods],SMALL(IF(ISNUMBER(MATCH(orderHistory[customer],$D$9,0)*MATCH(orderHistory[order_type],$D$13,0)),MATCH(ROW(orderHistory[customer]),ROW(orderHistory[customer])),""),ROWS($A$15:A25)+$B$3)),INDEX(orderHistory[lock_good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lock_goods],SMALL(IF(ISNUMBER(MATCH(orderHistory[customer],$D$9,0)*MATCH(orderHistory[status],$D$11,0)),MATCH(ROW(orderHistory[customer]),ROW(orderHistory[customer])),""),ROWS($A$15:A25)+$B$3)),INDEX(orderHistory[lock_goods],SMALL(IF(ISNUMBER(MATCH(orderHistory[customer],$D$9,0)*MATCH(orderHistory[status],$D$11,0)*MATCH(YEAR(orderHistory[payed]),$D$15,0)),MATCH(ROW(orderHistory[customer]),ROW(orderHistory[customer])),""),ROWS($A$15:A25)+$B$3))),IF($D$15="",INDEX(orderHistory[lock_goods],SMALL(IF(ISNUMBER(MATCH(orderHistory[customer],$D$9,0)*MATCH(orderHistory[status],$D$11,0)*MATCH(orderHistory[order_type],$D$13,0)),MATCH(ROW(orderHistory[customer]),ROW(orderHistory[customer])),""),ROWS($A$15:A25)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T20" s="459" t="str">
        <f t="array" ref="T20">IFERROR(IF($D$9="",IF($D$11="",IF($D$13="",IF($D$15="",INDEX(orderHistory[payed],SMALL(MATCH(ROW(orderHistory[customer]),ROW(orderHistory[customer])),ROWS($A$15:A25)+$B$3)),INDEX(orderHistory[payed],SMALL(IF(ISNUMBER(MATCH(YEAR(orderHistory[invoice_date]),$D$15,0)),MATCH(ROW(orderHistory[customer]),ROW(orderHistory[customer])),""),ROWS($A$15:A25)+$B$3))),IF($D$15="",INDEX(orderHistory[payed],SMALL(IF(ISNUMBER(MATCH(orderHistory[order_type],$D$13,0)),MATCH(ROW(orderHistory[customer]),ROW(orderHistory[customer])),""),ROWS($A$15:A25)+$B$3)),INDEX(orderHistory[payed],SMALL(IF(ISNUMBER(MATCH(orderHistory[order_type],$D$13,0)*MATCH(YEAR(orderHistory[invoice_date]),$D$15,0)),MATCH(ROW(orderHistory[customer]),ROW(orderHistory[customer])),""),ROWS($A$15:A25)+$B$3)))),IF($D$13="",IF($D$15="",INDEX(orderHistory[payed],SMALL(IF(ISNUMBER(MATCH(orderHistory[status],$D$11,0)),MATCH(ROW(orderHistory[customer]),ROW(orderHistory[customer])),""),ROWS($A$15:A25)+$B$3)),INDEX(orderHistory[payed],SMALL(IF(ISNUMBER(MATCH(orderHistory[status],$D$11,0)*MATCH(YEAR(orderHistory[invoice_date]),$D$15,0)),MATCH(ROW(orderHistory[customer]),ROW(orderHistory[customer])),""),ROWS($A$15:A25)+$B$3))),IF($D$15="",INDEX(orderHistory[payed],SMALL(IF(ISNUMBER(MATCH(orderHistory[status],$D$11,0)*MATCH(orderHistory[order_type],$D$13,0)),MATCH(ROW(orderHistory[customer]),ROW(orderHistory[customer])),""),ROWS($A$15:A25)+$B$3)),INDEX(orderHistory[paye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payed],SMALL(IF(ISNUMBER(MATCH(orderHistory[customer],$D$9,0)),MATCH(ROW(orderHistory[customer]),ROW(orderHistory[customer])),""),ROWS($A$15:A25)+$B$3)),INDEX(orderHistory[payed],SMALL(IF(ISNUMBER(MATCH(orderHistory[customer],$D$9,0)*MATCH(YEAR(orderHistory[invoice_date]),$D$15,0)),MATCH(ROW(orderHistory[customer]),ROW(orderHistory[customer])),""),ROWS($A$15:A25)+$B$3))),IF($D$15="",INDEX(orderHistory[payed],SMALL(IF(ISNUMBER(MATCH(orderHistory[customer],$D$9,0)*MATCH(orderHistory[order_type],$D$13,0)),MATCH(ROW(orderHistory[customer]),ROW(orderHistory[customer])),""),ROWS($A$15:A25)+$B$3)),INDEX(orderHistory[paye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YEAR(orderHistory[payed]),$D$15,0)),MATCH(ROW(orderHistory[customer]),ROW(orderHistory[customer])),""),ROWS($A$15:A25)+$B$3))),IF($D$15="",INDEX(orderHistory[payed],SMALL(IF(ISNUMBER(MATCH(orderHistory[customer],$D$9,0)*MATCH(orderHistory[status],$D$11,0)*MATCH(orderHistory[order_type],$D$13,0)),MATCH(ROW(orderHistory[customer]),ROW(orderHistory[customer])),""),ROWS($A$15:A25)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U20" s="454" t="str">
        <f t="array" ref="U20">IFERROR(IF($D$9="",IF($D$11="",IF($D$13="",IF($D$15="",INDEX(orderHistory[shipping_method],SMALL(MATCH(ROW(orderHistory[customer]),ROW(orderHistory[customer])),ROWS($A$15:A25)+$B$3)),INDEX(orderHistory[shipping_method],SMALL(IF(ISNUMBER(MATCH(YEAR(orderHistory[invoice_date]),$D$15,0)),MATCH(ROW(orderHistory[customer]),ROW(orderHistory[customer])),""),ROWS($A$15:A25)+$B$3))),IF($D$15="",INDEX(orderHistory[shipping_method],SMALL(IF(ISNUMBER(MATCH(orderHistory[order_type],$D$13,0)),MATCH(ROW(orderHistory[customer]),ROW(orderHistory[customer])),""),ROWS($A$15:A25)+$B$3)),INDEX(orderHistory[shipping_method],SMALL(IF(ISNUMBER(MATCH(orderHistory[order_type],$D$13,0)*MATCH(YEAR(orderHistory[invoice_date]),$D$15,0)),MATCH(ROW(orderHistory[customer]),ROW(orderHistory[customer])),""),ROWS($A$15:A25)+$B$3)))),IF($D$13="",IF($D$15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YEAR(orderHistory[invoice_date]),$D$15,0)),MATCH(ROW(orderHistory[customer]),ROW(orderHistory[customer])),""),ROWS($A$15:A25)+$B$3))),IF($D$15="",INDEX(orderHistory[shipping_method],SMALL(IF(ISNUMBER(MATCH(orderHistory[status],$D$11,0)*MATCH(orderHistory[order_type],$D$13,0)),MATCH(ROW(orderHistory[customer]),ROW(orderHistory[customer])),""),ROWS($A$15:A25)+$B$3)),INDEX(orderHistory[shipping_metho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YEAR(orderHistory[invoice_date]),$D$15,0)),MATCH(ROW(orderHistory[customer]),ROW(orderHistory[customer])),""),ROWS($A$15:A25)+$B$3))),IF($D$15="",INDEX(orderHistory[shipping_method],SMALL(IF(ISNUMBER(MATCH(orderHistory[customer],$D$9,0)*MATCH(orderHistory[order_type],$D$13,0)),MATCH(ROW(orderHistory[customer]),ROW(orderHistory[customer])),""),ROWS($A$15:A25)+$B$3)),INDEX(orderHistory[shipping_metho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YEAR(orderHistory[shipping_method]),$D$15,0)),MATCH(ROW(orderHistory[customer]),ROW(orderHistory[customer])),""),ROWS($A$15:A25)+$B$3))),IF($D$15="",INDEX(orderHistory[shipping_method],SMALL(IF(ISNUMBER(MATCH(orderHistory[customer],$D$9,0)*MATCH(orderHistory[status],$D$11,0)*MATCH(orderHistory[order_type],$D$13,0)),MATCH(ROW(orderHistory[customer]),ROW(orderHistory[customer])),""),ROWS($A$15:A25)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V20" s="460" t="str">
        <f t="array" ref="V20">IFERROR(IF($D$9="",IF($D$11="",IF($D$13="",IF($D$15="",INDEX(orderHistory[status],SMALL(MATCH(ROW(orderHistory[customer]),ROW(orderHistory[customer])),ROWS($A$15:A25)+$B$3)),INDEX(orderHistory[status],SMALL(IF(ISNUMBER(MATCH(YEAR(orderHistory[invoice_date]),$D$15,0)),MATCH(ROW(orderHistory[customer]),ROW(orderHistory[customer])),""),ROWS($A$15:A25)+$B$3))),IF($D$15="",INDEX(orderHistory[status],SMALL(IF(ISNUMBER(MATCH(orderHistory[order_type],$D$13,0)),MATCH(ROW(orderHistory[customer]),ROW(orderHistory[customer])),""),ROWS($A$15:A25)+$B$3)),INDEX(orderHistory[status],SMALL(IF(ISNUMBER(MATCH(orderHistory[order_type],$D$13,0)*MATCH(YEAR(orderHistory[invoice_date]),$D$15,0)),MATCH(ROW(orderHistory[customer]),ROW(orderHistory[customer])),""),ROWS($A$15:A25)+$B$3)))),IF($D$13="",IF($D$15="",INDEX(orderHistory[status],SMALL(IF(ISNUMBER(MATCH(orderHistory[status],$D$11,0)),MATCH(ROW(orderHistory[customer]),ROW(orderHistory[customer])),""),ROWS($A$15:A25)+$B$3)),INDEX(orderHistory[status],SMALL(IF(ISNUMBER(MATCH(orderHistory[status],$D$11,0)*MATCH(YEAR(orderHistory[invoice_date]),$D$15,0)),MATCH(ROW(orderHistory[customer]),ROW(orderHistory[customer])),""),ROWS($A$15:A25)+$B$3))),IF($D$15="",INDEX(orderHistory[status],SMALL(IF(ISNUMBER(MATCH(orderHistory[status],$D$11,0)*MATCH(orderHistory[order_type],$D$13,0)),MATCH(ROW(orderHistory[customer]),ROW(orderHistory[customer])),""),ROWS($A$15:A25)+$B$3)),INDEX(orderHistory[statu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tatus],SMALL(IF(ISNUMBER(MATCH(orderHistory[customer],$D$9,0)),MATCH(ROW(orderHistory[customer]),ROW(orderHistory[customer])),""),ROWS($A$15:A25)+$B$3)),INDEX(orderHistory[status],SMALL(IF(ISNUMBER(MATCH(orderHistory[customer],$D$9,0)*MATCH(YEAR(orderHistory[invoice_date]),$D$15,0)),MATCH(ROW(orderHistory[customer]),ROW(orderHistory[customer])),""),ROWS($A$15:A25)+$B$3))),IF($D$15="",INDEX(orderHistory[status],SMALL(IF(ISNUMBER(MATCH(orderHistory[customer],$D$9,0)*MATCH(orderHistory[order_type],$D$13,0)),MATCH(ROW(orderHistory[customer]),ROW(orderHistory[customer])),""),ROWS($A$15:A25)+$B$3)),INDEX(orderHistory[statu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YEAR(orderHistory[status]),$D$15,0)),MATCH(ROW(orderHistory[customer]),ROW(orderHistory[customer])),""),ROWS($A$15:A25)+$B$3))),IF($D$15="",INDEX(orderHistory[status],SMALL(IF(ISNUMBER(MATCH(orderHistory[customer],$D$9,0)*MATCH(orderHistory[status],$D$11,0)*MATCH(orderHistory[order_type],$D$13,0)),MATCH(ROW(orderHistory[customer]),ROW(orderHistory[customer])),""),ROWS($A$15:A25)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W20" s="75"/>
      <c r="AO20" s="341"/>
      <c r="AQ20" s="378"/>
      <c r="AR20" s="401"/>
      <c r="AS20" s="885"/>
      <c r="AT20" s="883"/>
      <c r="AU20" s="339"/>
      <c r="AW20" s="378"/>
      <c r="BD20" s="813"/>
      <c r="BE20" s="814"/>
      <c r="BF20" s="814"/>
      <c r="BG20" s="814"/>
      <c r="BH20" s="815"/>
      <c r="BJ20" s="339"/>
      <c r="BK20" s="366"/>
      <c r="BL20" s="367"/>
      <c r="BM20" s="368"/>
      <c r="BN20" s="367"/>
      <c r="BO20" s="368"/>
      <c r="BX20" s="434"/>
      <c r="BZ20" s="476"/>
      <c r="CA20" s="477" t="str">
        <f>IF(BZ20="","",INDEX(bhpc_data[description],MATCH(BZ20,bhpc_data[sku],0)))</f>
        <v/>
      </c>
      <c r="CB20" s="478"/>
      <c r="CC20" s="479"/>
      <c r="CD20" s="493"/>
      <c r="CE20" s="481"/>
      <c r="CF20" s="482"/>
      <c r="CG20" s="483" t="str">
        <f>IFERROR(ROUNDUP(CB20/INDEX(bhpc_data[units_per_carton],MATCH(BZ20,bhpc_data[sku],0)),0),"")</f>
        <v/>
      </c>
      <c r="CH20" s="484" t="str">
        <f>IFERROR(ROUNDUP(CD20/INDEX(bhpc_data[units_per_carton],MATCH(BZ20,bhpc_data[sku],0)),0),"")</f>
        <v/>
      </c>
      <c r="CI20" s="484" t="str">
        <f>IFERROR(ROUNDUP(CF20/INDEX(bhpc_data[units_per_carton],MATCH(BZ20,bhpc_data[sku])),0),"")</f>
        <v/>
      </c>
      <c r="CJ20" s="484" t="str">
        <f>IFERROR(((CB20+CD20+CF20)/INDEX(bhpc_data[units_per_carton],MATCH(BZ20,bhpc_data[sku],0)))*INDEX(bhpc_data[net_weight],MATCH(BZ20,bhpc_data[sku],0)),"")</f>
        <v/>
      </c>
      <c r="CK20" s="484" t="str">
        <f>IFERROR(((CB20+CD20+CF20)/INDEX(bhpc_data[units_per_carton],MATCH(BZ20,bhpc_data[sku],0)))*INDEX(bhpc_data[gross_weight],MATCH(BZ20,bhpc_data[sku],0)),"")</f>
        <v/>
      </c>
      <c r="CL20" s="485" t="str">
        <f>IFERROR((CB20+CD20+CF20)/INDEX(bhpc_data[units_per_carton],MATCH(BZ20,bhpc_data[sku],0))*INDEX(bhpc_data[lenght],MATCH(BZ20,bhpc_data[sku],0))*INDEX(bhpc_data[width],MATCH(BZ20,bhpc_data[sku],0))*INDEX(bhpc_data[height],MATCH(BZ20,bhpc_data[sku],0))/1000000000,"")</f>
        <v/>
      </c>
      <c r="CM20" s="486" t="str">
        <f>IFERROR(INDEX(bhpc_data[category],MATCH(BZ20,bhpc_data[sku],0)),"")</f>
        <v/>
      </c>
      <c r="CN20" s="486" t="str">
        <f>IFERROR(INDEX(bhpc_data[size1],MATCH(BZ20,bhpc_data[sku],0)),"")</f>
        <v/>
      </c>
      <c r="CO20" s="487" t="str">
        <f>IFERROR(INDEX(bhpc_data[hs_code],MATCH(BZ20,bhpc_data[sku],0)),"")</f>
        <v/>
      </c>
      <c r="CP20" s="482"/>
      <c r="CQ20" s="488" t="str">
        <f>IFERROR(IF(BZ20="","",IF($BX$15="SALE",INDEX(inventory[COSTO UNITARIO],MATCH(BZ20,inventory[ARTICOLO],0)),IF($BX$15="SAMPLING",INDEX(inventory[COSTO UNITARIO],MATCH(BZ20,inventory[ARTICOLO],0)),""))),"")</f>
        <v/>
      </c>
      <c r="CR20" s="488" t="str">
        <f t="shared" si="0"/>
        <v/>
      </c>
      <c r="CS20" s="489" t="str">
        <f t="shared" si="1"/>
        <v/>
      </c>
      <c r="CT20" s="573" t="str">
        <f t="shared" si="2"/>
        <v/>
      </c>
      <c r="CV20" s="119" t="s">
        <v>600</v>
      </c>
      <c r="CW20" s="406"/>
      <c r="CX20" s="406"/>
      <c r="CY20" s="428"/>
      <c r="CZ20" s="406"/>
      <c r="DA20" s="406"/>
      <c r="DH20" s="245"/>
      <c r="EE20" s="547" t="str" cm="1">
        <f t="array" ref="EE20">IFERROR(IF($EC$9="",IF($EC$11="",IF($EC$13="",INDEX(bhpc_data[sku],SMALL(MATCH(ROW(bhpc_data[sku]),ROW(bhpc_data[sku])),ROWS($A$15:A25)+$B$3)),INDEX(bhpc_data[sku],SMALL(IF(ISNUMBER(MATCH(bhpc_data[size1],$EC$13,0)),MATCH(ROW(bhpc_data[sku]),ROW(bhpc_data[sku])),""),ROWS($A$15:A25)+$B$3))),IF($EC$13="",INDEX(bhpc_data[sku],SMALL(IF(ISNUMBER(MATCH(bhpc_data[sex],$EC$11,0)),MATCH(ROW(bhpc_data[sku]),ROW(bhpc_data[sku])),""),ROWS($A$15:A25)+$B$3)),INDEX(bhpc_data[sku],SMALL(IF(ISNUMBER(MATCH(bhpc_data[sex],$EC$11,0)*MATCH(bhpc_data[size1],$EC$13,0)),MATCH(ROW(bhpc_data[sku]),ROW(bhpc_data[sku])),""),ROWS($A$15:A25)+$B$3)))),IF($EC$11="",IF($EC$13="",INDEX(bhpc_data[sku],SMALL(IF(ISNUMBER(MATCH(bhpc_data[category],$EC$9,0)),MATCH(ROW(bhpc_data[sku]),ROW(bhpc_data[sku])),""),ROWS($A$15:A25)+$B$3)),INDEX(bhpc_data[sku],SMALL(IF(ISNUMBER(MATCH(bhpc_data[category],$EC$9,0)*MATCH(bhpc_data[size1],$EC$13,0)),MATCH(ROW(bhpc_data[sku]),ROW(bhpc_data[sku])),""),ROWS($A$15:A25)+$B$3))),IF($EC$13="",INDEX(bhpc_data[sku],SMALL(IF(ISNUMBER(MATCH(bhpc_data[category],$EC$9,0)*MATCH(bhpc_data[sex],$EC$11,0)),MATCH(ROW(bhpc_data[sku]),ROW(bhpc_data[sku])),""),ROWS($A$15:A25)+$B$3)),INDEX(bhpc_data[sku],SMALL(IF(ISNUMBER(MATCH(bhpc_data[category],$EC$9,0)*MATCH(bhpc_data[sex],$EC$11,0)*MATCH(bhpc_data[size1],$EC$13,0)),MATCH(ROW(bhpc_data[sku]),ROW(bhpc_data[sku])),""),ROWS($A$15:A25)+$B$3))))),"")</f>
        <v>GS5030</v>
      </c>
      <c r="EF20" s="548" t="str" cm="1">
        <f t="array" ref="EF20">IFERROR(IF($EC$9="",IF($EC$11="",IF($EC$13="",INDEX(bhpc_data[description],SMALL(MATCH(ROW(bhpc_data[sku]),ROW(bhpc_data[sku])),ROWS($A$15:A25)+$B$3)),INDEX(bhpc_data[description],SMALL(IF(ISNUMBER(MATCH(bhpc_data[size1],$EC$13,0)),MATCH(ROW(bhpc_data[sku]),ROW(bhpc_data[sku])),""),ROWS($A$15:A25)+$B$3))),IF($EC$13="",INDEX(bhpc_data[description],SMALL(IF(ISNUMBER(MATCH(bhpc_data[sex],$EC$11,0)),MATCH(ROW(bhpc_data[sku]),ROW(bhpc_data[sku])),""),ROWS($A$15:A25)+$B$3)),INDEX(bhpc_data[description],SMALL(IF(ISNUMBER(MATCH(bhpc_data[sex],$EC$11,0)*MATCH(bhpc_data[size1],$EC$13,0)),MATCH(ROW(bhpc_data[sku]),ROW(bhpc_data[sku])),""),ROWS($A$15:A25)+$B$3)))),IF($EC$11="",IF($EC$13="",INDEX(bhpc_data[description],SMALL(IF(ISNUMBER(MATCH(bhpc_data[category],$EC$9,0)),MATCH(ROW(bhpc_data[sku]),ROW(bhpc_data[sku])),""),ROWS($A$15:A25)+$B$3)),INDEX(bhpc_data[description],SMALL(IF(ISNUMBER(MATCH(bhpc_data[category],$EC$9,0)*MATCH(bhpc_data[size1],$EC$13,0)),MATCH(ROW(bhpc_data[sku]),ROW(bhpc_data[sku])),""),ROWS($A$15:A25)+$B$3))),IF($EC$13="",INDEX(bhpc_data[description],SMALL(IF(ISNUMBER(MATCH(bhpc_data[category],$EC$9,0)*MATCH(bhpc_data[sex],$EC$11,0)),MATCH(ROW(bhpc_data[sku]),ROW(bhpc_data[sku])),""),ROWS($A$15:A25)+$B$3)),INDEX(bhpc_data[description],SMALL(IF(ISNUMBER(MATCH(bhpc_data[category],$EC$9,0)*MATCH(bhpc_data[sex],$EC$11,0)*MATCH(bhpc_data[size1],$EC$13,0)),MATCH(ROW(bhpc_data[sku]),ROW(bhpc_data[sku])),""),ROWS($A$15:A25)+$B$3))))),"")</f>
        <v>BHPC GIFT SET WOMEN 8 EDP 50ML + DEO 150ML</v>
      </c>
      <c r="EG20" s="549">
        <f>IFERROR(IF('BHPC MANAGER'!$EE20="","",INDEX(inventory[ESISTENZA],MATCH('BHPC MANAGER'!$EE20,inventory[ARTICOLO],0))),0)</f>
        <v>497</v>
      </c>
      <c r="EH20" s="550">
        <v>-1772</v>
      </c>
      <c r="EI20" s="550">
        <f t="shared" si="3"/>
        <v>-1275</v>
      </c>
      <c r="EJ20" s="551">
        <v>-72</v>
      </c>
      <c r="EK20" s="552">
        <f t="shared" si="4"/>
        <v>-1347</v>
      </c>
      <c r="FF20" s="331"/>
      <c r="FG20" s="331"/>
      <c r="FH20" s="331"/>
      <c r="FI20" s="331"/>
      <c r="FJ20" s="331"/>
      <c r="FK20" s="331"/>
      <c r="FL20" s="331"/>
      <c r="FM20" s="331"/>
      <c r="FN20" s="331"/>
      <c r="FO20" s="331"/>
      <c r="FP20" s="331"/>
      <c r="FQ20" s="331"/>
      <c r="FR20" s="331"/>
      <c r="FS20" s="331"/>
      <c r="FT20" s="331"/>
      <c r="FU20" s="331"/>
      <c r="FV20" s="331"/>
      <c r="FW20" s="331"/>
      <c r="FX20" s="331"/>
      <c r="FY20" s="331"/>
      <c r="FZ20" s="331"/>
      <c r="GA20" s="331"/>
      <c r="GB20" s="331"/>
      <c r="GC20" s="331"/>
      <c r="GD20" s="331"/>
      <c r="GE20" s="331"/>
      <c r="GF20" s="331"/>
      <c r="GG20" s="331"/>
      <c r="GH20" s="331"/>
      <c r="GI20" s="331"/>
      <c r="GJ20" s="331"/>
      <c r="GK20" s="331"/>
      <c r="GL20" s="331"/>
      <c r="GM20" s="331"/>
      <c r="GN20" s="331"/>
      <c r="GO20" s="331"/>
      <c r="GP20" s="331"/>
      <c r="GQ20" s="331"/>
      <c r="GR20" s="331"/>
      <c r="GS20" s="331"/>
      <c r="GT20" s="331"/>
      <c r="GU20" s="331"/>
      <c r="GV20" s="331"/>
      <c r="GW20" s="331"/>
      <c r="GX20" s="331"/>
      <c r="GY20" s="331"/>
      <c r="GZ20" s="331"/>
      <c r="HA20" s="331"/>
      <c r="HB20" s="331"/>
      <c r="HC20" s="331"/>
      <c r="HD20" s="331"/>
      <c r="HE20" s="331"/>
      <c r="HF20" s="331"/>
      <c r="HG20" s="331"/>
      <c r="HH20" s="331"/>
      <c r="HI20" s="331"/>
      <c r="HJ20" s="331"/>
      <c r="HK20" s="331"/>
      <c r="HL20" s="331"/>
      <c r="HM20" s="331"/>
      <c r="HN20" s="331"/>
      <c r="HO20" s="331"/>
      <c r="HP20" s="331"/>
      <c r="HQ20" s="331"/>
      <c r="HR20" s="331"/>
      <c r="HS20" s="331"/>
      <c r="HT20" s="331"/>
    </row>
    <row r="21" spans="1:228" ht="15" customHeight="1" x14ac:dyDescent="0.35">
      <c r="D21" s="343" t="str">
        <f>IFERROR(IF(VLOOKUP($B$4,orderHistory[],18,FALSE)="PREPARING","",INDEX(orderHistory[invoice_date],MATCH($B$4,orderHistory[order_no],0))),"")</f>
        <v/>
      </c>
      <c r="F21" s="91"/>
      <c r="G21" s="99" t="s">
        <v>601</v>
      </c>
      <c r="H21" s="81"/>
      <c r="I21" s="81"/>
      <c r="J21" s="82"/>
      <c r="L21" s="452" t="str">
        <f t="array" ref="L21">IFERROR(IF($D$9="",IF($D$11="",IF($D$13="",IF($D$15="",INDEX(orderHistory[customer],SMALL(MATCH(ROW(orderHistory[customer]),ROW(orderHistory[customer])),ROWS($A$15:A26)+$B$3)),INDEX(orderHistory[customer],SMALL(IF(ISNUMBER(MATCH(YEAR(orderHistory[invoice_date]),$D$15,0)),MATCH(ROW(orderHistory[customer]),ROW(orderHistory[customer])),""),ROWS($A$15:A26)+$B$3))),IF($D$15="",INDEX(orderHistory[customer],SMALL(IF(ISNUMBER(MATCH(orderHistory[order_type],$D$13,0)),MATCH(ROW(orderHistory[customer]),ROW(orderHistory[customer])),""),ROWS($A$15:A26)+$B$3)),INDEX(orderHistory[customer],SMALL(IF(ISNUMBER(MATCH(orderHistory[order_type],$D$13,0)*MATCH(YEAR(orderHistory[invoice_date]),$D$15,0)),MATCH(ROW(orderHistory[customer]),ROW(orderHistory[customer])),""),ROWS($A$15:A26)+$B$3)))),IF($D$13="",IF($D$15="",INDEX(orderHistory[customer],SMALL(IF(ISNUMBER(MATCH(orderHistory[status],$D$11,0)),MATCH(ROW(orderHistory[customer]),ROW(orderHistory[customer])),""),ROWS($A$15:A26)+$B$3)),INDEX(orderHistory[customer],SMALL(IF(ISNUMBER(MATCH(orderHistory[status],$D$11,0)*MATCH(YEAR(orderHistory[invoice_date]),$D$15,0)),MATCH(ROW(orderHistory[customer]),ROW(orderHistory[customer])),""),ROWS($A$15:A26)+$B$3))),IF($D$15="",INDEX(orderHistory[customer],SMALL(IF(ISNUMBER(MATCH(orderHistory[status],$D$11,0)*MATCH(orderHistory[order_type],$D$13,0)),MATCH(ROW(orderHistory[customer]),ROW(orderHistory[customer])),""),ROWS($A$15:A26)+$B$3)),INDEX(orderHistory[customer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customer],SMALL(IF(ISNUMBER(MATCH(orderHistory[customer],$D$9,0)),MATCH(ROW(orderHistory[customer]),ROW(orderHistory[customer])),""),ROWS($A$15:A26)+$B$3)),INDEX(orderHistory[customer],SMALL(IF(ISNUMBER(MATCH(orderHistory[customer],$D$9,0)*MATCH(YEAR(orderHistory[invoice_date]),$D$15,0)),MATCH(ROW(orderHistory[customer]),ROW(orderHistory[customer])),""),ROWS($A$15:A26)+$B$3))),IF($D$15="",INDEX(orderHistory[customer],SMALL(IF(ISNUMBER(MATCH(orderHistory[customer],$D$9,0)*MATCH(orderHistory[order_type],$D$13,0)),MATCH(ROW(orderHistory[customer]),ROW(orderHistory[customer])),""),ROWS($A$15:A26)+$B$3)),INDEX(orderHistory[customer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YEAR(orderHistory[invoice_date]),$D$15,0)),MATCH(ROW(orderHistory[customer]),ROW(orderHistory[customer])),""),ROWS($A$15:A26)+$B$3))),IF($D$15="",INDEX(orderHistory[customer],SMALL(IF(ISNUMBER(MATCH(orderHistory[customer],$D$9,0)*MATCH(orderHistory[status],$D$11,0)*MATCH(orderHistory[order_type],$D$13,0)),MATCH(ROW(orderHistory[customer]),ROW(orderHistory[customer])),""),ROWS($A$15:A26)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M21" s="453" t="str">
        <f t="array" ref="M21">IFERROR(IF($D$9="",IF($D$11="",IF($D$13="",IF($D$15="",INDEX(orderHistory[order_no],SMALL(MATCH(ROW(orderHistory[customer]),ROW(orderHistory[customer])),ROWS($A$15:A26)+$B$3)),INDEX(orderHistory[order_no],SMALL(IF(ISNUMBER(MATCH(YEAR(orderHistory[invoice_date]),$D$15,0)),MATCH(ROW(orderHistory[customer]),ROW(orderHistory[customer])),""),ROWS($A$15:A26)+$B$3))),IF($D$15="",INDEX(orderHistory[order_no],SMALL(IF(ISNUMBER(MATCH(orderHistory[order_type],$D$13,0)),MATCH(ROW(orderHistory[customer]),ROW(orderHistory[customer])),""),ROWS($A$15:A26)+$B$3)),INDEX(orderHistory[order_no],SMALL(IF(ISNUMBER(MATCH(orderHistory[order_type],$D$13,0)*MATCH(YEAR(orderHistory[invoice_date]),$D$15,0)),MATCH(ROW(orderHistory[customer]),ROW(orderHistory[customer])),""),ROWS($A$15:A26)+$B$3)))),IF($D$13="",IF($D$15="",INDEX(orderHistory[order_no],SMALL(IF(ISNUMBER(MATCH(orderHistory[status],$D$11,0)),MATCH(ROW(orderHistory[customer]),ROW(orderHistory[customer])),""),ROWS($A$15:A26)+$B$3)),INDEX(orderHistory[order_no],SMALL(IF(ISNUMBER(MATCH(orderHistory[status],$D$11,0)*MATCH(YEAR(orderHistory[invoice_date]),$D$15,0)),MATCH(ROW(orderHistory[customer]),ROW(orderHistory[customer])),""),ROWS($A$15:A26)+$B$3))),IF($D$15="",INDEX(orderHistory[order_no],SMALL(IF(ISNUMBER(MATCH(orderHistory[status],$D$11,0)*MATCH(orderHistory[order_type],$D$13,0)),MATCH(ROW(orderHistory[customer]),ROW(orderHistory[customer])),""),ROWS($A$15:A26)+$B$3)),INDEX(orderHistory[order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no],SMALL(IF(ISNUMBER(MATCH(orderHistory[customer],$D$9,0)),MATCH(ROW(orderHistory[customer]),ROW(orderHistory[customer])),""),ROWS($A$15:A26)+$B$3)),INDEX(orderHistory[order_no],SMALL(IF(ISNUMBER(MATCH(orderHistory[customer],$D$9,0)*MATCH(YEAR(orderHistory[invoice_date]),$D$15,0)),MATCH(ROW(orderHistory[customer]),ROW(orderHistory[customer])),""),ROWS($A$15:A26)+$B$3))),IF($D$15="",INDEX(orderHistory[order_no],SMALL(IF(ISNUMBER(MATCH(orderHistory[customer],$D$9,0)*MATCH(orderHistory[order_type],$D$13,0)),MATCH(ROW(orderHistory[customer]),ROW(orderHistory[customer])),""),ROWS($A$15:A26)+$B$3)),INDEX(orderHistory[order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YEAR(orderHistory[invoice_date]),$D$15,0)),MATCH(ROW(orderHistory[customer]),ROW(orderHistory[customer])),""),ROWS($A$15:A26)+$B$3))),IF($D$15="",INDEX(orderHistory[order_no],SMALL(IF(ISNUMBER(MATCH(orderHistory[customer],$D$9,0)*MATCH(orderHistory[status],$D$11,0)*MATCH(orderHistory[order_type],$D$13,0)),MATCH(ROW(orderHistory[customer]),ROW(orderHistory[customer])),""),ROWS($A$15:A26)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N21" s="454" t="str">
        <f t="array" ref="N21">IFERROR(IF($D$9="",IF($D$11="",IF($D$13="",IF($D$15="",INDEX(orderHistory[order_type],SMALL(MATCH(ROW(orderHistory[customer]),ROW(orderHistory[customer])),ROWS($A$15:A26)+$B$3)),INDEX(orderHistory[order_type],SMALL(IF(ISNUMBER(MATCH(YEAR(orderHistory[invoice_date]),$D$15,0)),MATCH(ROW(orderHistory[customer]),ROW(orderHistory[customer])),""),ROWS($A$15:A26)+$B$3))),IF($D$15="",INDEX(orderHistory[order_type],SMALL(IF(ISNUMBER(MATCH(orderHistory[order_type],$D$13,0)),MATCH(ROW(orderHistory[customer]),ROW(orderHistory[customer])),""),ROWS($A$15:A26)+$B$3)),INDEX(orderHistory[order_type],SMALL(IF(ISNUMBER(MATCH(orderHistory[order_type],$D$13,0)*MATCH(YEAR(orderHistory[invoice_date]),$D$15,0)),MATCH(ROW(orderHistory[customer]),ROW(orderHistory[customer])),""),ROWS($A$15:A26)+$B$3)))),IF($D$13="",IF($D$15="",INDEX(orderHistory[order_type],SMALL(IF(ISNUMBER(MATCH(orderHistory[status],$D$11,0)),MATCH(ROW(orderHistory[customer]),ROW(orderHistory[customer])),""),ROWS($A$15:A26)+$B$3)),INDEX(orderHistory[order_type],SMALL(IF(ISNUMBER(MATCH(orderHistory[status],$D$11,0)*MATCH(YEAR(orderHistory[invoice_date]),$D$15,0)),MATCH(ROW(orderHistory[customer]),ROW(orderHistory[customer])),""),ROWS($A$15:A26)+$B$3))),IF($D$15="",INDEX(orderHistory[order_type],SMALL(IF(ISNUMBER(MATCH(orderHistory[status],$D$11,0)*MATCH(orderHistory[order_type],$D$13,0)),MATCH(ROW(orderHistory[customer]),ROW(orderHistory[customer])),""),ROWS($A$15:A26)+$B$3)),INDEX(orderHistory[order_typ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type],SMALL(IF(ISNUMBER(MATCH(orderHistory[customer],$D$9,0)),MATCH(ROW(orderHistory[customer]),ROW(orderHistory[customer])),""),ROWS($A$15:A26)+$B$3)),INDEX(orderHistory[order_type],SMALL(IF(ISNUMBER(MATCH(orderHistory[customer],$D$9,0)*MATCH(YEAR(orderHistory[invoice_date]),$D$15,0)),MATCH(ROW(orderHistory[customer]),ROW(orderHistory[customer])),""),ROWS($A$15:A26)+$B$3))),IF($D$15="",INDEX(orderHistory[order_type],SMALL(IF(ISNUMBER(MATCH(orderHistory[customer],$D$9,0)*MATCH(orderHistory[order_type],$D$13,0)),MATCH(ROW(orderHistory[customer]),ROW(orderHistory[customer])),""),ROWS($A$15:A26)+$B$3)),INDEX(orderHistory[order_typ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YEAR(orderHistory[invoice_date]),$D$15,0)),MATCH(ROW(orderHistory[customer]),ROW(orderHistory[customer])),""),ROWS($A$15:A26)+$B$3))),IF($D$15="",INDEX(orderHistory[order_type],SMALL(IF(ISNUMBER(MATCH(orderHistory[customer],$D$9,0)*MATCH(orderHistory[status],$D$11,0)*MATCH(orderHistory[order_type],$D$13,0)),MATCH(ROW(orderHistory[customer]),ROW(orderHistory[customer])),""),ROWS($A$15:A26)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O21" s="455" t="str">
        <f t="array" ref="O21">IFERROR(IF($D$9="",IF($D$11="",IF($D$13="",IF($D$15="",INDEX(orderHistory[order_date],SMALL(MATCH(ROW(orderHistory[customer]),ROW(orderHistory[customer])),ROWS($A$15:A26)+$B$3)),INDEX(orderHistory[order_date],SMALL(IF(ISNUMBER(MATCH(YEAR(orderHistory[invoice_date]),$D$15,0)),MATCH(ROW(orderHistory[customer]),ROW(orderHistory[customer])),""),ROWS($A$15:A26)+$B$3))),IF($D$15="",INDEX(orderHistory[order_date],SMALL(IF(ISNUMBER(MATCH(orderHistory[order_type],$D$13,0)),MATCH(ROW(orderHistory[customer]),ROW(orderHistory[customer])),""),ROWS($A$15:A26)+$B$3)),INDEX(orderHistory[order_date],SMALL(IF(ISNUMBER(MATCH(orderHistory[order_type],$D$13,0)*MATCH(YEAR(orderHistory[invoice_date]),$D$15,0)),MATCH(ROW(orderHistory[customer]),ROW(orderHistory[customer])),""),ROWS($A$15:A26)+$B$3)))),IF($D$13="",IF($D$15="",INDEX(orderHistory[order_date],SMALL(IF(ISNUMBER(MATCH(orderHistory[status],$D$11,0)),MATCH(ROW(orderHistory[customer]),ROW(orderHistory[customer])),""),ROWS($A$15:A26)+$B$3)),INDEX(orderHistory[order_date],SMALL(IF(ISNUMBER(MATCH(orderHistory[status],$D$11,0)*MATCH(YEAR(orderHistory[invoice_date]),$D$15,0)),MATCH(ROW(orderHistory[customer]),ROW(orderHistory[customer])),""),ROWS($A$15:A26)+$B$3))),IF($D$15="",INDEX(orderHistory[order_date],SMALL(IF(ISNUMBER(MATCH(orderHistory[status],$D$11,0)*MATCH(orderHistory[order_type],$D$13,0)),MATCH(ROW(orderHistory[customer]),ROW(orderHistory[customer])),""),ROWS($A$15:A26)+$B$3)),INDEX(orderHistory[order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date],SMALL(IF(ISNUMBER(MATCH(orderHistory[customer],$D$9,0)),MATCH(ROW(orderHistory[customer]),ROW(orderHistory[customer])),""),ROWS($A$15:A26)+$B$3)),INDEX(orderHistory[order_date],SMALL(IF(ISNUMBER(MATCH(orderHistory[customer],$D$9,0)*MATCH(YEAR(orderHistory[invoice_date]),$D$15,0)),MATCH(ROW(orderHistory[customer]),ROW(orderHistory[customer])),""),ROWS($A$15:A26)+$B$3))),IF($D$15="",INDEX(orderHistory[order_date],SMALL(IF(ISNUMBER(MATCH(orderHistory[customer],$D$9,0)*MATCH(orderHistory[order_type],$D$13,0)),MATCH(ROW(orderHistory[customer]),ROW(orderHistory[customer])),""),ROWS($A$15:A26)+$B$3)),INDEX(orderHistory[order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YEAR(orderHistory[invoice_date]),$D$15,0)),MATCH(ROW(orderHistory[customer]),ROW(orderHistory[customer])),""),ROWS($A$15:A26)+$B$3))),IF($D$15="",INDEX(orderHistory[order_date],SMALL(IF(ISNUMBER(MATCH(orderHistory[customer],$D$9,0)*MATCH(orderHistory[status],$D$11,0)*MATCH(orderHistory[order_type],$D$13,0)),MATCH(ROW(orderHistory[customer]),ROW(orderHistory[customer])),""),ROWS($A$15:A26)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P21" s="456" t="str">
        <f t="array" ref="P21">IFERROR(IF($D$9="",IF($D$11="",IF($D$13="",IF($D$15="",INDEX(orderHistory[invoice_no],SMALL(MATCH(ROW(orderHistory[customer]),ROW(orderHistory[customer])),ROWS($A$15:A26)+$B$3)),INDEX(orderHistory[invoice_no],SMALL(IF(ISNUMBER(MATCH(YEAR(orderHistory[invoice_date]),$D$15,0)),MATCH(ROW(orderHistory[customer]),ROW(orderHistory[customer])),""),ROWS($A$15:A26)+$B$3))),IF($D$15="",INDEX(orderHistory[invoice_no],SMALL(IF(ISNUMBER(MATCH(orderHistory[order_type],$D$13,0)),MATCH(ROW(orderHistory[customer]),ROW(orderHistory[customer])),""),ROWS($A$15:A26)+$B$3)),INDEX(orderHistory[invoice_no],SMALL(IF(ISNUMBER(MATCH(orderHistory[order_type],$D$13,0)*MATCH(YEAR(orderHistory[invoice_date]),$D$15,0)),MATCH(ROW(orderHistory[customer]),ROW(orderHistory[customer])),""),ROWS($A$15:A26)+$B$3)))),IF($D$13="",IF($D$15="",INDEX(orderHistory[invoice_no],SMALL(IF(ISNUMBER(MATCH(orderHistory[status],$D$11,0)),MATCH(ROW(orderHistory[customer]),ROW(orderHistory[customer])),""),ROWS($A$15:A26)+$B$3)),INDEX(orderHistory[invoice_no],SMALL(IF(ISNUMBER(MATCH(orderHistory[status],$D$11,0)*MATCH(YEAR(orderHistory[invoice_date]),$D$15,0)),MATCH(ROW(orderHistory[customer]),ROW(orderHistory[customer])),""),ROWS($A$15:A26)+$B$3))),IF($D$15="",INDEX(orderHistory[invoice_no],SMALL(IF(ISNUMBER(MATCH(orderHistory[status],$D$11,0)*MATCH(orderHistory[order_type],$D$13,0)),MATCH(ROW(orderHistory[customer]),ROW(orderHistory[customer])),""),ROWS($A$15:A26)+$B$3)),INDEX(orderHistory[invoice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no],SMALL(IF(ISNUMBER(MATCH(orderHistory[customer],$D$9,0)),MATCH(ROW(orderHistory[customer]),ROW(orderHistory[customer])),""),ROWS($A$15:A26)+$B$3)),INDEX(orderHistory[invoice_no],SMALL(IF(ISNUMBER(MATCH(orderHistory[customer],$D$9,0)*MATCH(YEAR(orderHistory[invoice_date]),$D$15,0)),MATCH(ROW(orderHistory[customer]),ROW(orderHistory[customer])),""),ROWS($A$15:A26)+$B$3))),IF($D$15="",INDEX(orderHistory[invoice_no],SMALL(IF(ISNUMBER(MATCH(orderHistory[customer],$D$9,0)*MATCH(orderHistory[order_type],$D$13,0)),MATCH(ROW(orderHistory[customer]),ROW(orderHistory[customer])),""),ROWS($A$15:A26)+$B$3)),INDEX(orderHistory[invoice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YEAR(orderHistory[invoice_date]),$D$15,0)),MATCH(ROW(orderHistory[customer]),ROW(orderHistory[customer])),""),ROWS($A$15:A26)+$B$3))),IF($D$15="",INDEX(orderHistory[invoice_no],SMALL(IF(ISNUMBER(MATCH(orderHistory[customer],$D$9,0)*MATCH(orderHistory[status],$D$11,0)*MATCH(orderHistory[order_type],$D$13,0)),MATCH(ROW(orderHistory[customer]),ROW(orderHistory[customer])),""),ROWS($A$15:A26)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Q21" s="457" t="str">
        <f t="array" ref="Q21">IFERROR(IF($D$9="",IF($D$11="",IF($D$13="",IF($D$15="",INDEX(orderHistory[invoice_date],SMALL(MATCH(ROW(orderHistory[customer]),ROW(orderHistory[customer])),ROWS($A$15:A26)+$B$3)),INDEX(orderHistory[invoice_date],SMALL(IF(ISNUMBER(MATCH(YEAR(orderHistory[invoice_date]),$D$15,0)),MATCH(ROW(orderHistory[customer]),ROW(orderHistory[customer])),""),ROWS($A$15:A26)+$B$3))),IF($D$15="",INDEX(orderHistory[invoice_date],SMALL(IF(ISNUMBER(MATCH(orderHistory[order_type],$D$13,0)),MATCH(ROW(orderHistory[customer]),ROW(orderHistory[customer])),""),ROWS($A$15:A26)+$B$3)),INDEX(orderHistory[invoice_date],SMALL(IF(ISNUMBER(MATCH(orderHistory[order_type],$D$13,0)*MATCH(YEAR(orderHistory[invoice_date]),$D$15,0)),MATCH(ROW(orderHistory[customer]),ROW(orderHistory[customer])),""),ROWS($A$15:A26)+$B$3)))),IF($D$13="",IF($D$15="",INDEX(orderHistory[invoice_date],SMALL(IF(ISNUMBER(MATCH(orderHistory[status],$D$11,0)),MATCH(ROW(orderHistory[customer]),ROW(orderHistory[customer])),""),ROWS($A$15:A26)+$B$3)),INDEX(orderHistory[invoice_date],SMALL(IF(ISNUMBER(MATCH(orderHistory[status],$D$11,0)*MATCH(YEAR(orderHistory[invoice_date]),$D$15,0)),MATCH(ROW(orderHistory[customer]),ROW(orderHistory[customer])),""),ROWS($A$15:A26)+$B$3))),IF($D$15="",INDEX(orderHistory[invoice_date],SMALL(IF(ISNUMBER(MATCH(orderHistory[status],$D$11,0)*MATCH(orderHistory[order_type],$D$13,0)),MATCH(ROW(orderHistory[customer]),ROW(orderHistory[customer])),""),ROWS($A$15:A26)+$B$3)),INDEX(orderHistory[invoice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date],SMALL(IF(ISNUMBER(MATCH(orderHistory[customer],$D$9,0)),MATCH(ROW(orderHistory[customer]),ROW(orderHistory[customer])),""),ROWS($A$15:A26)+$B$3)),INDEX(orderHistory[invoice_date],SMALL(IF(ISNUMBER(MATCH(orderHistory[customer],$D$9,0)*MATCH(YEAR(orderHistory[invoice_date]),$D$15,0)),MATCH(ROW(orderHistory[customer]),ROW(orderHistory[customer])),""),ROWS($A$15:A26)+$B$3))),IF($D$15="",INDEX(orderHistory[invoice_date],SMALL(IF(ISNUMBER(MATCH(orderHistory[customer],$D$9,0)*MATCH(orderHistory[order_type],$D$13,0)),MATCH(ROW(orderHistory[customer]),ROW(orderHistory[customer])),""),ROWS($A$15:A26)+$B$3)),INDEX(orderHistory[invoice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YEAR(orderHistory[invoice_date]),$D$15,0)),MATCH(ROW(orderHistory[customer]),ROW(orderHistory[customer])),""),ROWS($A$15:A26)+$B$3))),IF($D$15="",INDEX(orderHistory[invoice_date],SMALL(IF(ISNUMBER(MATCH(orderHistory[customer],$D$9,0)*MATCH(orderHistory[status],$D$11,0)*MATCH(orderHistory[order_type],$D$13,0)),MATCH(ROW(orderHistory[customer]),ROW(orderHistory[customer])),""),ROWS($A$15:A26)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R21" s="458" t="str">
        <f t="array" ref="R21">IFERROR(IF($D$9="",IF($D$11="",IF($D$13="",IF($D$15="",INDEX(orderHistory[inv_amount],SMALL(MATCH(ROW(orderHistory[customer]),ROW(orderHistory[customer])),ROWS($A$15:A26)+$B$3)),INDEX(orderHistory[inv_amount],SMALL(IF(ISNUMBER(MATCH(YEAR(orderHistory[invoice_date]),$D$15,0)),MATCH(ROW(orderHistory[customer]),ROW(orderHistory[customer])),""),ROWS($A$15:A26)+$B$3))),IF($D$15="",INDEX(orderHistory[inv_amount],SMALL(IF(ISNUMBER(MATCH(orderHistory[order_type],$D$13,0)),MATCH(ROW(orderHistory[customer]),ROW(orderHistory[customer])),""),ROWS($A$15:A26)+$B$3)),INDEX(orderHistory[inv_amount],SMALL(IF(ISNUMBER(MATCH(orderHistory[order_type],$D$13,0)*MATCH(YEAR(orderHistory[invoice_date]),$D$15,0)),MATCH(ROW(orderHistory[customer]),ROW(orderHistory[customer])),""),ROWS($A$15:A26)+$B$3)))),IF($D$13="",IF($D$15="",INDEX(orderHistory[inv_amount],SMALL(IF(ISNUMBER(MATCH(orderHistory[status],$D$11,0)),MATCH(ROW(orderHistory[customer]),ROW(orderHistory[customer])),""),ROWS($A$15:A26)+$B$3)),INDEX(orderHistory[inv_amount],SMALL(IF(ISNUMBER(MATCH(orderHistory[status],$D$11,0)*MATCH(YEAR(orderHistory[invoice_date]),$D$15,0)),MATCH(ROW(orderHistory[customer]),ROW(orderHistory[customer])),""),ROWS($A$15:A26)+$B$3))),IF($D$15="",INDEX(orderHistory[inv_amount],SMALL(IF(ISNUMBER(MATCH(orderHistory[status],$D$11,0)*MATCH(orderHistory[order_type],$D$13,0)),MATCH(ROW(orderHistory[customer]),ROW(orderHistory[customer])),""),ROWS($A$15:A26)+$B$3)),INDEX(orderHistory[inv_amount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_amount],SMALL(IF(ISNUMBER(MATCH(orderHistory[customer],$D$9,0)),MATCH(ROW(orderHistory[customer]),ROW(orderHistory[customer])),""),ROWS($A$15:A26)+$B$3)),INDEX(orderHistory[inv_amount],SMALL(IF(ISNUMBER(MATCH(orderHistory[customer],$D$9,0)*MATCH(YEAR(orderHistory[invoice_date]),$D$15,0)),MATCH(ROW(orderHistory[customer]),ROW(orderHistory[customer])),""),ROWS($A$15:A26)+$B$3))),IF($D$15="",INDEX(orderHistory[inv_amount],SMALL(IF(ISNUMBER(MATCH(orderHistory[customer],$D$9,0)*MATCH(orderHistory[order_type],$D$13,0)),MATCH(ROW(orderHistory[customer]),ROW(orderHistory[customer])),""),ROWS($A$15:A26)+$B$3)),INDEX(orderHistory[inv_amount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YEAR(orderHistory[inv_amount]),$D$15,0)),MATCH(ROW(orderHistory[customer]),ROW(orderHistory[customer])),""),ROWS($A$15:A26)+$B$3))),IF($D$15="",INDEX(orderHistory[inv_amount],SMALL(IF(ISNUMBER(MATCH(orderHistory[customer],$D$9,0)*MATCH(orderHistory[status],$D$11,0)*MATCH(orderHistory[order_type],$D$13,0)),MATCH(ROW(orderHistory[customer]),ROW(orderHistory[customer])),""),ROWS($A$15:A26)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S21" s="569" t="str">
        <f t="array" ref="S21">IFERROR(IF($D$9="",IF($D$11="",IF($D$13="",IF($D$15="",INDEX(orderHistory[lock_goods],SMALL(MATCH(ROW(orderHistory[customer]),ROW(orderHistory[customer])),ROWS($A$15:A26)+$B$3)),INDEX(orderHistory[lock_goods],SMALL(IF(ISNUMBER(MATCH(YEAR(orderHistory[invoice_date]),$D$15,0)),MATCH(ROW(orderHistory[customer]),ROW(orderHistory[customer])),""),ROWS($A$15:A26)+$B$3))),IF($D$15="",INDEX(orderHistory[lock_goods],SMALL(IF(ISNUMBER(MATCH(orderHistory[order_type],$D$13,0)),MATCH(ROW(orderHistory[customer]),ROW(orderHistory[customer])),""),ROWS($A$15:A26)+$B$3)),INDEX(orderHistory[lock_goods],SMALL(IF(ISNUMBER(MATCH(orderHistory[order_type],$D$13,0)*MATCH(YEAR(orderHistory[invoice_date]),$D$15,0)),MATCH(ROW(orderHistory[customer]),ROW(orderHistory[customer])),""),ROWS($A$15:A26)+$B$3)))),IF($D$13="",IF($D$15="",INDEX(orderHistory[lock_goods],SMALL(IF(ISNUMBER(MATCH(orderHistory[status],$D$11,0)),MATCH(ROW(orderHistory[customer]),ROW(orderHistory[customer])),""),ROWS($A$15:A26)+$B$3)),INDEX(orderHistory[lock_goods],SMALL(IF(ISNUMBER(MATCH(orderHistory[status],$D$11,0)*MATCH(YEAR(orderHistory[invoice_date]),$D$15,0)),MATCH(ROW(orderHistory[customer]),ROW(orderHistory[customer])),""),ROWS($A$15:A26)+$B$3))),IF($D$15="",INDEX(orderHistory[lock_goods],SMALL(IF(ISNUMBER(MATCH(orderHistory[status],$D$11,0)*MATCH(orderHistory[order_type],$D$13,0)),MATCH(ROW(orderHistory[customer]),ROW(orderHistory[customer])),""),ROWS($A$15:A26)+$B$3)),INDEX(orderHistory[lock_good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lock_goods],SMALL(IF(ISNUMBER(MATCH(orderHistory[customer],$D$9,0)),MATCH(ROW(orderHistory[customer]),ROW(orderHistory[customer])),""),ROWS($A$15:A26)+$B$3)),INDEX(orderHistory[lock_goods],SMALL(IF(ISNUMBER(MATCH(orderHistory[customer],$D$9,0)*MATCH(YEAR(orderHistory[invoice_date]),$D$15,0)),MATCH(ROW(orderHistory[customer]),ROW(orderHistory[customer])),""),ROWS($A$15:A26)+$B$3))),IF($D$15="",INDEX(orderHistory[lock_goods],SMALL(IF(ISNUMBER(MATCH(orderHistory[customer],$D$9,0)*MATCH(orderHistory[order_type],$D$13,0)),MATCH(ROW(orderHistory[customer]),ROW(orderHistory[customer])),""),ROWS($A$15:A26)+$B$3)),INDEX(orderHistory[lock_good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lock_goods],SMALL(IF(ISNUMBER(MATCH(orderHistory[customer],$D$9,0)*MATCH(orderHistory[status],$D$11,0)),MATCH(ROW(orderHistory[customer]),ROW(orderHistory[customer])),""),ROWS($A$15:A26)+$B$3)),INDEX(orderHistory[lock_goods],SMALL(IF(ISNUMBER(MATCH(orderHistory[customer],$D$9,0)*MATCH(orderHistory[status],$D$11,0)*MATCH(YEAR(orderHistory[payed]),$D$15,0)),MATCH(ROW(orderHistory[customer]),ROW(orderHistory[customer])),""),ROWS($A$15:A26)+$B$3))),IF($D$15="",INDEX(orderHistory[lock_goods],SMALL(IF(ISNUMBER(MATCH(orderHistory[customer],$D$9,0)*MATCH(orderHistory[status],$D$11,0)*MATCH(orderHistory[order_type],$D$13,0)),MATCH(ROW(orderHistory[customer]),ROW(orderHistory[customer])),""),ROWS($A$15:A26)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T21" s="459" t="str">
        <f t="array" ref="T21">IFERROR(IF($D$9="",IF($D$11="",IF($D$13="",IF($D$15="",INDEX(orderHistory[payed],SMALL(MATCH(ROW(orderHistory[customer]),ROW(orderHistory[customer])),ROWS($A$15:A26)+$B$3)),INDEX(orderHistory[payed],SMALL(IF(ISNUMBER(MATCH(YEAR(orderHistory[invoice_date]),$D$15,0)),MATCH(ROW(orderHistory[customer]),ROW(orderHistory[customer])),""),ROWS($A$15:A26)+$B$3))),IF($D$15="",INDEX(orderHistory[payed],SMALL(IF(ISNUMBER(MATCH(orderHistory[order_type],$D$13,0)),MATCH(ROW(orderHistory[customer]),ROW(orderHistory[customer])),""),ROWS($A$15:A26)+$B$3)),INDEX(orderHistory[payed],SMALL(IF(ISNUMBER(MATCH(orderHistory[order_type],$D$13,0)*MATCH(YEAR(orderHistory[invoice_date]),$D$15,0)),MATCH(ROW(orderHistory[customer]),ROW(orderHistory[customer])),""),ROWS($A$15:A26)+$B$3)))),IF($D$13="",IF($D$15="",INDEX(orderHistory[payed],SMALL(IF(ISNUMBER(MATCH(orderHistory[status],$D$11,0)),MATCH(ROW(orderHistory[customer]),ROW(orderHistory[customer])),""),ROWS($A$15:A26)+$B$3)),INDEX(orderHistory[payed],SMALL(IF(ISNUMBER(MATCH(orderHistory[status],$D$11,0)*MATCH(YEAR(orderHistory[invoice_date]),$D$15,0)),MATCH(ROW(orderHistory[customer]),ROW(orderHistory[customer])),""),ROWS($A$15:A26)+$B$3))),IF($D$15="",INDEX(orderHistory[payed],SMALL(IF(ISNUMBER(MATCH(orderHistory[status],$D$11,0)*MATCH(orderHistory[order_type],$D$13,0)),MATCH(ROW(orderHistory[customer]),ROW(orderHistory[customer])),""),ROWS($A$15:A26)+$B$3)),INDEX(orderHistory[paye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payed],SMALL(IF(ISNUMBER(MATCH(orderHistory[customer],$D$9,0)),MATCH(ROW(orderHistory[customer]),ROW(orderHistory[customer])),""),ROWS($A$15:A26)+$B$3)),INDEX(orderHistory[payed],SMALL(IF(ISNUMBER(MATCH(orderHistory[customer],$D$9,0)*MATCH(YEAR(orderHistory[invoice_date]),$D$15,0)),MATCH(ROW(orderHistory[customer]),ROW(orderHistory[customer])),""),ROWS($A$15:A26)+$B$3))),IF($D$15="",INDEX(orderHistory[payed],SMALL(IF(ISNUMBER(MATCH(orderHistory[customer],$D$9,0)*MATCH(orderHistory[order_type],$D$13,0)),MATCH(ROW(orderHistory[customer]),ROW(orderHistory[customer])),""),ROWS($A$15:A26)+$B$3)),INDEX(orderHistory[paye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YEAR(orderHistory[payed]),$D$15,0)),MATCH(ROW(orderHistory[customer]),ROW(orderHistory[customer])),""),ROWS($A$15:A26)+$B$3))),IF($D$15="",INDEX(orderHistory[payed],SMALL(IF(ISNUMBER(MATCH(orderHistory[customer],$D$9,0)*MATCH(orderHistory[status],$D$11,0)*MATCH(orderHistory[order_type],$D$13,0)),MATCH(ROW(orderHistory[customer]),ROW(orderHistory[customer])),""),ROWS($A$15:A26)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U21" s="454" t="str">
        <f t="array" ref="U21">IFERROR(IF($D$9="",IF($D$11="",IF($D$13="",IF($D$15="",INDEX(orderHistory[shipping_method],SMALL(MATCH(ROW(orderHistory[customer]),ROW(orderHistory[customer])),ROWS($A$15:A26)+$B$3)),INDEX(orderHistory[shipping_method],SMALL(IF(ISNUMBER(MATCH(YEAR(orderHistory[invoice_date]),$D$15,0)),MATCH(ROW(orderHistory[customer]),ROW(orderHistory[customer])),""),ROWS($A$15:A26)+$B$3))),IF($D$15="",INDEX(orderHistory[shipping_method],SMALL(IF(ISNUMBER(MATCH(orderHistory[order_type],$D$13,0)),MATCH(ROW(orderHistory[customer]),ROW(orderHistory[customer])),""),ROWS($A$15:A26)+$B$3)),INDEX(orderHistory[shipping_method],SMALL(IF(ISNUMBER(MATCH(orderHistory[order_type],$D$13,0)*MATCH(YEAR(orderHistory[invoice_date]),$D$15,0)),MATCH(ROW(orderHistory[customer]),ROW(orderHistory[customer])),""),ROWS($A$15:A26)+$B$3)))),IF($D$13="",IF($D$15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YEAR(orderHistory[invoice_date]),$D$15,0)),MATCH(ROW(orderHistory[customer]),ROW(orderHistory[customer])),""),ROWS($A$15:A26)+$B$3))),IF($D$15="",INDEX(orderHistory[shipping_method],SMALL(IF(ISNUMBER(MATCH(orderHistory[status],$D$11,0)*MATCH(orderHistory[order_type],$D$13,0)),MATCH(ROW(orderHistory[customer]),ROW(orderHistory[customer])),""),ROWS($A$15:A26)+$B$3)),INDEX(orderHistory[shipping_metho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YEAR(orderHistory[invoice_date]),$D$15,0)),MATCH(ROW(orderHistory[customer]),ROW(orderHistory[customer])),""),ROWS($A$15:A26)+$B$3))),IF($D$15="",INDEX(orderHistory[shipping_method],SMALL(IF(ISNUMBER(MATCH(orderHistory[customer],$D$9,0)*MATCH(orderHistory[order_type],$D$13,0)),MATCH(ROW(orderHistory[customer]),ROW(orderHistory[customer])),""),ROWS($A$15:A26)+$B$3)),INDEX(orderHistory[shipping_metho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YEAR(orderHistory[shipping_method]),$D$15,0)),MATCH(ROW(orderHistory[customer]),ROW(orderHistory[customer])),""),ROWS($A$15:A26)+$B$3))),IF($D$15="",INDEX(orderHistory[shipping_method],SMALL(IF(ISNUMBER(MATCH(orderHistory[customer],$D$9,0)*MATCH(orderHistory[status],$D$11,0)*MATCH(orderHistory[order_type],$D$13,0)),MATCH(ROW(orderHistory[customer]),ROW(orderHistory[customer])),""),ROWS($A$15:A26)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V21" s="460" t="str">
        <f t="array" ref="V21">IFERROR(IF($D$9="",IF($D$11="",IF($D$13="",IF($D$15="",INDEX(orderHistory[status],SMALL(MATCH(ROW(orderHistory[customer]),ROW(orderHistory[customer])),ROWS($A$15:A26)+$B$3)),INDEX(orderHistory[status],SMALL(IF(ISNUMBER(MATCH(YEAR(orderHistory[invoice_date]),$D$15,0)),MATCH(ROW(orderHistory[customer]),ROW(orderHistory[customer])),""),ROWS($A$15:A26)+$B$3))),IF($D$15="",INDEX(orderHistory[status],SMALL(IF(ISNUMBER(MATCH(orderHistory[order_type],$D$13,0)),MATCH(ROW(orderHistory[customer]),ROW(orderHistory[customer])),""),ROWS($A$15:A26)+$B$3)),INDEX(orderHistory[status],SMALL(IF(ISNUMBER(MATCH(orderHistory[order_type],$D$13,0)*MATCH(YEAR(orderHistory[invoice_date]),$D$15,0)),MATCH(ROW(orderHistory[customer]),ROW(orderHistory[customer])),""),ROWS($A$15:A26)+$B$3)))),IF($D$13="",IF($D$15="",INDEX(orderHistory[status],SMALL(IF(ISNUMBER(MATCH(orderHistory[status],$D$11,0)),MATCH(ROW(orderHistory[customer]),ROW(orderHistory[customer])),""),ROWS($A$15:A26)+$B$3)),INDEX(orderHistory[status],SMALL(IF(ISNUMBER(MATCH(orderHistory[status],$D$11,0)*MATCH(YEAR(orderHistory[invoice_date]),$D$15,0)),MATCH(ROW(orderHistory[customer]),ROW(orderHistory[customer])),""),ROWS($A$15:A26)+$B$3))),IF($D$15="",INDEX(orderHistory[status],SMALL(IF(ISNUMBER(MATCH(orderHistory[status],$D$11,0)*MATCH(orderHistory[order_type],$D$13,0)),MATCH(ROW(orderHistory[customer]),ROW(orderHistory[customer])),""),ROWS($A$15:A26)+$B$3)),INDEX(orderHistory[statu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tatus],SMALL(IF(ISNUMBER(MATCH(orderHistory[customer],$D$9,0)),MATCH(ROW(orderHistory[customer]),ROW(orderHistory[customer])),""),ROWS($A$15:A26)+$B$3)),INDEX(orderHistory[status],SMALL(IF(ISNUMBER(MATCH(orderHistory[customer],$D$9,0)*MATCH(YEAR(orderHistory[invoice_date]),$D$15,0)),MATCH(ROW(orderHistory[customer]),ROW(orderHistory[customer])),""),ROWS($A$15:A26)+$B$3))),IF($D$15="",INDEX(orderHistory[status],SMALL(IF(ISNUMBER(MATCH(orderHistory[customer],$D$9,0)*MATCH(orderHistory[order_type],$D$13,0)),MATCH(ROW(orderHistory[customer]),ROW(orderHistory[customer])),""),ROWS($A$15:A26)+$B$3)),INDEX(orderHistory[statu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YEAR(orderHistory[status]),$D$15,0)),MATCH(ROW(orderHistory[customer]),ROW(orderHistory[customer])),""),ROWS($A$15:A26)+$B$3))),IF($D$15="",INDEX(orderHistory[status],SMALL(IF(ISNUMBER(MATCH(orderHistory[customer],$D$9,0)*MATCH(orderHistory[status],$D$11,0)*MATCH(orderHistory[order_type],$D$13,0)),MATCH(ROW(orderHistory[customer]),ROW(orderHistory[customer])),""),ROWS($A$15:A26)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W21" s="75"/>
      <c r="AO21" s="341"/>
      <c r="AQ21" s="378"/>
      <c r="AR21" s="401"/>
      <c r="AS21" s="885"/>
      <c r="AT21" s="884"/>
      <c r="AU21" s="339"/>
      <c r="AW21" s="378"/>
      <c r="AX21" s="341"/>
      <c r="AZ21" s="348"/>
      <c r="BB21" s="348"/>
      <c r="BD21" s="341"/>
      <c r="BJ21" s="339"/>
      <c r="BK21" s="366"/>
      <c r="BL21" s="367"/>
      <c r="BM21" s="368"/>
      <c r="BN21" s="367"/>
      <c r="BO21" s="368"/>
      <c r="BX21" s="434"/>
      <c r="BZ21" s="476"/>
      <c r="CA21" s="477" t="str">
        <f>IF(BZ21="","",INDEX(bhpc_data[description],MATCH(BZ21,bhpc_data[sku],0)))</f>
        <v/>
      </c>
      <c r="CB21" s="478"/>
      <c r="CC21" s="479"/>
      <c r="CD21" s="494"/>
      <c r="CE21" s="481"/>
      <c r="CF21" s="482"/>
      <c r="CG21" s="483" t="str">
        <f>IFERROR(ROUNDUP(CB21/INDEX(bhpc_data[units_per_carton],MATCH(BZ21,bhpc_data[sku],0)),0),"")</f>
        <v/>
      </c>
      <c r="CH21" s="484" t="str">
        <f>IFERROR(ROUNDUP(CD21/INDEX(bhpc_data[units_per_carton],MATCH(BZ21,bhpc_data[sku],0)),0),"")</f>
        <v/>
      </c>
      <c r="CI21" s="484" t="str">
        <f>IFERROR(ROUNDUP(CF21/INDEX(bhpc_data[units_per_carton],MATCH(BZ21,bhpc_data[sku])),0),"")</f>
        <v/>
      </c>
      <c r="CJ21" s="484" t="str">
        <f>IFERROR(((CB21+CD21+CF21)/INDEX(bhpc_data[units_per_carton],MATCH(BZ21,bhpc_data[sku],0)))*INDEX(bhpc_data[net_weight],MATCH(BZ21,bhpc_data[sku],0)),"")</f>
        <v/>
      </c>
      <c r="CK21" s="484" t="str">
        <f>IFERROR(((CB21+CD21+CF21)/INDEX(bhpc_data[units_per_carton],MATCH(BZ21,bhpc_data[sku],0)))*INDEX(bhpc_data[gross_weight],MATCH(BZ21,bhpc_data[sku],0)),"")</f>
        <v/>
      </c>
      <c r="CL21" s="485" t="str">
        <f>IFERROR((CB21+CD21+CF21)/INDEX(bhpc_data[units_per_carton],MATCH(BZ21,bhpc_data[sku],0))*INDEX(bhpc_data[lenght],MATCH(BZ21,bhpc_data[sku],0))*INDEX(bhpc_data[width],MATCH(BZ21,bhpc_data[sku],0))*INDEX(bhpc_data[height],MATCH(BZ21,bhpc_data[sku],0))/1000000000,"")</f>
        <v/>
      </c>
      <c r="CM21" s="486" t="str">
        <f>IFERROR(INDEX(bhpc_data[category],MATCH(BZ21,bhpc_data[sku],0)),"")</f>
        <v/>
      </c>
      <c r="CN21" s="486" t="str">
        <f>IFERROR(INDEX(bhpc_data[size1],MATCH(BZ21,bhpc_data[sku],0)),"")</f>
        <v/>
      </c>
      <c r="CO21" s="487" t="str">
        <f>IFERROR(INDEX(bhpc_data[hs_code],MATCH(BZ21,bhpc_data[sku],0)),"")</f>
        <v/>
      </c>
      <c r="CP21" s="482"/>
      <c r="CQ21" s="492" t="str">
        <f>IFERROR(IF(BZ21="","",IF($BX$15="SALE",INDEX(inventory[COSTO UNITARIO],MATCH(BZ21,inventory[ARTICOLO],0)),IF($BX$15="SAMPLING",INDEX(inventory[COSTO UNITARIO],MATCH(BZ21,inventory[ARTICOLO],0)),""))),"")</f>
        <v/>
      </c>
      <c r="CR21" s="492" t="str">
        <f t="shared" si="0"/>
        <v/>
      </c>
      <c r="CS21" s="489" t="str">
        <f t="shared" si="1"/>
        <v/>
      </c>
      <c r="CT21" s="573" t="str">
        <f t="shared" si="2"/>
        <v/>
      </c>
      <c r="CV21" s="85"/>
      <c r="CW21" s="81"/>
      <c r="CX21" s="81"/>
      <c r="CY21" s="89"/>
      <c r="CZ21" s="81"/>
      <c r="DA21" s="82"/>
      <c r="DH21" s="245"/>
      <c r="EE21" s="541" t="str" cm="1">
        <f t="array" ref="EE21">IFERROR(IF($EC$9="",IF($EC$11="",IF($EC$13="",INDEX(bhpc_data[sku],SMALL(MATCH(ROW(bhpc_data[sku]),ROW(bhpc_data[sku])),ROWS($A$15:A26)+$B$3)),INDEX(bhpc_data[sku],SMALL(IF(ISNUMBER(MATCH(bhpc_data[size1],$EC$13,0)),MATCH(ROW(bhpc_data[sku]),ROW(bhpc_data[sku])),""),ROWS($A$15:A26)+$B$3))),IF($EC$13="",INDEX(bhpc_data[sku],SMALL(IF(ISNUMBER(MATCH(bhpc_data[sex],$EC$11,0)),MATCH(ROW(bhpc_data[sku]),ROW(bhpc_data[sku])),""),ROWS($A$15:A26)+$B$3)),INDEX(bhpc_data[sku],SMALL(IF(ISNUMBER(MATCH(bhpc_data[sex],$EC$11,0)*MATCH(bhpc_data[size1],$EC$13,0)),MATCH(ROW(bhpc_data[sku]),ROW(bhpc_data[sku])),""),ROWS($A$15:A26)+$B$3)))),IF($EC$11="",IF($EC$13="",INDEX(bhpc_data[sku],SMALL(IF(ISNUMBER(MATCH(bhpc_data[category],$EC$9,0)),MATCH(ROW(bhpc_data[sku]),ROW(bhpc_data[sku])),""),ROWS($A$15:A26)+$B$3)),INDEX(bhpc_data[sku],SMALL(IF(ISNUMBER(MATCH(bhpc_data[category],$EC$9,0)*MATCH(bhpc_data[size1],$EC$13,0)),MATCH(ROW(bhpc_data[sku]),ROW(bhpc_data[sku])),""),ROWS($A$15:A26)+$B$3))),IF($EC$13="",INDEX(bhpc_data[sku],SMALL(IF(ISNUMBER(MATCH(bhpc_data[category],$EC$9,0)*MATCH(bhpc_data[sex],$EC$11,0)),MATCH(ROW(bhpc_data[sku]),ROW(bhpc_data[sku])),""),ROWS($A$15:A26)+$B$3)),INDEX(bhpc_data[sku],SMALL(IF(ISNUMBER(MATCH(bhpc_data[category],$EC$9,0)*MATCH(bhpc_data[sex],$EC$11,0)*MATCH(bhpc_data[size1],$EC$13,0)),MATCH(ROW(bhpc_data[sku]),ROW(bhpc_data[sku])),""),ROWS($A$15:A26)+$B$3))))),"")</f>
        <v>GS5031</v>
      </c>
      <c r="EF21" s="542" t="str" cm="1">
        <f t="array" ref="EF21">IFERROR(IF($EC$9="",IF($EC$11="",IF($EC$13="",INDEX(bhpc_data[description],SMALL(MATCH(ROW(bhpc_data[sku]),ROW(bhpc_data[sku])),ROWS($A$15:A26)+$B$3)),INDEX(bhpc_data[description],SMALL(IF(ISNUMBER(MATCH(bhpc_data[size1],$EC$13,0)),MATCH(ROW(bhpc_data[sku]),ROW(bhpc_data[sku])),""),ROWS($A$15:A26)+$B$3))),IF($EC$13="",INDEX(bhpc_data[description],SMALL(IF(ISNUMBER(MATCH(bhpc_data[sex],$EC$11,0)),MATCH(ROW(bhpc_data[sku]),ROW(bhpc_data[sku])),""),ROWS($A$15:A26)+$B$3)),INDEX(bhpc_data[description],SMALL(IF(ISNUMBER(MATCH(bhpc_data[sex],$EC$11,0)*MATCH(bhpc_data[size1],$EC$13,0)),MATCH(ROW(bhpc_data[sku]),ROW(bhpc_data[sku])),""),ROWS($A$15:A26)+$B$3)))),IF($EC$11="",IF($EC$13="",INDEX(bhpc_data[description],SMALL(IF(ISNUMBER(MATCH(bhpc_data[category],$EC$9,0)),MATCH(ROW(bhpc_data[sku]),ROW(bhpc_data[sku])),""),ROWS($A$15:A26)+$B$3)),INDEX(bhpc_data[description],SMALL(IF(ISNUMBER(MATCH(bhpc_data[category],$EC$9,0)*MATCH(bhpc_data[size1],$EC$13,0)),MATCH(ROW(bhpc_data[sku]),ROW(bhpc_data[sku])),""),ROWS($A$15:A26)+$B$3))),IF($EC$13="",INDEX(bhpc_data[description],SMALL(IF(ISNUMBER(MATCH(bhpc_data[category],$EC$9,0)*MATCH(bhpc_data[sex],$EC$11,0)),MATCH(ROW(bhpc_data[sku]),ROW(bhpc_data[sku])),""),ROWS($A$15:A26)+$B$3)),INDEX(bhpc_data[description],SMALL(IF(ISNUMBER(MATCH(bhpc_data[category],$EC$9,0)*MATCH(bhpc_data[sex],$EC$11,0)*MATCH(bhpc_data[size1],$EC$13,0)),MATCH(ROW(bhpc_data[sku]),ROW(bhpc_data[sku])),""),ROWS($A$15:A26)+$B$3))))),"")</f>
        <v>BHPC GIFT SET WOMEN 2 EDP 50ML + DEO 150ML</v>
      </c>
      <c r="EG21" s="543">
        <f>IFERROR(IF('BHPC MANAGER'!$EE21="","",INDEX(inventory[ESISTENZA],MATCH('BHPC MANAGER'!$EE21,inventory[ARTICOLO],0))),0)</f>
        <v>520</v>
      </c>
      <c r="EH21" s="544">
        <v>-1806</v>
      </c>
      <c r="EI21" s="544">
        <f t="shared" si="3"/>
        <v>-1286</v>
      </c>
      <c r="EJ21" s="545">
        <v>-72</v>
      </c>
      <c r="EK21" s="546">
        <f t="shared" si="4"/>
        <v>-1358</v>
      </c>
      <c r="FF21" s="331"/>
      <c r="FG21" s="331"/>
      <c r="FH21" s="331"/>
      <c r="FI21" s="331"/>
      <c r="FJ21" s="331"/>
      <c r="FK21" s="331"/>
      <c r="FL21" s="331"/>
      <c r="FM21" s="331"/>
      <c r="FN21" s="331"/>
      <c r="FO21" s="331"/>
      <c r="FP21" s="331"/>
      <c r="FQ21" s="331"/>
      <c r="FR21" s="331"/>
      <c r="FS21" s="331"/>
      <c r="FT21" s="331"/>
      <c r="FU21" s="331"/>
      <c r="FV21" s="331"/>
      <c r="FW21" s="331"/>
      <c r="FX21" s="331"/>
      <c r="FY21" s="331"/>
      <c r="FZ21" s="331"/>
      <c r="GA21" s="331"/>
      <c r="GB21" s="331"/>
      <c r="GC21" s="331"/>
      <c r="GD21" s="331"/>
      <c r="GE21" s="331"/>
      <c r="GF21" s="331"/>
      <c r="GG21" s="331"/>
      <c r="GH21" s="331"/>
      <c r="GI21" s="331"/>
      <c r="GJ21" s="331"/>
      <c r="GK21" s="331"/>
      <c r="GL21" s="331"/>
      <c r="GM21" s="331"/>
      <c r="GN21" s="331"/>
      <c r="GO21" s="331"/>
      <c r="GP21" s="331"/>
      <c r="GQ21" s="331"/>
      <c r="GR21" s="331"/>
      <c r="GS21" s="331"/>
      <c r="GT21" s="331"/>
      <c r="GU21" s="331"/>
      <c r="GV21" s="331"/>
      <c r="GW21" s="331"/>
      <c r="GX21" s="331"/>
      <c r="GY21" s="331"/>
      <c r="GZ21" s="331"/>
      <c r="HA21" s="331"/>
      <c r="HB21" s="331"/>
      <c r="HC21" s="331"/>
      <c r="HD21" s="331"/>
      <c r="HE21" s="331"/>
      <c r="HF21" s="331"/>
      <c r="HG21" s="331"/>
      <c r="HH21" s="331"/>
      <c r="HI21" s="331"/>
      <c r="HJ21" s="331"/>
      <c r="HK21" s="331"/>
      <c r="HL21" s="331"/>
      <c r="HM21" s="331"/>
      <c r="HN21" s="331"/>
      <c r="HO21" s="331"/>
      <c r="HP21" s="331"/>
      <c r="HQ21" s="331"/>
      <c r="HR21" s="331"/>
      <c r="HS21" s="331"/>
      <c r="HT21" s="331"/>
    </row>
    <row r="22" spans="1:228" ht="15" customHeight="1" thickBot="1" x14ac:dyDescent="0.4">
      <c r="F22" s="91"/>
      <c r="G22" s="818" t="str">
        <f>IFERROR(INDEX(clientData[hq_address1],MATCH($B$6,clientData[cod_cliente],0)),"")</f>
        <v/>
      </c>
      <c r="H22" s="819"/>
      <c r="I22" s="820"/>
      <c r="J22" s="82"/>
      <c r="L22" s="452" t="str">
        <f t="array" ref="L22">IFERROR(IF($D$9="",IF($D$11="",IF($D$13="",IF($D$15="",INDEX(orderHistory[customer],SMALL(MATCH(ROW(orderHistory[customer]),ROW(orderHistory[customer])),ROWS($A$15:A27)+$B$3)),INDEX(orderHistory[customer],SMALL(IF(ISNUMBER(MATCH(YEAR(orderHistory[invoice_date]),$D$15,0)),MATCH(ROW(orderHistory[customer]),ROW(orderHistory[customer])),""),ROWS($A$15:A27)+$B$3))),IF($D$15="",INDEX(orderHistory[customer],SMALL(IF(ISNUMBER(MATCH(orderHistory[order_type],$D$13,0)),MATCH(ROW(orderHistory[customer]),ROW(orderHistory[customer])),""),ROWS($A$15:A27)+$B$3)),INDEX(orderHistory[customer],SMALL(IF(ISNUMBER(MATCH(orderHistory[order_type],$D$13,0)*MATCH(YEAR(orderHistory[invoice_date]),$D$15,0)),MATCH(ROW(orderHistory[customer]),ROW(orderHistory[customer])),""),ROWS($A$15:A27)+$B$3)))),IF($D$13="",IF($D$15="",INDEX(orderHistory[customer],SMALL(IF(ISNUMBER(MATCH(orderHistory[status],$D$11,0)),MATCH(ROW(orderHistory[customer]),ROW(orderHistory[customer])),""),ROWS($A$15:A27)+$B$3)),INDEX(orderHistory[customer],SMALL(IF(ISNUMBER(MATCH(orderHistory[status],$D$11,0)*MATCH(YEAR(orderHistory[invoice_date]),$D$15,0)),MATCH(ROW(orderHistory[customer]),ROW(orderHistory[customer])),""),ROWS($A$15:A27)+$B$3))),IF($D$15="",INDEX(orderHistory[customer],SMALL(IF(ISNUMBER(MATCH(orderHistory[status],$D$11,0)*MATCH(orderHistory[order_type],$D$13,0)),MATCH(ROW(orderHistory[customer]),ROW(orderHistory[customer])),""),ROWS($A$15:A27)+$B$3)),INDEX(orderHistory[customer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customer],SMALL(IF(ISNUMBER(MATCH(orderHistory[customer],$D$9,0)),MATCH(ROW(orderHistory[customer]),ROW(orderHistory[customer])),""),ROWS($A$15:A27)+$B$3)),INDEX(orderHistory[customer],SMALL(IF(ISNUMBER(MATCH(orderHistory[customer],$D$9,0)*MATCH(YEAR(orderHistory[invoice_date]),$D$15,0)),MATCH(ROW(orderHistory[customer]),ROW(orderHistory[customer])),""),ROWS($A$15:A27)+$B$3))),IF($D$15="",INDEX(orderHistory[customer],SMALL(IF(ISNUMBER(MATCH(orderHistory[customer],$D$9,0)*MATCH(orderHistory[order_type],$D$13,0)),MATCH(ROW(orderHistory[customer]),ROW(orderHistory[customer])),""),ROWS($A$15:A27)+$B$3)),INDEX(orderHistory[customer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YEAR(orderHistory[invoice_date]),$D$15,0)),MATCH(ROW(orderHistory[customer]),ROW(orderHistory[customer])),""),ROWS($A$15:A27)+$B$3))),IF($D$15="",INDEX(orderHistory[customer],SMALL(IF(ISNUMBER(MATCH(orderHistory[customer],$D$9,0)*MATCH(orderHistory[status],$D$11,0)*MATCH(orderHistory[order_type],$D$13,0)),MATCH(ROW(orderHistory[customer]),ROW(orderHistory[customer])),""),ROWS($A$15:A27)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M22" s="453" t="str">
        <f t="array" ref="M22">IFERROR(IF($D$9="",IF($D$11="",IF($D$13="",IF($D$15="",INDEX(orderHistory[order_no],SMALL(MATCH(ROW(orderHistory[customer]),ROW(orderHistory[customer])),ROWS($A$15:A27)+$B$3)),INDEX(orderHistory[order_no],SMALL(IF(ISNUMBER(MATCH(YEAR(orderHistory[invoice_date]),$D$15,0)),MATCH(ROW(orderHistory[customer]),ROW(orderHistory[customer])),""),ROWS($A$15:A27)+$B$3))),IF($D$15="",INDEX(orderHistory[order_no],SMALL(IF(ISNUMBER(MATCH(orderHistory[order_type],$D$13,0)),MATCH(ROW(orderHistory[customer]),ROW(orderHistory[customer])),""),ROWS($A$15:A27)+$B$3)),INDEX(orderHistory[order_no],SMALL(IF(ISNUMBER(MATCH(orderHistory[order_type],$D$13,0)*MATCH(YEAR(orderHistory[invoice_date]),$D$15,0)),MATCH(ROW(orderHistory[customer]),ROW(orderHistory[customer])),""),ROWS($A$15:A27)+$B$3)))),IF($D$13="",IF($D$15="",INDEX(orderHistory[order_no],SMALL(IF(ISNUMBER(MATCH(orderHistory[status],$D$11,0)),MATCH(ROW(orderHistory[customer]),ROW(orderHistory[customer])),""),ROWS($A$15:A27)+$B$3)),INDEX(orderHistory[order_no],SMALL(IF(ISNUMBER(MATCH(orderHistory[status],$D$11,0)*MATCH(YEAR(orderHistory[invoice_date]),$D$15,0)),MATCH(ROW(orderHistory[customer]),ROW(orderHistory[customer])),""),ROWS($A$15:A27)+$B$3))),IF($D$15="",INDEX(orderHistory[order_no],SMALL(IF(ISNUMBER(MATCH(orderHistory[status],$D$11,0)*MATCH(orderHistory[order_type],$D$13,0)),MATCH(ROW(orderHistory[customer]),ROW(orderHistory[customer])),""),ROWS($A$15:A27)+$B$3)),INDEX(orderHistory[order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no],SMALL(IF(ISNUMBER(MATCH(orderHistory[customer],$D$9,0)),MATCH(ROW(orderHistory[customer]),ROW(orderHistory[customer])),""),ROWS($A$15:A27)+$B$3)),INDEX(orderHistory[order_no],SMALL(IF(ISNUMBER(MATCH(orderHistory[customer],$D$9,0)*MATCH(YEAR(orderHistory[invoice_date]),$D$15,0)),MATCH(ROW(orderHistory[customer]),ROW(orderHistory[customer])),""),ROWS($A$15:A27)+$B$3))),IF($D$15="",INDEX(orderHistory[order_no],SMALL(IF(ISNUMBER(MATCH(orderHistory[customer],$D$9,0)*MATCH(orderHistory[order_type],$D$13,0)),MATCH(ROW(orderHistory[customer]),ROW(orderHistory[customer])),""),ROWS($A$15:A27)+$B$3)),INDEX(orderHistory[order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YEAR(orderHistory[invoice_date]),$D$15,0)),MATCH(ROW(orderHistory[customer]),ROW(orderHistory[customer])),""),ROWS($A$15:A27)+$B$3))),IF($D$15="",INDEX(orderHistory[order_no],SMALL(IF(ISNUMBER(MATCH(orderHistory[customer],$D$9,0)*MATCH(orderHistory[status],$D$11,0)*MATCH(orderHistory[order_type],$D$13,0)),MATCH(ROW(orderHistory[customer]),ROW(orderHistory[customer])),""),ROWS($A$15:A27)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N22" s="454" t="str">
        <f t="array" ref="N22">IFERROR(IF($D$9="",IF($D$11="",IF($D$13="",IF($D$15="",INDEX(orderHistory[order_type],SMALL(MATCH(ROW(orderHistory[customer]),ROW(orderHistory[customer])),ROWS($A$15:A27)+$B$3)),INDEX(orderHistory[order_type],SMALL(IF(ISNUMBER(MATCH(YEAR(orderHistory[invoice_date]),$D$15,0)),MATCH(ROW(orderHistory[customer]),ROW(orderHistory[customer])),""),ROWS($A$15:A27)+$B$3))),IF($D$15="",INDEX(orderHistory[order_type],SMALL(IF(ISNUMBER(MATCH(orderHistory[order_type],$D$13,0)),MATCH(ROW(orderHistory[customer]),ROW(orderHistory[customer])),""),ROWS($A$15:A27)+$B$3)),INDEX(orderHistory[order_type],SMALL(IF(ISNUMBER(MATCH(orderHistory[order_type],$D$13,0)*MATCH(YEAR(orderHistory[invoice_date]),$D$15,0)),MATCH(ROW(orderHistory[customer]),ROW(orderHistory[customer])),""),ROWS($A$15:A27)+$B$3)))),IF($D$13="",IF($D$15="",INDEX(orderHistory[order_type],SMALL(IF(ISNUMBER(MATCH(orderHistory[status],$D$11,0)),MATCH(ROW(orderHistory[customer]),ROW(orderHistory[customer])),""),ROWS($A$15:A27)+$B$3)),INDEX(orderHistory[order_type],SMALL(IF(ISNUMBER(MATCH(orderHistory[status],$D$11,0)*MATCH(YEAR(orderHistory[invoice_date]),$D$15,0)),MATCH(ROW(orderHistory[customer]),ROW(orderHistory[customer])),""),ROWS($A$15:A27)+$B$3))),IF($D$15="",INDEX(orderHistory[order_type],SMALL(IF(ISNUMBER(MATCH(orderHistory[status],$D$11,0)*MATCH(orderHistory[order_type],$D$13,0)),MATCH(ROW(orderHistory[customer]),ROW(orderHistory[customer])),""),ROWS($A$15:A27)+$B$3)),INDEX(orderHistory[order_typ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type],SMALL(IF(ISNUMBER(MATCH(orderHistory[customer],$D$9,0)),MATCH(ROW(orderHistory[customer]),ROW(orderHistory[customer])),""),ROWS($A$15:A27)+$B$3)),INDEX(orderHistory[order_type],SMALL(IF(ISNUMBER(MATCH(orderHistory[customer],$D$9,0)*MATCH(YEAR(orderHistory[invoice_date]),$D$15,0)),MATCH(ROW(orderHistory[customer]),ROW(orderHistory[customer])),""),ROWS($A$15:A27)+$B$3))),IF($D$15="",INDEX(orderHistory[order_type],SMALL(IF(ISNUMBER(MATCH(orderHistory[customer],$D$9,0)*MATCH(orderHistory[order_type],$D$13,0)),MATCH(ROW(orderHistory[customer]),ROW(orderHistory[customer])),""),ROWS($A$15:A27)+$B$3)),INDEX(orderHistory[order_typ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YEAR(orderHistory[invoice_date]),$D$15,0)),MATCH(ROW(orderHistory[customer]),ROW(orderHistory[customer])),""),ROWS($A$15:A27)+$B$3))),IF($D$15="",INDEX(orderHistory[order_type],SMALL(IF(ISNUMBER(MATCH(orderHistory[customer],$D$9,0)*MATCH(orderHistory[status],$D$11,0)*MATCH(orderHistory[order_type],$D$13,0)),MATCH(ROW(orderHistory[customer]),ROW(orderHistory[customer])),""),ROWS($A$15:A27)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O22" s="455" t="str">
        <f t="array" ref="O22">IFERROR(IF($D$9="",IF($D$11="",IF($D$13="",IF($D$15="",INDEX(orderHistory[order_date],SMALL(MATCH(ROW(orderHistory[customer]),ROW(orderHistory[customer])),ROWS($A$15:A27)+$B$3)),INDEX(orderHistory[order_date],SMALL(IF(ISNUMBER(MATCH(YEAR(orderHistory[invoice_date]),$D$15,0)),MATCH(ROW(orderHistory[customer]),ROW(orderHistory[customer])),""),ROWS($A$15:A27)+$B$3))),IF($D$15="",INDEX(orderHistory[order_date],SMALL(IF(ISNUMBER(MATCH(orderHistory[order_type],$D$13,0)),MATCH(ROW(orderHistory[customer]),ROW(orderHistory[customer])),""),ROWS($A$15:A27)+$B$3)),INDEX(orderHistory[order_date],SMALL(IF(ISNUMBER(MATCH(orderHistory[order_type],$D$13,0)*MATCH(YEAR(orderHistory[invoice_date]),$D$15,0)),MATCH(ROW(orderHistory[customer]),ROW(orderHistory[customer])),""),ROWS($A$15:A27)+$B$3)))),IF($D$13="",IF($D$15="",INDEX(orderHistory[order_date],SMALL(IF(ISNUMBER(MATCH(orderHistory[status],$D$11,0)),MATCH(ROW(orderHistory[customer]),ROW(orderHistory[customer])),""),ROWS($A$15:A27)+$B$3)),INDEX(orderHistory[order_date],SMALL(IF(ISNUMBER(MATCH(orderHistory[status],$D$11,0)*MATCH(YEAR(orderHistory[invoice_date]),$D$15,0)),MATCH(ROW(orderHistory[customer]),ROW(orderHistory[customer])),""),ROWS($A$15:A27)+$B$3))),IF($D$15="",INDEX(orderHistory[order_date],SMALL(IF(ISNUMBER(MATCH(orderHistory[status],$D$11,0)*MATCH(orderHistory[order_type],$D$13,0)),MATCH(ROW(orderHistory[customer]),ROW(orderHistory[customer])),""),ROWS($A$15:A27)+$B$3)),INDEX(orderHistory[order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date],SMALL(IF(ISNUMBER(MATCH(orderHistory[customer],$D$9,0)),MATCH(ROW(orderHistory[customer]),ROW(orderHistory[customer])),""),ROWS($A$15:A27)+$B$3)),INDEX(orderHistory[order_date],SMALL(IF(ISNUMBER(MATCH(orderHistory[customer],$D$9,0)*MATCH(YEAR(orderHistory[invoice_date]),$D$15,0)),MATCH(ROW(orderHistory[customer]),ROW(orderHistory[customer])),""),ROWS($A$15:A27)+$B$3))),IF($D$15="",INDEX(orderHistory[order_date],SMALL(IF(ISNUMBER(MATCH(orderHistory[customer],$D$9,0)*MATCH(orderHistory[order_type],$D$13,0)),MATCH(ROW(orderHistory[customer]),ROW(orderHistory[customer])),""),ROWS($A$15:A27)+$B$3)),INDEX(orderHistory[order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YEAR(orderHistory[invoice_date]),$D$15,0)),MATCH(ROW(orderHistory[customer]),ROW(orderHistory[customer])),""),ROWS($A$15:A27)+$B$3))),IF($D$15="",INDEX(orderHistory[order_date],SMALL(IF(ISNUMBER(MATCH(orderHistory[customer],$D$9,0)*MATCH(orderHistory[status],$D$11,0)*MATCH(orderHistory[order_type],$D$13,0)),MATCH(ROW(orderHistory[customer]),ROW(orderHistory[customer])),""),ROWS($A$15:A27)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P22" s="456" t="str">
        <f t="array" ref="P22">IFERROR(IF($D$9="",IF($D$11="",IF($D$13="",IF($D$15="",INDEX(orderHistory[invoice_no],SMALL(MATCH(ROW(orderHistory[customer]),ROW(orderHistory[customer])),ROWS($A$15:A27)+$B$3)),INDEX(orderHistory[invoice_no],SMALL(IF(ISNUMBER(MATCH(YEAR(orderHistory[invoice_date]),$D$15,0)),MATCH(ROW(orderHistory[customer]),ROW(orderHistory[customer])),""),ROWS($A$15:A27)+$B$3))),IF($D$15="",INDEX(orderHistory[invoice_no],SMALL(IF(ISNUMBER(MATCH(orderHistory[order_type],$D$13,0)),MATCH(ROW(orderHistory[customer]),ROW(orderHistory[customer])),""),ROWS($A$15:A27)+$B$3)),INDEX(orderHistory[invoice_no],SMALL(IF(ISNUMBER(MATCH(orderHistory[order_type],$D$13,0)*MATCH(YEAR(orderHistory[invoice_date]),$D$15,0)),MATCH(ROW(orderHistory[customer]),ROW(orderHistory[customer])),""),ROWS($A$15:A27)+$B$3)))),IF($D$13="",IF($D$15="",INDEX(orderHistory[invoice_no],SMALL(IF(ISNUMBER(MATCH(orderHistory[status],$D$11,0)),MATCH(ROW(orderHistory[customer]),ROW(orderHistory[customer])),""),ROWS($A$15:A27)+$B$3)),INDEX(orderHistory[invoice_no],SMALL(IF(ISNUMBER(MATCH(orderHistory[status],$D$11,0)*MATCH(YEAR(orderHistory[invoice_date]),$D$15,0)),MATCH(ROW(orderHistory[customer]),ROW(orderHistory[customer])),""),ROWS($A$15:A27)+$B$3))),IF($D$15="",INDEX(orderHistory[invoice_no],SMALL(IF(ISNUMBER(MATCH(orderHistory[status],$D$11,0)*MATCH(orderHistory[order_type],$D$13,0)),MATCH(ROW(orderHistory[customer]),ROW(orderHistory[customer])),""),ROWS($A$15:A27)+$B$3)),INDEX(orderHistory[invoice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no],SMALL(IF(ISNUMBER(MATCH(orderHistory[customer],$D$9,0)),MATCH(ROW(orderHistory[customer]),ROW(orderHistory[customer])),""),ROWS($A$15:A27)+$B$3)),INDEX(orderHistory[invoice_no],SMALL(IF(ISNUMBER(MATCH(orderHistory[customer],$D$9,0)*MATCH(YEAR(orderHistory[invoice_date]),$D$15,0)),MATCH(ROW(orderHistory[customer]),ROW(orderHistory[customer])),""),ROWS($A$15:A27)+$B$3))),IF($D$15="",INDEX(orderHistory[invoice_no],SMALL(IF(ISNUMBER(MATCH(orderHistory[customer],$D$9,0)*MATCH(orderHistory[order_type],$D$13,0)),MATCH(ROW(orderHistory[customer]),ROW(orderHistory[customer])),""),ROWS($A$15:A27)+$B$3)),INDEX(orderHistory[invoice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YEAR(orderHistory[invoice_date]),$D$15,0)),MATCH(ROW(orderHistory[customer]),ROW(orderHistory[customer])),""),ROWS($A$15:A27)+$B$3))),IF($D$15="",INDEX(orderHistory[invoice_no],SMALL(IF(ISNUMBER(MATCH(orderHistory[customer],$D$9,0)*MATCH(orderHistory[status],$D$11,0)*MATCH(orderHistory[order_type],$D$13,0)),MATCH(ROW(orderHistory[customer]),ROW(orderHistory[customer])),""),ROWS($A$15:A27)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Q22" s="457" t="str">
        <f t="array" ref="Q22">IFERROR(IF($D$9="",IF($D$11="",IF($D$13="",IF($D$15="",INDEX(orderHistory[invoice_date],SMALL(MATCH(ROW(orderHistory[customer]),ROW(orderHistory[customer])),ROWS($A$15:A27)+$B$3)),INDEX(orderHistory[invoice_date],SMALL(IF(ISNUMBER(MATCH(YEAR(orderHistory[invoice_date]),$D$15,0)),MATCH(ROW(orderHistory[customer]),ROW(orderHistory[customer])),""),ROWS($A$15:A27)+$B$3))),IF($D$15="",INDEX(orderHistory[invoice_date],SMALL(IF(ISNUMBER(MATCH(orderHistory[order_type],$D$13,0)),MATCH(ROW(orderHistory[customer]),ROW(orderHistory[customer])),""),ROWS($A$15:A27)+$B$3)),INDEX(orderHistory[invoice_date],SMALL(IF(ISNUMBER(MATCH(orderHistory[order_type],$D$13,0)*MATCH(YEAR(orderHistory[invoice_date]),$D$15,0)),MATCH(ROW(orderHistory[customer]),ROW(orderHistory[customer])),""),ROWS($A$15:A27)+$B$3)))),IF($D$13="",IF($D$15="",INDEX(orderHistory[invoice_date],SMALL(IF(ISNUMBER(MATCH(orderHistory[status],$D$11,0)),MATCH(ROW(orderHistory[customer]),ROW(orderHistory[customer])),""),ROWS($A$15:A27)+$B$3)),INDEX(orderHistory[invoice_date],SMALL(IF(ISNUMBER(MATCH(orderHistory[status],$D$11,0)*MATCH(YEAR(orderHistory[invoice_date]),$D$15,0)),MATCH(ROW(orderHistory[customer]),ROW(orderHistory[customer])),""),ROWS($A$15:A27)+$B$3))),IF($D$15="",INDEX(orderHistory[invoice_date],SMALL(IF(ISNUMBER(MATCH(orderHistory[status],$D$11,0)*MATCH(orderHistory[order_type],$D$13,0)),MATCH(ROW(orderHistory[customer]),ROW(orderHistory[customer])),""),ROWS($A$15:A27)+$B$3)),INDEX(orderHistory[invoice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date],SMALL(IF(ISNUMBER(MATCH(orderHistory[customer],$D$9,0)),MATCH(ROW(orderHistory[customer]),ROW(orderHistory[customer])),""),ROWS($A$15:A27)+$B$3)),INDEX(orderHistory[invoice_date],SMALL(IF(ISNUMBER(MATCH(orderHistory[customer],$D$9,0)*MATCH(YEAR(orderHistory[invoice_date]),$D$15,0)),MATCH(ROW(orderHistory[customer]),ROW(orderHistory[customer])),""),ROWS($A$15:A27)+$B$3))),IF($D$15="",INDEX(orderHistory[invoice_date],SMALL(IF(ISNUMBER(MATCH(orderHistory[customer],$D$9,0)*MATCH(orderHistory[order_type],$D$13,0)),MATCH(ROW(orderHistory[customer]),ROW(orderHistory[customer])),""),ROWS($A$15:A27)+$B$3)),INDEX(orderHistory[invoice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YEAR(orderHistory[invoice_date]),$D$15,0)),MATCH(ROW(orderHistory[customer]),ROW(orderHistory[customer])),""),ROWS($A$15:A27)+$B$3))),IF($D$15="",INDEX(orderHistory[invoice_date],SMALL(IF(ISNUMBER(MATCH(orderHistory[customer],$D$9,0)*MATCH(orderHistory[status],$D$11,0)*MATCH(orderHistory[order_type],$D$13,0)),MATCH(ROW(orderHistory[customer]),ROW(orderHistory[customer])),""),ROWS($A$15:A27)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R22" s="458" t="str">
        <f t="array" ref="R22">IFERROR(IF($D$9="",IF($D$11="",IF($D$13="",IF($D$15="",INDEX(orderHistory[inv_amount],SMALL(MATCH(ROW(orderHistory[customer]),ROW(orderHistory[customer])),ROWS($A$15:A27)+$B$3)),INDEX(orderHistory[inv_amount],SMALL(IF(ISNUMBER(MATCH(YEAR(orderHistory[invoice_date]),$D$15,0)),MATCH(ROW(orderHistory[customer]),ROW(orderHistory[customer])),""),ROWS($A$15:A27)+$B$3))),IF($D$15="",INDEX(orderHistory[inv_amount],SMALL(IF(ISNUMBER(MATCH(orderHistory[order_type],$D$13,0)),MATCH(ROW(orderHistory[customer]),ROW(orderHistory[customer])),""),ROWS($A$15:A27)+$B$3)),INDEX(orderHistory[inv_amount],SMALL(IF(ISNUMBER(MATCH(orderHistory[order_type],$D$13,0)*MATCH(YEAR(orderHistory[invoice_date]),$D$15,0)),MATCH(ROW(orderHistory[customer]),ROW(orderHistory[customer])),""),ROWS($A$15:A27)+$B$3)))),IF($D$13="",IF($D$15="",INDEX(orderHistory[inv_amount],SMALL(IF(ISNUMBER(MATCH(orderHistory[status],$D$11,0)),MATCH(ROW(orderHistory[customer]),ROW(orderHistory[customer])),""),ROWS($A$15:A27)+$B$3)),INDEX(orderHistory[inv_amount],SMALL(IF(ISNUMBER(MATCH(orderHistory[status],$D$11,0)*MATCH(YEAR(orderHistory[invoice_date]),$D$15,0)),MATCH(ROW(orderHistory[customer]),ROW(orderHistory[customer])),""),ROWS($A$15:A27)+$B$3))),IF($D$15="",INDEX(orderHistory[inv_amount],SMALL(IF(ISNUMBER(MATCH(orderHistory[status],$D$11,0)*MATCH(orderHistory[order_type],$D$13,0)),MATCH(ROW(orderHistory[customer]),ROW(orderHistory[customer])),""),ROWS($A$15:A27)+$B$3)),INDEX(orderHistory[inv_amount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_amount],SMALL(IF(ISNUMBER(MATCH(orderHistory[customer],$D$9,0)),MATCH(ROW(orderHistory[customer]),ROW(orderHistory[customer])),""),ROWS($A$15:A27)+$B$3)),INDEX(orderHistory[inv_amount],SMALL(IF(ISNUMBER(MATCH(orderHistory[customer],$D$9,0)*MATCH(YEAR(orderHistory[invoice_date]),$D$15,0)),MATCH(ROW(orderHistory[customer]),ROW(orderHistory[customer])),""),ROWS($A$15:A27)+$B$3))),IF($D$15="",INDEX(orderHistory[inv_amount],SMALL(IF(ISNUMBER(MATCH(orderHistory[customer],$D$9,0)*MATCH(orderHistory[order_type],$D$13,0)),MATCH(ROW(orderHistory[customer]),ROW(orderHistory[customer])),""),ROWS($A$15:A27)+$B$3)),INDEX(orderHistory[inv_amount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YEAR(orderHistory[inv_amount]),$D$15,0)),MATCH(ROW(orderHistory[customer]),ROW(orderHistory[customer])),""),ROWS($A$15:A27)+$B$3))),IF($D$15="",INDEX(orderHistory[inv_amount],SMALL(IF(ISNUMBER(MATCH(orderHistory[customer],$D$9,0)*MATCH(orderHistory[status],$D$11,0)*MATCH(orderHistory[order_type],$D$13,0)),MATCH(ROW(orderHistory[customer]),ROW(orderHistory[customer])),""),ROWS($A$15:A27)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S22" s="569" t="str">
        <f t="array" ref="S22">IFERROR(IF($D$9="",IF($D$11="",IF($D$13="",IF($D$15="",INDEX(orderHistory[lock_goods],SMALL(MATCH(ROW(orderHistory[customer]),ROW(orderHistory[customer])),ROWS($A$15:A27)+$B$3)),INDEX(orderHistory[lock_goods],SMALL(IF(ISNUMBER(MATCH(YEAR(orderHistory[invoice_date]),$D$15,0)),MATCH(ROW(orderHistory[customer]),ROW(orderHistory[customer])),""),ROWS($A$15:A27)+$B$3))),IF($D$15="",INDEX(orderHistory[lock_goods],SMALL(IF(ISNUMBER(MATCH(orderHistory[order_type],$D$13,0)),MATCH(ROW(orderHistory[customer]),ROW(orderHistory[customer])),""),ROWS($A$15:A27)+$B$3)),INDEX(orderHistory[lock_goods],SMALL(IF(ISNUMBER(MATCH(orderHistory[order_type],$D$13,0)*MATCH(YEAR(orderHistory[invoice_date]),$D$15,0)),MATCH(ROW(orderHistory[customer]),ROW(orderHistory[customer])),""),ROWS($A$15:A27)+$B$3)))),IF($D$13="",IF($D$15="",INDEX(orderHistory[lock_goods],SMALL(IF(ISNUMBER(MATCH(orderHistory[status],$D$11,0)),MATCH(ROW(orderHistory[customer]),ROW(orderHistory[customer])),""),ROWS($A$15:A27)+$B$3)),INDEX(orderHistory[lock_goods],SMALL(IF(ISNUMBER(MATCH(orderHistory[status],$D$11,0)*MATCH(YEAR(orderHistory[invoice_date]),$D$15,0)),MATCH(ROW(orderHistory[customer]),ROW(orderHistory[customer])),""),ROWS($A$15:A27)+$B$3))),IF($D$15="",INDEX(orderHistory[lock_goods],SMALL(IF(ISNUMBER(MATCH(orderHistory[status],$D$11,0)*MATCH(orderHistory[order_type],$D$13,0)),MATCH(ROW(orderHistory[customer]),ROW(orderHistory[customer])),""),ROWS($A$15:A27)+$B$3)),INDEX(orderHistory[lock_good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lock_goods],SMALL(IF(ISNUMBER(MATCH(orderHistory[customer],$D$9,0)),MATCH(ROW(orderHistory[customer]),ROW(orderHistory[customer])),""),ROWS($A$15:A27)+$B$3)),INDEX(orderHistory[lock_goods],SMALL(IF(ISNUMBER(MATCH(orderHistory[customer],$D$9,0)*MATCH(YEAR(orderHistory[invoice_date]),$D$15,0)),MATCH(ROW(orderHistory[customer]),ROW(orderHistory[customer])),""),ROWS($A$15:A27)+$B$3))),IF($D$15="",INDEX(orderHistory[lock_goods],SMALL(IF(ISNUMBER(MATCH(orderHistory[customer],$D$9,0)*MATCH(orderHistory[order_type],$D$13,0)),MATCH(ROW(orderHistory[customer]),ROW(orderHistory[customer])),""),ROWS($A$15:A27)+$B$3)),INDEX(orderHistory[lock_good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lock_goods],SMALL(IF(ISNUMBER(MATCH(orderHistory[customer],$D$9,0)*MATCH(orderHistory[status],$D$11,0)),MATCH(ROW(orderHistory[customer]),ROW(orderHistory[customer])),""),ROWS($A$15:A27)+$B$3)),INDEX(orderHistory[lock_goods],SMALL(IF(ISNUMBER(MATCH(orderHistory[customer],$D$9,0)*MATCH(orderHistory[status],$D$11,0)*MATCH(YEAR(orderHistory[payed]),$D$15,0)),MATCH(ROW(orderHistory[customer]),ROW(orderHistory[customer])),""),ROWS($A$15:A27)+$B$3))),IF($D$15="",INDEX(orderHistory[lock_goods],SMALL(IF(ISNUMBER(MATCH(orderHistory[customer],$D$9,0)*MATCH(orderHistory[status],$D$11,0)*MATCH(orderHistory[order_type],$D$13,0)),MATCH(ROW(orderHistory[customer]),ROW(orderHistory[customer])),""),ROWS($A$15:A27)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T22" s="459" t="str">
        <f t="array" ref="T22">IFERROR(IF($D$9="",IF($D$11="",IF($D$13="",IF($D$15="",INDEX(orderHistory[payed],SMALL(MATCH(ROW(orderHistory[customer]),ROW(orderHistory[customer])),ROWS($A$15:A27)+$B$3)),INDEX(orderHistory[payed],SMALL(IF(ISNUMBER(MATCH(YEAR(orderHistory[invoice_date]),$D$15,0)),MATCH(ROW(orderHistory[customer]),ROW(orderHistory[customer])),""),ROWS($A$15:A27)+$B$3))),IF($D$15="",INDEX(orderHistory[payed],SMALL(IF(ISNUMBER(MATCH(orderHistory[order_type],$D$13,0)),MATCH(ROW(orderHistory[customer]),ROW(orderHistory[customer])),""),ROWS($A$15:A27)+$B$3)),INDEX(orderHistory[payed],SMALL(IF(ISNUMBER(MATCH(orderHistory[order_type],$D$13,0)*MATCH(YEAR(orderHistory[invoice_date]),$D$15,0)),MATCH(ROW(orderHistory[customer]),ROW(orderHistory[customer])),""),ROWS($A$15:A27)+$B$3)))),IF($D$13="",IF($D$15="",INDEX(orderHistory[payed],SMALL(IF(ISNUMBER(MATCH(orderHistory[status],$D$11,0)),MATCH(ROW(orderHistory[customer]),ROW(orderHistory[customer])),""),ROWS($A$15:A27)+$B$3)),INDEX(orderHistory[payed],SMALL(IF(ISNUMBER(MATCH(orderHistory[status],$D$11,0)*MATCH(YEAR(orderHistory[invoice_date]),$D$15,0)),MATCH(ROW(orderHistory[customer]),ROW(orderHistory[customer])),""),ROWS($A$15:A27)+$B$3))),IF($D$15="",INDEX(orderHistory[payed],SMALL(IF(ISNUMBER(MATCH(orderHistory[status],$D$11,0)*MATCH(orderHistory[order_type],$D$13,0)),MATCH(ROW(orderHistory[customer]),ROW(orderHistory[customer])),""),ROWS($A$15:A27)+$B$3)),INDEX(orderHistory[paye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payed],SMALL(IF(ISNUMBER(MATCH(orderHistory[customer],$D$9,0)),MATCH(ROW(orderHistory[customer]),ROW(orderHistory[customer])),""),ROWS($A$15:A27)+$B$3)),INDEX(orderHistory[payed],SMALL(IF(ISNUMBER(MATCH(orderHistory[customer],$D$9,0)*MATCH(YEAR(orderHistory[invoice_date]),$D$15,0)),MATCH(ROW(orderHistory[customer]),ROW(orderHistory[customer])),""),ROWS($A$15:A27)+$B$3))),IF($D$15="",INDEX(orderHistory[payed],SMALL(IF(ISNUMBER(MATCH(orderHistory[customer],$D$9,0)*MATCH(orderHistory[order_type],$D$13,0)),MATCH(ROW(orderHistory[customer]),ROW(orderHistory[customer])),""),ROWS($A$15:A27)+$B$3)),INDEX(orderHistory[paye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YEAR(orderHistory[payed]),$D$15,0)),MATCH(ROW(orderHistory[customer]),ROW(orderHistory[customer])),""),ROWS($A$15:A27)+$B$3))),IF($D$15="",INDEX(orderHistory[payed],SMALL(IF(ISNUMBER(MATCH(orderHistory[customer],$D$9,0)*MATCH(orderHistory[status],$D$11,0)*MATCH(orderHistory[order_type],$D$13,0)),MATCH(ROW(orderHistory[customer]),ROW(orderHistory[customer])),""),ROWS($A$15:A27)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U22" s="454" t="str">
        <f t="array" ref="U22">IFERROR(IF($D$9="",IF($D$11="",IF($D$13="",IF($D$15="",INDEX(orderHistory[shipping_method],SMALL(MATCH(ROW(orderHistory[customer]),ROW(orderHistory[customer])),ROWS($A$15:A27)+$B$3)),INDEX(orderHistory[shipping_method],SMALL(IF(ISNUMBER(MATCH(YEAR(orderHistory[invoice_date]),$D$15,0)),MATCH(ROW(orderHistory[customer]),ROW(orderHistory[customer])),""),ROWS($A$15:A27)+$B$3))),IF($D$15="",INDEX(orderHistory[shipping_method],SMALL(IF(ISNUMBER(MATCH(orderHistory[order_type],$D$13,0)),MATCH(ROW(orderHistory[customer]),ROW(orderHistory[customer])),""),ROWS($A$15:A27)+$B$3)),INDEX(orderHistory[shipping_method],SMALL(IF(ISNUMBER(MATCH(orderHistory[order_type],$D$13,0)*MATCH(YEAR(orderHistory[invoice_date]),$D$15,0)),MATCH(ROW(orderHistory[customer]),ROW(orderHistory[customer])),""),ROWS($A$15:A27)+$B$3)))),IF($D$13="",IF($D$15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YEAR(orderHistory[invoice_date]),$D$15,0)),MATCH(ROW(orderHistory[customer]),ROW(orderHistory[customer])),""),ROWS($A$15:A27)+$B$3))),IF($D$15="",INDEX(orderHistory[shipping_method],SMALL(IF(ISNUMBER(MATCH(orderHistory[status],$D$11,0)*MATCH(orderHistory[order_type],$D$13,0)),MATCH(ROW(orderHistory[customer]),ROW(orderHistory[customer])),""),ROWS($A$15:A27)+$B$3)),INDEX(orderHistory[shipping_metho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YEAR(orderHistory[invoice_date]),$D$15,0)),MATCH(ROW(orderHistory[customer]),ROW(orderHistory[customer])),""),ROWS($A$15:A27)+$B$3))),IF($D$15="",INDEX(orderHistory[shipping_method],SMALL(IF(ISNUMBER(MATCH(orderHistory[customer],$D$9,0)*MATCH(orderHistory[order_type],$D$13,0)),MATCH(ROW(orderHistory[customer]),ROW(orderHistory[customer])),""),ROWS($A$15:A27)+$B$3)),INDEX(orderHistory[shipping_metho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YEAR(orderHistory[shipping_method]),$D$15,0)),MATCH(ROW(orderHistory[customer]),ROW(orderHistory[customer])),""),ROWS($A$15:A27)+$B$3))),IF($D$15="",INDEX(orderHistory[shipping_method],SMALL(IF(ISNUMBER(MATCH(orderHistory[customer],$D$9,0)*MATCH(orderHistory[status],$D$11,0)*MATCH(orderHistory[order_type],$D$13,0)),MATCH(ROW(orderHistory[customer]),ROW(orderHistory[customer])),""),ROWS($A$15:A27)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V22" s="460" t="str">
        <f t="array" ref="V22">IFERROR(IF($D$9="",IF($D$11="",IF($D$13="",IF($D$15="",INDEX(orderHistory[status],SMALL(MATCH(ROW(orderHistory[customer]),ROW(orderHistory[customer])),ROWS($A$15:A27)+$B$3)),INDEX(orderHistory[status],SMALL(IF(ISNUMBER(MATCH(YEAR(orderHistory[invoice_date]),$D$15,0)),MATCH(ROW(orderHistory[customer]),ROW(orderHistory[customer])),""),ROWS($A$15:A27)+$B$3))),IF($D$15="",INDEX(orderHistory[status],SMALL(IF(ISNUMBER(MATCH(orderHistory[order_type],$D$13,0)),MATCH(ROW(orderHistory[customer]),ROW(orderHistory[customer])),""),ROWS($A$15:A27)+$B$3)),INDEX(orderHistory[status],SMALL(IF(ISNUMBER(MATCH(orderHistory[order_type],$D$13,0)*MATCH(YEAR(orderHistory[invoice_date]),$D$15,0)),MATCH(ROW(orderHistory[customer]),ROW(orderHistory[customer])),""),ROWS($A$15:A27)+$B$3)))),IF($D$13="",IF($D$15="",INDEX(orderHistory[status],SMALL(IF(ISNUMBER(MATCH(orderHistory[status],$D$11,0)),MATCH(ROW(orderHistory[customer]),ROW(orderHistory[customer])),""),ROWS($A$15:A27)+$B$3)),INDEX(orderHistory[status],SMALL(IF(ISNUMBER(MATCH(orderHistory[status],$D$11,0)*MATCH(YEAR(orderHistory[invoice_date]),$D$15,0)),MATCH(ROW(orderHistory[customer]),ROW(orderHistory[customer])),""),ROWS($A$15:A27)+$B$3))),IF($D$15="",INDEX(orderHistory[status],SMALL(IF(ISNUMBER(MATCH(orderHistory[status],$D$11,0)*MATCH(orderHistory[order_type],$D$13,0)),MATCH(ROW(orderHistory[customer]),ROW(orderHistory[customer])),""),ROWS($A$15:A27)+$B$3)),INDEX(orderHistory[statu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tatus],SMALL(IF(ISNUMBER(MATCH(orderHistory[customer],$D$9,0)),MATCH(ROW(orderHistory[customer]),ROW(orderHistory[customer])),""),ROWS($A$15:A27)+$B$3)),INDEX(orderHistory[status],SMALL(IF(ISNUMBER(MATCH(orderHistory[customer],$D$9,0)*MATCH(YEAR(orderHistory[invoice_date]),$D$15,0)),MATCH(ROW(orderHistory[customer]),ROW(orderHistory[customer])),""),ROWS($A$15:A27)+$B$3))),IF($D$15="",INDEX(orderHistory[status],SMALL(IF(ISNUMBER(MATCH(orderHistory[customer],$D$9,0)*MATCH(orderHistory[order_type],$D$13,0)),MATCH(ROW(orderHistory[customer]),ROW(orderHistory[customer])),""),ROWS($A$15:A27)+$B$3)),INDEX(orderHistory[statu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YEAR(orderHistory[status]),$D$15,0)),MATCH(ROW(orderHistory[customer]),ROW(orderHistory[customer])),""),ROWS($A$15:A27)+$B$3))),IF($D$15="",INDEX(orderHistory[status],SMALL(IF(ISNUMBER(MATCH(orderHistory[customer],$D$9,0)*MATCH(orderHistory[status],$D$11,0)*MATCH(orderHistory[order_type],$D$13,0)),MATCH(ROW(orderHistory[customer]),ROW(orderHistory[customer])),""),ROWS($A$15:A27)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W22" s="75"/>
      <c r="AQ22" s="378"/>
      <c r="AU22" s="339"/>
      <c r="AW22" s="376"/>
      <c r="AX22" s="388"/>
      <c r="AZ22" s="340"/>
      <c r="BB22" s="389"/>
      <c r="BD22" s="810"/>
      <c r="BE22" s="811"/>
      <c r="BF22" s="811"/>
      <c r="BG22" s="811"/>
      <c r="BH22" s="812"/>
      <c r="BJ22" s="339"/>
      <c r="BK22" s="366"/>
      <c r="BL22" s="367"/>
      <c r="BM22" s="368"/>
      <c r="BN22" s="367"/>
      <c r="BO22" s="368"/>
      <c r="BX22" s="434"/>
      <c r="BZ22" s="495"/>
      <c r="CA22" s="496" t="str">
        <f>IF(BZ22="","",INDEX(bhpc_data[description],MATCH(BZ22,bhpc_data[sku],0)))</f>
        <v/>
      </c>
      <c r="CB22" s="478"/>
      <c r="CC22" s="490"/>
      <c r="CD22" s="494"/>
      <c r="CE22" s="481"/>
      <c r="CF22" s="482"/>
      <c r="CG22" s="483" t="str">
        <f>IFERROR(ROUNDUP(CB22/INDEX(bhpc_data[units_per_carton],MATCH(BZ22,bhpc_data[sku],0)),0),"")</f>
        <v/>
      </c>
      <c r="CH22" s="484" t="str">
        <f>IFERROR(ROUNDUP(CD22/INDEX(bhpc_data[units_per_carton],MATCH(BZ22,bhpc_data[sku],0)),0),"")</f>
        <v/>
      </c>
      <c r="CI22" s="484" t="str">
        <f>IFERROR(ROUNDUP(CF22/INDEX(bhpc_data[units_per_carton],MATCH(BZ22,bhpc_data[sku])),0),"")</f>
        <v/>
      </c>
      <c r="CJ22" s="484" t="str">
        <f>IFERROR(((CB22+CD22+CF22)/INDEX(bhpc_data[units_per_carton],MATCH(BZ22,bhpc_data[sku],0)))*INDEX(bhpc_data[net_weight],MATCH(BZ22,bhpc_data[sku],0)),"")</f>
        <v/>
      </c>
      <c r="CK22" s="484" t="str">
        <f>IFERROR(((CB22+CD22+CF22)/INDEX(bhpc_data[units_per_carton],MATCH(BZ22,bhpc_data[sku],0)))*INDEX(bhpc_data[gross_weight],MATCH(BZ22,bhpc_data[sku],0)),"")</f>
        <v/>
      </c>
      <c r="CL22" s="485" t="str">
        <f>IFERROR((CB22+CD22+CF22)/INDEX(bhpc_data[units_per_carton],MATCH(BZ22,bhpc_data[sku],0))*INDEX(bhpc_data[lenght],MATCH(BZ22,bhpc_data[sku],0))*INDEX(bhpc_data[width],MATCH(BZ22,bhpc_data[sku],0))*INDEX(bhpc_data[height],MATCH(BZ22,bhpc_data[sku],0))/1000000000,"")</f>
        <v/>
      </c>
      <c r="CM22" s="486" t="str">
        <f>IFERROR(INDEX(bhpc_data[category],MATCH(BZ22,bhpc_data[sku],0)),"")</f>
        <v/>
      </c>
      <c r="CN22" s="486" t="str">
        <f>IFERROR(INDEX(bhpc_data[size1],MATCH(BZ22,bhpc_data[sku],0)),"")</f>
        <v/>
      </c>
      <c r="CO22" s="487" t="str">
        <f>IFERROR(INDEX(bhpc_data[hs_code],MATCH(BZ22,bhpc_data[sku],0)),"")</f>
        <v/>
      </c>
      <c r="CP22" s="482"/>
      <c r="CQ22" s="488" t="str">
        <f>IFERROR(IF(BZ22="","",IF($BX$15="SALE",INDEX(inventory[COSTO UNITARIO],MATCH(BZ22,inventory[ARTICOLO],0)),IF($BX$15="SAMPLING",INDEX(inventory[COSTO UNITARIO],MATCH(BZ22,inventory[ARTICOLO],0)),""))),"")</f>
        <v/>
      </c>
      <c r="CR22" s="488" t="str">
        <f t="shared" si="0"/>
        <v/>
      </c>
      <c r="CS22" s="489" t="str">
        <f t="shared" si="1"/>
        <v/>
      </c>
      <c r="CT22" s="573" t="str">
        <f t="shared" si="2"/>
        <v/>
      </c>
      <c r="CV22" s="85"/>
      <c r="CW22" s="89" t="s">
        <v>602</v>
      </c>
      <c r="CX22" s="236">
        <f>SUM($CG$10:$CI$109)</f>
        <v>280</v>
      </c>
      <c r="CY22" s="533"/>
      <c r="CZ22" s="533"/>
      <c r="DA22" s="82"/>
      <c r="DH22" s="245"/>
      <c r="EE22" s="547" t="str" cm="1">
        <f t="array" ref="EE22">IFERROR(IF($EC$9="",IF($EC$11="",IF($EC$13="",INDEX(bhpc_data[sku],SMALL(MATCH(ROW(bhpc_data[sku]),ROW(bhpc_data[sku])),ROWS($A$15:A27)+$B$3)),INDEX(bhpc_data[sku],SMALL(IF(ISNUMBER(MATCH(bhpc_data[size1],$EC$13,0)),MATCH(ROW(bhpc_data[sku]),ROW(bhpc_data[sku])),""),ROWS($A$15:A27)+$B$3))),IF($EC$13="",INDEX(bhpc_data[sku],SMALL(IF(ISNUMBER(MATCH(bhpc_data[sex],$EC$11,0)),MATCH(ROW(bhpc_data[sku]),ROW(bhpc_data[sku])),""),ROWS($A$15:A27)+$B$3)),INDEX(bhpc_data[sku],SMALL(IF(ISNUMBER(MATCH(bhpc_data[sex],$EC$11,0)*MATCH(bhpc_data[size1],$EC$13,0)),MATCH(ROW(bhpc_data[sku]),ROW(bhpc_data[sku])),""),ROWS($A$15:A27)+$B$3)))),IF($EC$11="",IF($EC$13="",INDEX(bhpc_data[sku],SMALL(IF(ISNUMBER(MATCH(bhpc_data[category],$EC$9,0)),MATCH(ROW(bhpc_data[sku]),ROW(bhpc_data[sku])),""),ROWS($A$15:A27)+$B$3)),INDEX(bhpc_data[sku],SMALL(IF(ISNUMBER(MATCH(bhpc_data[category],$EC$9,0)*MATCH(bhpc_data[size1],$EC$13,0)),MATCH(ROW(bhpc_data[sku]),ROW(bhpc_data[sku])),""),ROWS($A$15:A27)+$B$3))),IF($EC$13="",INDEX(bhpc_data[sku],SMALL(IF(ISNUMBER(MATCH(bhpc_data[category],$EC$9,0)*MATCH(bhpc_data[sex],$EC$11,0)),MATCH(ROW(bhpc_data[sku]),ROW(bhpc_data[sku])),""),ROWS($A$15:A27)+$B$3)),INDEX(bhpc_data[sku],SMALL(IF(ISNUMBER(MATCH(bhpc_data[category],$EC$9,0)*MATCH(bhpc_data[sex],$EC$11,0)*MATCH(bhpc_data[size1],$EC$13,0)),MATCH(ROW(bhpc_data[sku]),ROW(bhpc_data[sku])),""),ROWS($A$15:A27)+$B$3))))),"")</f>
        <v>GS5050</v>
      </c>
      <c r="EF22" s="548" t="str" cm="1">
        <f t="array" ref="EF22">IFERROR(IF($EC$9="",IF($EC$11="",IF($EC$13="",INDEX(bhpc_data[description],SMALL(MATCH(ROW(bhpc_data[sku]),ROW(bhpc_data[sku])),ROWS($A$15:A27)+$B$3)),INDEX(bhpc_data[description],SMALL(IF(ISNUMBER(MATCH(bhpc_data[size1],$EC$13,0)),MATCH(ROW(bhpc_data[sku]),ROW(bhpc_data[sku])),""),ROWS($A$15:A27)+$B$3))),IF($EC$13="",INDEX(bhpc_data[description],SMALL(IF(ISNUMBER(MATCH(bhpc_data[sex],$EC$11,0)),MATCH(ROW(bhpc_data[sku]),ROW(bhpc_data[sku])),""),ROWS($A$15:A27)+$B$3)),INDEX(bhpc_data[description],SMALL(IF(ISNUMBER(MATCH(bhpc_data[sex],$EC$11,0)*MATCH(bhpc_data[size1],$EC$13,0)),MATCH(ROW(bhpc_data[sku]),ROW(bhpc_data[sku])),""),ROWS($A$15:A27)+$B$3)))),IF($EC$11="",IF($EC$13="",INDEX(bhpc_data[description],SMALL(IF(ISNUMBER(MATCH(bhpc_data[category],$EC$9,0)),MATCH(ROW(bhpc_data[sku]),ROW(bhpc_data[sku])),""),ROWS($A$15:A27)+$B$3)),INDEX(bhpc_data[description],SMALL(IF(ISNUMBER(MATCH(bhpc_data[category],$EC$9,0)*MATCH(bhpc_data[size1],$EC$13,0)),MATCH(ROW(bhpc_data[sku]),ROW(bhpc_data[sku])),""),ROWS($A$15:A27)+$B$3))),IF($EC$13="",INDEX(bhpc_data[description],SMALL(IF(ISNUMBER(MATCH(bhpc_data[category],$EC$9,0)*MATCH(bhpc_data[sex],$EC$11,0)),MATCH(ROW(bhpc_data[sku]),ROW(bhpc_data[sku])),""),ROWS($A$15:A27)+$B$3)),INDEX(bhpc_data[description],SMALL(IF(ISNUMBER(MATCH(bhpc_data[category],$EC$9,0)*MATCH(bhpc_data[sex],$EC$11,0)*MATCH(bhpc_data[size1],$EC$13,0)),MATCH(ROW(bhpc_data[sku]),ROW(bhpc_data[sku])),""),ROWS($A$15:A27)+$B$3))))),"")</f>
        <v>BHPC GIFT SET WOMEN 1 EDP 100ML + DEO 150ML</v>
      </c>
      <c r="EG22" s="549">
        <f>IFERROR(IF('BHPC MANAGER'!$EE22="","",INDEX(inventory[ESISTENZA],MATCH('BHPC MANAGER'!$EE22,inventory[ARTICOLO],0))),0)</f>
        <v>0</v>
      </c>
      <c r="EH22" s="550">
        <v>-46</v>
      </c>
      <c r="EI22" s="550">
        <f t="shared" si="3"/>
        <v>-46</v>
      </c>
      <c r="EJ22" s="551">
        <v>0</v>
      </c>
      <c r="EK22" s="552">
        <f t="shared" si="4"/>
        <v>-46</v>
      </c>
      <c r="FF22" s="331"/>
      <c r="FG22" s="331"/>
      <c r="FH22" s="331"/>
      <c r="FI22" s="331"/>
      <c r="FJ22" s="331"/>
      <c r="FK22" s="331"/>
      <c r="FL22" s="331"/>
      <c r="FM22" s="331"/>
      <c r="FN22" s="331"/>
      <c r="FO22" s="331"/>
      <c r="FP22" s="331"/>
      <c r="FQ22" s="331"/>
      <c r="FR22" s="331"/>
      <c r="FS22" s="331"/>
      <c r="FT22" s="331"/>
      <c r="FU22" s="331"/>
      <c r="FV22" s="331"/>
      <c r="FW22" s="331"/>
      <c r="FX22" s="331"/>
      <c r="FY22" s="331"/>
      <c r="FZ22" s="331"/>
      <c r="GA22" s="331"/>
      <c r="GB22" s="331"/>
      <c r="GC22" s="331"/>
      <c r="GD22" s="331"/>
      <c r="GE22" s="331"/>
      <c r="GF22" s="331"/>
      <c r="GG22" s="331"/>
      <c r="GH22" s="331"/>
      <c r="GI22" s="331"/>
      <c r="GJ22" s="331"/>
      <c r="GK22" s="331"/>
      <c r="GL22" s="331"/>
      <c r="GM22" s="331"/>
      <c r="GN22" s="331"/>
      <c r="GO22" s="331"/>
      <c r="GP22" s="331"/>
      <c r="GQ22" s="331"/>
      <c r="GR22" s="331"/>
      <c r="GS22" s="331"/>
      <c r="GT22" s="331"/>
      <c r="GU22" s="331"/>
      <c r="GV22" s="331"/>
      <c r="GW22" s="331"/>
      <c r="GX22" s="331"/>
      <c r="GY22" s="331"/>
      <c r="GZ22" s="331"/>
      <c r="HA22" s="331"/>
      <c r="HB22" s="331"/>
      <c r="HC22" s="331"/>
      <c r="HD22" s="331"/>
      <c r="HE22" s="331"/>
      <c r="HF22" s="331"/>
      <c r="HG22" s="331"/>
      <c r="HH22" s="331"/>
      <c r="HI22" s="331"/>
      <c r="HJ22" s="331"/>
      <c r="HK22" s="331"/>
      <c r="HL22" s="331"/>
      <c r="HM22" s="331"/>
      <c r="HN22" s="331"/>
      <c r="HO22" s="331"/>
      <c r="HP22" s="331"/>
      <c r="HQ22" s="331"/>
      <c r="HR22" s="331"/>
      <c r="HS22" s="331"/>
      <c r="HT22" s="331"/>
    </row>
    <row r="23" spans="1:228" ht="15" customHeight="1" thickBot="1" x14ac:dyDescent="0.4">
      <c r="D23" s="342" t="s">
        <v>986</v>
      </c>
      <c r="F23" s="91"/>
      <c r="G23" s="821" t="str">
        <f>IFERROR(INDEX(clientData[hq_address2],MATCH($B$6,clientData[cod_cliente],0)),"")</f>
        <v/>
      </c>
      <c r="H23" s="822"/>
      <c r="I23" s="823"/>
      <c r="J23" s="82"/>
      <c r="L23" s="452" t="str">
        <f t="array" ref="L23">IFERROR(IF($D$9="",IF($D$11="",IF($D$13="",IF($D$15="",INDEX(orderHistory[customer],SMALL(MATCH(ROW(orderHistory[customer]),ROW(orderHistory[customer])),ROWS($A$15:A28)+$B$3)),INDEX(orderHistory[customer],SMALL(IF(ISNUMBER(MATCH(YEAR(orderHistory[invoice_date]),$D$15,0)),MATCH(ROW(orderHistory[customer]),ROW(orderHistory[customer])),""),ROWS($A$15:A28)+$B$3))),IF($D$15="",INDEX(orderHistory[customer],SMALL(IF(ISNUMBER(MATCH(orderHistory[order_type],$D$13,0)),MATCH(ROW(orderHistory[customer]),ROW(orderHistory[customer])),""),ROWS($A$15:A28)+$B$3)),INDEX(orderHistory[customer],SMALL(IF(ISNUMBER(MATCH(orderHistory[order_type],$D$13,0)*MATCH(YEAR(orderHistory[invoice_date]),$D$15,0)),MATCH(ROW(orderHistory[customer]),ROW(orderHistory[customer])),""),ROWS($A$15:A28)+$B$3)))),IF($D$13="",IF($D$15="",INDEX(orderHistory[customer],SMALL(IF(ISNUMBER(MATCH(orderHistory[status],$D$11,0)),MATCH(ROW(orderHistory[customer]),ROW(orderHistory[customer])),""),ROWS($A$15:A28)+$B$3)),INDEX(orderHistory[customer],SMALL(IF(ISNUMBER(MATCH(orderHistory[status],$D$11,0)*MATCH(YEAR(orderHistory[invoice_date]),$D$15,0)),MATCH(ROW(orderHistory[customer]),ROW(orderHistory[customer])),""),ROWS($A$15:A28)+$B$3))),IF($D$15="",INDEX(orderHistory[customer],SMALL(IF(ISNUMBER(MATCH(orderHistory[status],$D$11,0)*MATCH(orderHistory[order_type],$D$13,0)),MATCH(ROW(orderHistory[customer]),ROW(orderHistory[customer])),""),ROWS($A$15:A28)+$B$3)),INDEX(orderHistory[customer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customer],SMALL(IF(ISNUMBER(MATCH(orderHistory[customer],$D$9,0)),MATCH(ROW(orderHistory[customer]),ROW(orderHistory[customer])),""),ROWS($A$15:A28)+$B$3)),INDEX(orderHistory[customer],SMALL(IF(ISNUMBER(MATCH(orderHistory[customer],$D$9,0)*MATCH(YEAR(orderHistory[invoice_date]),$D$15,0)),MATCH(ROW(orderHistory[customer]),ROW(orderHistory[customer])),""),ROWS($A$15:A28)+$B$3))),IF($D$15="",INDEX(orderHistory[customer],SMALL(IF(ISNUMBER(MATCH(orderHistory[customer],$D$9,0)*MATCH(orderHistory[order_type],$D$13,0)),MATCH(ROW(orderHistory[customer]),ROW(orderHistory[customer])),""),ROWS($A$15:A28)+$B$3)),INDEX(orderHistory[customer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YEAR(orderHistory[invoice_date]),$D$15,0)),MATCH(ROW(orderHistory[customer]),ROW(orderHistory[customer])),""),ROWS($A$15:A28)+$B$3))),IF($D$15="",INDEX(orderHistory[customer],SMALL(IF(ISNUMBER(MATCH(orderHistory[customer],$D$9,0)*MATCH(orderHistory[status],$D$11,0)*MATCH(orderHistory[order_type],$D$13,0)),MATCH(ROW(orderHistory[customer]),ROW(orderHistory[customer])),""),ROWS($A$15:A28)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M23" s="453" t="str">
        <f t="array" ref="M23">IFERROR(IF($D$9="",IF($D$11="",IF($D$13="",IF($D$15="",INDEX(orderHistory[order_no],SMALL(MATCH(ROW(orderHistory[customer]),ROW(orderHistory[customer])),ROWS($A$15:A28)+$B$3)),INDEX(orderHistory[order_no],SMALL(IF(ISNUMBER(MATCH(YEAR(orderHistory[invoice_date]),$D$15,0)),MATCH(ROW(orderHistory[customer]),ROW(orderHistory[customer])),""),ROWS($A$15:A28)+$B$3))),IF($D$15="",INDEX(orderHistory[order_no],SMALL(IF(ISNUMBER(MATCH(orderHistory[order_type],$D$13,0)),MATCH(ROW(orderHistory[customer]),ROW(orderHistory[customer])),""),ROWS($A$15:A28)+$B$3)),INDEX(orderHistory[order_no],SMALL(IF(ISNUMBER(MATCH(orderHistory[order_type],$D$13,0)*MATCH(YEAR(orderHistory[invoice_date]),$D$15,0)),MATCH(ROW(orderHistory[customer]),ROW(orderHistory[customer])),""),ROWS($A$15:A28)+$B$3)))),IF($D$13="",IF($D$15="",INDEX(orderHistory[order_no],SMALL(IF(ISNUMBER(MATCH(orderHistory[status],$D$11,0)),MATCH(ROW(orderHistory[customer]),ROW(orderHistory[customer])),""),ROWS($A$15:A28)+$B$3)),INDEX(orderHistory[order_no],SMALL(IF(ISNUMBER(MATCH(orderHistory[status],$D$11,0)*MATCH(YEAR(orderHistory[invoice_date]),$D$15,0)),MATCH(ROW(orderHistory[customer]),ROW(orderHistory[customer])),""),ROWS($A$15:A28)+$B$3))),IF($D$15="",INDEX(orderHistory[order_no],SMALL(IF(ISNUMBER(MATCH(orderHistory[status],$D$11,0)*MATCH(orderHistory[order_type],$D$13,0)),MATCH(ROW(orderHistory[customer]),ROW(orderHistory[customer])),""),ROWS($A$15:A28)+$B$3)),INDEX(orderHistory[order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no],SMALL(IF(ISNUMBER(MATCH(orderHistory[customer],$D$9,0)),MATCH(ROW(orderHistory[customer]),ROW(orderHistory[customer])),""),ROWS($A$15:A28)+$B$3)),INDEX(orderHistory[order_no],SMALL(IF(ISNUMBER(MATCH(orderHistory[customer],$D$9,0)*MATCH(YEAR(orderHistory[invoice_date]),$D$15,0)),MATCH(ROW(orderHistory[customer]),ROW(orderHistory[customer])),""),ROWS($A$15:A28)+$B$3))),IF($D$15="",INDEX(orderHistory[order_no],SMALL(IF(ISNUMBER(MATCH(orderHistory[customer],$D$9,0)*MATCH(orderHistory[order_type],$D$13,0)),MATCH(ROW(orderHistory[customer]),ROW(orderHistory[customer])),""),ROWS($A$15:A28)+$B$3)),INDEX(orderHistory[order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YEAR(orderHistory[invoice_date]),$D$15,0)),MATCH(ROW(orderHistory[customer]),ROW(orderHistory[customer])),""),ROWS($A$15:A28)+$B$3))),IF($D$15="",INDEX(orderHistory[order_no],SMALL(IF(ISNUMBER(MATCH(orderHistory[customer],$D$9,0)*MATCH(orderHistory[status],$D$11,0)*MATCH(orderHistory[order_type],$D$13,0)),MATCH(ROW(orderHistory[customer]),ROW(orderHistory[customer])),""),ROWS($A$15:A28)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N23" s="454" t="str">
        <f t="array" ref="N23">IFERROR(IF($D$9="",IF($D$11="",IF($D$13="",IF($D$15="",INDEX(orderHistory[order_type],SMALL(MATCH(ROW(orderHistory[customer]),ROW(orderHistory[customer])),ROWS($A$15:A28)+$B$3)),INDEX(orderHistory[order_type],SMALL(IF(ISNUMBER(MATCH(YEAR(orderHistory[invoice_date]),$D$15,0)),MATCH(ROW(orderHistory[customer]),ROW(orderHistory[customer])),""),ROWS($A$15:A28)+$B$3))),IF($D$15="",INDEX(orderHistory[order_type],SMALL(IF(ISNUMBER(MATCH(orderHistory[order_type],$D$13,0)),MATCH(ROW(orderHistory[customer]),ROW(orderHistory[customer])),""),ROWS($A$15:A28)+$B$3)),INDEX(orderHistory[order_type],SMALL(IF(ISNUMBER(MATCH(orderHistory[order_type],$D$13,0)*MATCH(YEAR(orderHistory[invoice_date]),$D$15,0)),MATCH(ROW(orderHistory[customer]),ROW(orderHistory[customer])),""),ROWS($A$15:A28)+$B$3)))),IF($D$13="",IF($D$15="",INDEX(orderHistory[order_type],SMALL(IF(ISNUMBER(MATCH(orderHistory[status],$D$11,0)),MATCH(ROW(orderHistory[customer]),ROW(orderHistory[customer])),""),ROWS($A$15:A28)+$B$3)),INDEX(orderHistory[order_type],SMALL(IF(ISNUMBER(MATCH(orderHistory[status],$D$11,0)*MATCH(YEAR(orderHistory[invoice_date]),$D$15,0)),MATCH(ROW(orderHistory[customer]),ROW(orderHistory[customer])),""),ROWS($A$15:A28)+$B$3))),IF($D$15="",INDEX(orderHistory[order_type],SMALL(IF(ISNUMBER(MATCH(orderHistory[status],$D$11,0)*MATCH(orderHistory[order_type],$D$13,0)),MATCH(ROW(orderHistory[customer]),ROW(orderHistory[customer])),""),ROWS($A$15:A28)+$B$3)),INDEX(orderHistory[order_typ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type],SMALL(IF(ISNUMBER(MATCH(orderHistory[customer],$D$9,0)),MATCH(ROW(orderHistory[customer]),ROW(orderHistory[customer])),""),ROWS($A$15:A28)+$B$3)),INDEX(orderHistory[order_type],SMALL(IF(ISNUMBER(MATCH(orderHistory[customer],$D$9,0)*MATCH(YEAR(orderHistory[invoice_date]),$D$15,0)),MATCH(ROW(orderHistory[customer]),ROW(orderHistory[customer])),""),ROWS($A$15:A28)+$B$3))),IF($D$15="",INDEX(orderHistory[order_type],SMALL(IF(ISNUMBER(MATCH(orderHistory[customer],$D$9,0)*MATCH(orderHistory[order_type],$D$13,0)),MATCH(ROW(orderHistory[customer]),ROW(orderHistory[customer])),""),ROWS($A$15:A28)+$B$3)),INDEX(orderHistory[order_typ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YEAR(orderHistory[invoice_date]),$D$15,0)),MATCH(ROW(orderHistory[customer]),ROW(orderHistory[customer])),""),ROWS($A$15:A28)+$B$3))),IF($D$15="",INDEX(orderHistory[order_type],SMALL(IF(ISNUMBER(MATCH(orderHistory[customer],$D$9,0)*MATCH(orderHistory[status],$D$11,0)*MATCH(orderHistory[order_type],$D$13,0)),MATCH(ROW(orderHistory[customer]),ROW(orderHistory[customer])),""),ROWS($A$15:A28)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O23" s="455" t="str">
        <f t="array" ref="O23">IFERROR(IF($D$9="",IF($D$11="",IF($D$13="",IF($D$15="",INDEX(orderHistory[order_date],SMALL(MATCH(ROW(orderHistory[customer]),ROW(orderHistory[customer])),ROWS($A$15:A28)+$B$3)),INDEX(orderHistory[order_date],SMALL(IF(ISNUMBER(MATCH(YEAR(orderHistory[invoice_date]),$D$15,0)),MATCH(ROW(orderHistory[customer]),ROW(orderHistory[customer])),""),ROWS($A$15:A28)+$B$3))),IF($D$15="",INDEX(orderHistory[order_date],SMALL(IF(ISNUMBER(MATCH(orderHistory[order_type],$D$13,0)),MATCH(ROW(orderHistory[customer]),ROW(orderHistory[customer])),""),ROWS($A$15:A28)+$B$3)),INDEX(orderHistory[order_date],SMALL(IF(ISNUMBER(MATCH(orderHistory[order_type],$D$13,0)*MATCH(YEAR(orderHistory[invoice_date]),$D$15,0)),MATCH(ROW(orderHistory[customer]),ROW(orderHistory[customer])),""),ROWS($A$15:A28)+$B$3)))),IF($D$13="",IF($D$15="",INDEX(orderHistory[order_date],SMALL(IF(ISNUMBER(MATCH(orderHistory[status],$D$11,0)),MATCH(ROW(orderHistory[customer]),ROW(orderHistory[customer])),""),ROWS($A$15:A28)+$B$3)),INDEX(orderHistory[order_date],SMALL(IF(ISNUMBER(MATCH(orderHistory[status],$D$11,0)*MATCH(YEAR(orderHistory[invoice_date]),$D$15,0)),MATCH(ROW(orderHistory[customer]),ROW(orderHistory[customer])),""),ROWS($A$15:A28)+$B$3))),IF($D$15="",INDEX(orderHistory[order_date],SMALL(IF(ISNUMBER(MATCH(orderHistory[status],$D$11,0)*MATCH(orderHistory[order_type],$D$13,0)),MATCH(ROW(orderHistory[customer]),ROW(orderHistory[customer])),""),ROWS($A$15:A28)+$B$3)),INDEX(orderHistory[order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date],SMALL(IF(ISNUMBER(MATCH(orderHistory[customer],$D$9,0)),MATCH(ROW(orderHistory[customer]),ROW(orderHistory[customer])),""),ROWS($A$15:A28)+$B$3)),INDEX(orderHistory[order_date],SMALL(IF(ISNUMBER(MATCH(orderHistory[customer],$D$9,0)*MATCH(YEAR(orderHistory[invoice_date]),$D$15,0)),MATCH(ROW(orderHistory[customer]),ROW(orderHistory[customer])),""),ROWS($A$15:A28)+$B$3))),IF($D$15="",INDEX(orderHistory[order_date],SMALL(IF(ISNUMBER(MATCH(orderHistory[customer],$D$9,0)*MATCH(orderHistory[order_type],$D$13,0)),MATCH(ROW(orderHistory[customer]),ROW(orderHistory[customer])),""),ROWS($A$15:A28)+$B$3)),INDEX(orderHistory[order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YEAR(orderHistory[invoice_date]),$D$15,0)),MATCH(ROW(orderHistory[customer]),ROW(orderHistory[customer])),""),ROWS($A$15:A28)+$B$3))),IF($D$15="",INDEX(orderHistory[order_date],SMALL(IF(ISNUMBER(MATCH(orderHistory[customer],$D$9,0)*MATCH(orderHistory[status],$D$11,0)*MATCH(orderHistory[order_type],$D$13,0)),MATCH(ROW(orderHistory[customer]),ROW(orderHistory[customer])),""),ROWS($A$15:A28)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P23" s="456" t="str">
        <f t="array" ref="P23">IFERROR(IF($D$9="",IF($D$11="",IF($D$13="",IF($D$15="",INDEX(orderHistory[invoice_no],SMALL(MATCH(ROW(orderHistory[customer]),ROW(orderHistory[customer])),ROWS($A$15:A28)+$B$3)),INDEX(orderHistory[invoice_no],SMALL(IF(ISNUMBER(MATCH(YEAR(orderHistory[invoice_date]),$D$15,0)),MATCH(ROW(orderHistory[customer]),ROW(orderHistory[customer])),""),ROWS($A$15:A28)+$B$3))),IF($D$15="",INDEX(orderHistory[invoice_no],SMALL(IF(ISNUMBER(MATCH(orderHistory[order_type],$D$13,0)),MATCH(ROW(orderHistory[customer]),ROW(orderHistory[customer])),""),ROWS($A$15:A28)+$B$3)),INDEX(orderHistory[invoice_no],SMALL(IF(ISNUMBER(MATCH(orderHistory[order_type],$D$13,0)*MATCH(YEAR(orderHistory[invoice_date]),$D$15,0)),MATCH(ROW(orderHistory[customer]),ROW(orderHistory[customer])),""),ROWS($A$15:A28)+$B$3)))),IF($D$13="",IF($D$15="",INDEX(orderHistory[invoice_no],SMALL(IF(ISNUMBER(MATCH(orderHistory[status],$D$11,0)),MATCH(ROW(orderHistory[customer]),ROW(orderHistory[customer])),""),ROWS($A$15:A28)+$B$3)),INDEX(orderHistory[invoice_no],SMALL(IF(ISNUMBER(MATCH(orderHistory[status],$D$11,0)*MATCH(YEAR(orderHistory[invoice_date]),$D$15,0)),MATCH(ROW(orderHistory[customer]),ROW(orderHistory[customer])),""),ROWS($A$15:A28)+$B$3))),IF($D$15="",INDEX(orderHistory[invoice_no],SMALL(IF(ISNUMBER(MATCH(orderHistory[status],$D$11,0)*MATCH(orderHistory[order_type],$D$13,0)),MATCH(ROW(orderHistory[customer]),ROW(orderHistory[customer])),""),ROWS($A$15:A28)+$B$3)),INDEX(orderHistory[invoice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no],SMALL(IF(ISNUMBER(MATCH(orderHistory[customer],$D$9,0)),MATCH(ROW(orderHistory[customer]),ROW(orderHistory[customer])),""),ROWS($A$15:A28)+$B$3)),INDEX(orderHistory[invoice_no],SMALL(IF(ISNUMBER(MATCH(orderHistory[customer],$D$9,0)*MATCH(YEAR(orderHistory[invoice_date]),$D$15,0)),MATCH(ROW(orderHistory[customer]),ROW(orderHistory[customer])),""),ROWS($A$15:A28)+$B$3))),IF($D$15="",INDEX(orderHistory[invoice_no],SMALL(IF(ISNUMBER(MATCH(orderHistory[customer],$D$9,0)*MATCH(orderHistory[order_type],$D$13,0)),MATCH(ROW(orderHistory[customer]),ROW(orderHistory[customer])),""),ROWS($A$15:A28)+$B$3)),INDEX(orderHistory[invoice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YEAR(orderHistory[invoice_date]),$D$15,0)),MATCH(ROW(orderHistory[customer]),ROW(orderHistory[customer])),""),ROWS($A$15:A28)+$B$3))),IF($D$15="",INDEX(orderHistory[invoice_no],SMALL(IF(ISNUMBER(MATCH(orderHistory[customer],$D$9,0)*MATCH(orderHistory[status],$D$11,0)*MATCH(orderHistory[order_type],$D$13,0)),MATCH(ROW(orderHistory[customer]),ROW(orderHistory[customer])),""),ROWS($A$15:A28)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Q23" s="457" t="str">
        <f t="array" ref="Q23">IFERROR(IF($D$9="",IF($D$11="",IF($D$13="",IF($D$15="",INDEX(orderHistory[invoice_date],SMALL(MATCH(ROW(orderHistory[customer]),ROW(orderHistory[customer])),ROWS($A$15:A28)+$B$3)),INDEX(orderHistory[invoice_date],SMALL(IF(ISNUMBER(MATCH(YEAR(orderHistory[invoice_date]),$D$15,0)),MATCH(ROW(orderHistory[customer]),ROW(orderHistory[customer])),""),ROWS($A$15:A28)+$B$3))),IF($D$15="",INDEX(orderHistory[invoice_date],SMALL(IF(ISNUMBER(MATCH(orderHistory[order_type],$D$13,0)),MATCH(ROW(orderHistory[customer]),ROW(orderHistory[customer])),""),ROWS($A$15:A28)+$B$3)),INDEX(orderHistory[invoice_date],SMALL(IF(ISNUMBER(MATCH(orderHistory[order_type],$D$13,0)*MATCH(YEAR(orderHistory[invoice_date]),$D$15,0)),MATCH(ROW(orderHistory[customer]),ROW(orderHistory[customer])),""),ROWS($A$15:A28)+$B$3)))),IF($D$13="",IF($D$15="",INDEX(orderHistory[invoice_date],SMALL(IF(ISNUMBER(MATCH(orderHistory[status],$D$11,0)),MATCH(ROW(orderHistory[customer]),ROW(orderHistory[customer])),""),ROWS($A$15:A28)+$B$3)),INDEX(orderHistory[invoice_date],SMALL(IF(ISNUMBER(MATCH(orderHistory[status],$D$11,0)*MATCH(YEAR(orderHistory[invoice_date]),$D$15,0)),MATCH(ROW(orderHistory[customer]),ROW(orderHistory[customer])),""),ROWS($A$15:A28)+$B$3))),IF($D$15="",INDEX(orderHistory[invoice_date],SMALL(IF(ISNUMBER(MATCH(orderHistory[status],$D$11,0)*MATCH(orderHistory[order_type],$D$13,0)),MATCH(ROW(orderHistory[customer]),ROW(orderHistory[customer])),""),ROWS($A$15:A28)+$B$3)),INDEX(orderHistory[invoice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date],SMALL(IF(ISNUMBER(MATCH(orderHistory[customer],$D$9,0)),MATCH(ROW(orderHistory[customer]),ROW(orderHistory[customer])),""),ROWS($A$15:A28)+$B$3)),INDEX(orderHistory[invoice_date],SMALL(IF(ISNUMBER(MATCH(orderHistory[customer],$D$9,0)*MATCH(YEAR(orderHistory[invoice_date]),$D$15,0)),MATCH(ROW(orderHistory[customer]),ROW(orderHistory[customer])),""),ROWS($A$15:A28)+$B$3))),IF($D$15="",INDEX(orderHistory[invoice_date],SMALL(IF(ISNUMBER(MATCH(orderHistory[customer],$D$9,0)*MATCH(orderHistory[order_type],$D$13,0)),MATCH(ROW(orderHistory[customer]),ROW(orderHistory[customer])),""),ROWS($A$15:A28)+$B$3)),INDEX(orderHistory[invoice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YEAR(orderHistory[invoice_date]),$D$15,0)),MATCH(ROW(orderHistory[customer]),ROW(orderHistory[customer])),""),ROWS($A$15:A28)+$B$3))),IF($D$15="",INDEX(orderHistory[invoice_date],SMALL(IF(ISNUMBER(MATCH(orderHistory[customer],$D$9,0)*MATCH(orderHistory[status],$D$11,0)*MATCH(orderHistory[order_type],$D$13,0)),MATCH(ROW(orderHistory[customer]),ROW(orderHistory[customer])),""),ROWS($A$15:A28)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R23" s="458" t="str">
        <f t="array" ref="R23">IFERROR(IF($D$9="",IF($D$11="",IF($D$13="",IF($D$15="",INDEX(orderHistory[inv_amount],SMALL(MATCH(ROW(orderHistory[customer]),ROW(orderHistory[customer])),ROWS($A$15:A28)+$B$3)),INDEX(orderHistory[inv_amount],SMALL(IF(ISNUMBER(MATCH(YEAR(orderHistory[invoice_date]),$D$15,0)),MATCH(ROW(orderHistory[customer]),ROW(orderHistory[customer])),""),ROWS($A$15:A28)+$B$3))),IF($D$15="",INDEX(orderHistory[inv_amount],SMALL(IF(ISNUMBER(MATCH(orderHistory[order_type],$D$13,0)),MATCH(ROW(orderHistory[customer]),ROW(orderHistory[customer])),""),ROWS($A$15:A28)+$B$3)),INDEX(orderHistory[inv_amount],SMALL(IF(ISNUMBER(MATCH(orderHistory[order_type],$D$13,0)*MATCH(YEAR(orderHistory[invoice_date]),$D$15,0)),MATCH(ROW(orderHistory[customer]),ROW(orderHistory[customer])),""),ROWS($A$15:A28)+$B$3)))),IF($D$13="",IF($D$15="",INDEX(orderHistory[inv_amount],SMALL(IF(ISNUMBER(MATCH(orderHistory[status],$D$11,0)),MATCH(ROW(orderHistory[customer]),ROW(orderHistory[customer])),""),ROWS($A$15:A28)+$B$3)),INDEX(orderHistory[inv_amount],SMALL(IF(ISNUMBER(MATCH(orderHistory[status],$D$11,0)*MATCH(YEAR(orderHistory[invoice_date]),$D$15,0)),MATCH(ROW(orderHistory[customer]),ROW(orderHistory[customer])),""),ROWS($A$15:A28)+$B$3))),IF($D$15="",INDEX(orderHistory[inv_amount],SMALL(IF(ISNUMBER(MATCH(orderHistory[status],$D$11,0)*MATCH(orderHistory[order_type],$D$13,0)),MATCH(ROW(orderHistory[customer]),ROW(orderHistory[customer])),""),ROWS($A$15:A28)+$B$3)),INDEX(orderHistory[inv_amount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_amount],SMALL(IF(ISNUMBER(MATCH(orderHistory[customer],$D$9,0)),MATCH(ROW(orderHistory[customer]),ROW(orderHistory[customer])),""),ROWS($A$15:A28)+$B$3)),INDEX(orderHistory[inv_amount],SMALL(IF(ISNUMBER(MATCH(orderHistory[customer],$D$9,0)*MATCH(YEAR(orderHistory[invoice_date]),$D$15,0)),MATCH(ROW(orderHistory[customer]),ROW(orderHistory[customer])),""),ROWS($A$15:A28)+$B$3))),IF($D$15="",INDEX(orderHistory[inv_amount],SMALL(IF(ISNUMBER(MATCH(orderHistory[customer],$D$9,0)*MATCH(orderHistory[order_type],$D$13,0)),MATCH(ROW(orderHistory[customer]),ROW(orderHistory[customer])),""),ROWS($A$15:A28)+$B$3)),INDEX(orderHistory[inv_amount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YEAR(orderHistory[inv_amount]),$D$15,0)),MATCH(ROW(orderHistory[customer]),ROW(orderHistory[customer])),""),ROWS($A$15:A28)+$B$3))),IF($D$15="",INDEX(orderHistory[inv_amount],SMALL(IF(ISNUMBER(MATCH(orderHistory[customer],$D$9,0)*MATCH(orderHistory[status],$D$11,0)*MATCH(orderHistory[order_type],$D$13,0)),MATCH(ROW(orderHistory[customer]),ROW(orderHistory[customer])),""),ROWS($A$15:A28)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S23" s="569" t="str">
        <f t="array" ref="S23">IFERROR(IF($D$9="",IF($D$11="",IF($D$13="",IF($D$15="",INDEX(orderHistory[lock_goods],SMALL(MATCH(ROW(orderHistory[customer]),ROW(orderHistory[customer])),ROWS($A$15:A28)+$B$3)),INDEX(orderHistory[lock_goods],SMALL(IF(ISNUMBER(MATCH(YEAR(orderHistory[invoice_date]),$D$15,0)),MATCH(ROW(orderHistory[customer]),ROW(orderHistory[customer])),""),ROWS($A$15:A28)+$B$3))),IF($D$15="",INDEX(orderHistory[lock_goods],SMALL(IF(ISNUMBER(MATCH(orderHistory[order_type],$D$13,0)),MATCH(ROW(orderHistory[customer]),ROW(orderHistory[customer])),""),ROWS($A$15:A28)+$B$3)),INDEX(orderHistory[lock_goods],SMALL(IF(ISNUMBER(MATCH(orderHistory[order_type],$D$13,0)*MATCH(YEAR(orderHistory[invoice_date]),$D$15,0)),MATCH(ROW(orderHistory[customer]),ROW(orderHistory[customer])),""),ROWS($A$15:A28)+$B$3)))),IF($D$13="",IF($D$15="",INDEX(orderHistory[lock_goods],SMALL(IF(ISNUMBER(MATCH(orderHistory[status],$D$11,0)),MATCH(ROW(orderHistory[customer]),ROW(orderHistory[customer])),""),ROWS($A$15:A28)+$B$3)),INDEX(orderHistory[lock_goods],SMALL(IF(ISNUMBER(MATCH(orderHistory[status],$D$11,0)*MATCH(YEAR(orderHistory[invoice_date]),$D$15,0)),MATCH(ROW(orderHistory[customer]),ROW(orderHistory[customer])),""),ROWS($A$15:A28)+$B$3))),IF($D$15="",INDEX(orderHistory[lock_goods],SMALL(IF(ISNUMBER(MATCH(orderHistory[status],$D$11,0)*MATCH(orderHistory[order_type],$D$13,0)),MATCH(ROW(orderHistory[customer]),ROW(orderHistory[customer])),""),ROWS($A$15:A28)+$B$3)),INDEX(orderHistory[lock_good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lock_goods],SMALL(IF(ISNUMBER(MATCH(orderHistory[customer],$D$9,0)),MATCH(ROW(orderHistory[customer]),ROW(orderHistory[customer])),""),ROWS($A$15:A28)+$B$3)),INDEX(orderHistory[lock_goods],SMALL(IF(ISNUMBER(MATCH(orderHistory[customer],$D$9,0)*MATCH(YEAR(orderHistory[invoice_date]),$D$15,0)),MATCH(ROW(orderHistory[customer]),ROW(orderHistory[customer])),""),ROWS($A$15:A28)+$B$3))),IF($D$15="",INDEX(orderHistory[lock_goods],SMALL(IF(ISNUMBER(MATCH(orderHistory[customer],$D$9,0)*MATCH(orderHistory[order_type],$D$13,0)),MATCH(ROW(orderHistory[customer]),ROW(orderHistory[customer])),""),ROWS($A$15:A28)+$B$3)),INDEX(orderHistory[lock_good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lock_goods],SMALL(IF(ISNUMBER(MATCH(orderHistory[customer],$D$9,0)*MATCH(orderHistory[status],$D$11,0)),MATCH(ROW(orderHistory[customer]),ROW(orderHistory[customer])),""),ROWS($A$15:A28)+$B$3)),INDEX(orderHistory[lock_goods],SMALL(IF(ISNUMBER(MATCH(orderHistory[customer],$D$9,0)*MATCH(orderHistory[status],$D$11,0)*MATCH(YEAR(orderHistory[payed]),$D$15,0)),MATCH(ROW(orderHistory[customer]),ROW(orderHistory[customer])),""),ROWS($A$15:A28)+$B$3))),IF($D$15="",INDEX(orderHistory[lock_goods],SMALL(IF(ISNUMBER(MATCH(orderHistory[customer],$D$9,0)*MATCH(orderHistory[status],$D$11,0)*MATCH(orderHistory[order_type],$D$13,0)),MATCH(ROW(orderHistory[customer]),ROW(orderHistory[customer])),""),ROWS($A$15:A28)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T23" s="459" t="str">
        <f t="array" ref="T23">IFERROR(IF($D$9="",IF($D$11="",IF($D$13="",IF($D$15="",INDEX(orderHistory[payed],SMALL(MATCH(ROW(orderHistory[customer]),ROW(orderHistory[customer])),ROWS($A$15:A28)+$B$3)),INDEX(orderHistory[payed],SMALL(IF(ISNUMBER(MATCH(YEAR(orderHistory[invoice_date]),$D$15,0)),MATCH(ROW(orderHistory[customer]),ROW(orderHistory[customer])),""),ROWS($A$15:A28)+$B$3))),IF($D$15="",INDEX(orderHistory[payed],SMALL(IF(ISNUMBER(MATCH(orderHistory[order_type],$D$13,0)),MATCH(ROW(orderHistory[customer]),ROW(orderHistory[customer])),""),ROWS($A$15:A28)+$B$3)),INDEX(orderHistory[payed],SMALL(IF(ISNUMBER(MATCH(orderHistory[order_type],$D$13,0)*MATCH(YEAR(orderHistory[invoice_date]),$D$15,0)),MATCH(ROW(orderHistory[customer]),ROW(orderHistory[customer])),""),ROWS($A$15:A28)+$B$3)))),IF($D$13="",IF($D$15="",INDEX(orderHistory[payed],SMALL(IF(ISNUMBER(MATCH(orderHistory[status],$D$11,0)),MATCH(ROW(orderHistory[customer]),ROW(orderHistory[customer])),""),ROWS($A$15:A28)+$B$3)),INDEX(orderHistory[payed],SMALL(IF(ISNUMBER(MATCH(orderHistory[status],$D$11,0)*MATCH(YEAR(orderHistory[invoice_date]),$D$15,0)),MATCH(ROW(orderHistory[customer]),ROW(orderHistory[customer])),""),ROWS($A$15:A28)+$B$3))),IF($D$15="",INDEX(orderHistory[payed],SMALL(IF(ISNUMBER(MATCH(orderHistory[status],$D$11,0)*MATCH(orderHistory[order_type],$D$13,0)),MATCH(ROW(orderHistory[customer]),ROW(orderHistory[customer])),""),ROWS($A$15:A28)+$B$3)),INDEX(orderHistory[paye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payed],SMALL(IF(ISNUMBER(MATCH(orderHistory[customer],$D$9,0)),MATCH(ROW(orderHistory[customer]),ROW(orderHistory[customer])),""),ROWS($A$15:A28)+$B$3)),INDEX(orderHistory[payed],SMALL(IF(ISNUMBER(MATCH(orderHistory[customer],$D$9,0)*MATCH(YEAR(orderHistory[invoice_date]),$D$15,0)),MATCH(ROW(orderHistory[customer]),ROW(orderHistory[customer])),""),ROWS($A$15:A28)+$B$3))),IF($D$15="",INDEX(orderHistory[payed],SMALL(IF(ISNUMBER(MATCH(orderHistory[customer],$D$9,0)*MATCH(orderHistory[order_type],$D$13,0)),MATCH(ROW(orderHistory[customer]),ROW(orderHistory[customer])),""),ROWS($A$15:A28)+$B$3)),INDEX(orderHistory[paye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YEAR(orderHistory[payed]),$D$15,0)),MATCH(ROW(orderHistory[customer]),ROW(orderHistory[customer])),""),ROWS($A$15:A28)+$B$3))),IF($D$15="",INDEX(orderHistory[payed],SMALL(IF(ISNUMBER(MATCH(orderHistory[customer],$D$9,0)*MATCH(orderHistory[status],$D$11,0)*MATCH(orderHistory[order_type],$D$13,0)),MATCH(ROW(orderHistory[customer]),ROW(orderHistory[customer])),""),ROWS($A$15:A28)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U23" s="454" t="str">
        <f t="array" ref="U23">IFERROR(IF($D$9="",IF($D$11="",IF($D$13="",IF($D$15="",INDEX(orderHistory[shipping_method],SMALL(MATCH(ROW(orderHistory[customer]),ROW(orderHistory[customer])),ROWS($A$15:A28)+$B$3)),INDEX(orderHistory[shipping_method],SMALL(IF(ISNUMBER(MATCH(YEAR(orderHistory[invoice_date]),$D$15,0)),MATCH(ROW(orderHistory[customer]),ROW(orderHistory[customer])),""),ROWS($A$15:A28)+$B$3))),IF($D$15="",INDEX(orderHistory[shipping_method],SMALL(IF(ISNUMBER(MATCH(orderHistory[order_type],$D$13,0)),MATCH(ROW(orderHistory[customer]),ROW(orderHistory[customer])),""),ROWS($A$15:A28)+$B$3)),INDEX(orderHistory[shipping_method],SMALL(IF(ISNUMBER(MATCH(orderHistory[order_type],$D$13,0)*MATCH(YEAR(orderHistory[invoice_date]),$D$15,0)),MATCH(ROW(orderHistory[customer]),ROW(orderHistory[customer])),""),ROWS($A$15:A28)+$B$3)))),IF($D$13="",IF($D$15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YEAR(orderHistory[invoice_date]),$D$15,0)),MATCH(ROW(orderHistory[customer]),ROW(orderHistory[customer])),""),ROWS($A$15:A28)+$B$3))),IF($D$15="",INDEX(orderHistory[shipping_method],SMALL(IF(ISNUMBER(MATCH(orderHistory[status],$D$11,0)*MATCH(orderHistory[order_type],$D$13,0)),MATCH(ROW(orderHistory[customer]),ROW(orderHistory[customer])),""),ROWS($A$15:A28)+$B$3)),INDEX(orderHistory[shipping_metho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YEAR(orderHistory[invoice_date]),$D$15,0)),MATCH(ROW(orderHistory[customer]),ROW(orderHistory[customer])),""),ROWS($A$15:A28)+$B$3))),IF($D$15="",INDEX(orderHistory[shipping_method],SMALL(IF(ISNUMBER(MATCH(orderHistory[customer],$D$9,0)*MATCH(orderHistory[order_type],$D$13,0)),MATCH(ROW(orderHistory[customer]),ROW(orderHistory[customer])),""),ROWS($A$15:A28)+$B$3)),INDEX(orderHistory[shipping_metho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YEAR(orderHistory[shipping_method]),$D$15,0)),MATCH(ROW(orderHistory[customer]),ROW(orderHistory[customer])),""),ROWS($A$15:A28)+$B$3))),IF($D$15="",INDEX(orderHistory[shipping_method],SMALL(IF(ISNUMBER(MATCH(orderHistory[customer],$D$9,0)*MATCH(orderHistory[status],$D$11,0)*MATCH(orderHistory[order_type],$D$13,0)),MATCH(ROW(orderHistory[customer]),ROW(orderHistory[customer])),""),ROWS($A$15:A28)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V23" s="460" t="str">
        <f t="array" ref="V23">IFERROR(IF($D$9="",IF($D$11="",IF($D$13="",IF($D$15="",INDEX(orderHistory[status],SMALL(MATCH(ROW(orderHistory[customer]),ROW(orderHistory[customer])),ROWS($A$15:A28)+$B$3)),INDEX(orderHistory[status],SMALL(IF(ISNUMBER(MATCH(YEAR(orderHistory[invoice_date]),$D$15,0)),MATCH(ROW(orderHistory[customer]),ROW(orderHistory[customer])),""),ROWS($A$15:A28)+$B$3))),IF($D$15="",INDEX(orderHistory[status],SMALL(IF(ISNUMBER(MATCH(orderHistory[order_type],$D$13,0)),MATCH(ROW(orderHistory[customer]),ROW(orderHistory[customer])),""),ROWS($A$15:A28)+$B$3)),INDEX(orderHistory[status],SMALL(IF(ISNUMBER(MATCH(orderHistory[order_type],$D$13,0)*MATCH(YEAR(orderHistory[invoice_date]),$D$15,0)),MATCH(ROW(orderHistory[customer]),ROW(orderHistory[customer])),""),ROWS($A$15:A28)+$B$3)))),IF($D$13="",IF($D$15="",INDEX(orderHistory[status],SMALL(IF(ISNUMBER(MATCH(orderHistory[status],$D$11,0)),MATCH(ROW(orderHistory[customer]),ROW(orderHistory[customer])),""),ROWS($A$15:A28)+$B$3)),INDEX(orderHistory[status],SMALL(IF(ISNUMBER(MATCH(orderHistory[status],$D$11,0)*MATCH(YEAR(orderHistory[invoice_date]),$D$15,0)),MATCH(ROW(orderHistory[customer]),ROW(orderHistory[customer])),""),ROWS($A$15:A28)+$B$3))),IF($D$15="",INDEX(orderHistory[status],SMALL(IF(ISNUMBER(MATCH(orderHistory[status],$D$11,0)*MATCH(orderHistory[order_type],$D$13,0)),MATCH(ROW(orderHistory[customer]),ROW(orderHistory[customer])),""),ROWS($A$15:A28)+$B$3)),INDEX(orderHistory[statu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tatus],SMALL(IF(ISNUMBER(MATCH(orderHistory[customer],$D$9,0)),MATCH(ROW(orderHistory[customer]),ROW(orderHistory[customer])),""),ROWS($A$15:A28)+$B$3)),INDEX(orderHistory[status],SMALL(IF(ISNUMBER(MATCH(orderHistory[customer],$D$9,0)*MATCH(YEAR(orderHistory[invoice_date]),$D$15,0)),MATCH(ROW(orderHistory[customer]),ROW(orderHistory[customer])),""),ROWS($A$15:A28)+$B$3))),IF($D$15="",INDEX(orderHistory[status],SMALL(IF(ISNUMBER(MATCH(orderHistory[customer],$D$9,0)*MATCH(orderHistory[order_type],$D$13,0)),MATCH(ROW(orderHistory[customer]),ROW(orderHistory[customer])),""),ROWS($A$15:A28)+$B$3)),INDEX(orderHistory[statu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YEAR(orderHistory[status]),$D$15,0)),MATCH(ROW(orderHistory[customer]),ROW(orderHistory[customer])),""),ROWS($A$15:A28)+$B$3))),IF($D$15="",INDEX(orderHistory[status],SMALL(IF(ISNUMBER(MATCH(orderHistory[customer],$D$9,0)*MATCH(orderHistory[status],$D$11,0)*MATCH(orderHistory[order_type],$D$13,0)),MATCH(ROW(orderHistory[customer]),ROW(orderHistory[customer])),""),ROWS($A$15:A28)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W23" s="75"/>
      <c r="AQ23" s="405"/>
      <c r="AR23" s="406"/>
      <c r="AS23" s="406"/>
      <c r="AT23" s="406"/>
      <c r="AU23" s="406"/>
      <c r="AW23" s="376"/>
      <c r="AX23" s="341"/>
      <c r="BD23" s="813"/>
      <c r="BE23" s="814"/>
      <c r="BF23" s="814"/>
      <c r="BG23" s="814"/>
      <c r="BH23" s="815"/>
      <c r="BJ23" s="339"/>
      <c r="BK23" s="366"/>
      <c r="BL23" s="367"/>
      <c r="BM23" s="368"/>
      <c r="BN23" s="367"/>
      <c r="BO23" s="368"/>
      <c r="BX23" s="434"/>
      <c r="BZ23" s="495"/>
      <c r="CA23" s="477" t="str">
        <f>IF(BZ23="","",INDEX(bhpc_data[description],MATCH(BZ23,bhpc_data[sku],0)))</f>
        <v/>
      </c>
      <c r="CB23" s="480"/>
      <c r="CC23" s="490"/>
      <c r="CD23" s="494"/>
      <c r="CE23" s="481"/>
      <c r="CF23" s="482"/>
      <c r="CG23" s="483" t="str">
        <f>IFERROR(ROUNDUP(CB23/INDEX(bhpc_data[units_per_carton],MATCH(BZ23,bhpc_data[sku],0)),0),"")</f>
        <v/>
      </c>
      <c r="CH23" s="484" t="str">
        <f>IFERROR(ROUNDUP(CD23/INDEX(bhpc_data[units_per_carton],MATCH(BZ23,bhpc_data[sku],0)),0),"")</f>
        <v/>
      </c>
      <c r="CI23" s="484" t="str">
        <f>IFERROR(ROUNDUP(CF23/INDEX(bhpc_data[units_per_carton],MATCH(BZ23,bhpc_data[sku])),0),"")</f>
        <v/>
      </c>
      <c r="CJ23" s="484" t="str">
        <f>IFERROR(((CB23+CD23+CF23)/INDEX(bhpc_data[units_per_carton],MATCH(BZ23,bhpc_data[sku],0)))*INDEX(bhpc_data[net_weight],MATCH(BZ23,bhpc_data[sku],0)),"")</f>
        <v/>
      </c>
      <c r="CK23" s="484" t="str">
        <f>IFERROR(((CB23+CD23+CF23)/INDEX(bhpc_data[units_per_carton],MATCH(BZ23,bhpc_data[sku],0)))*INDEX(bhpc_data[gross_weight],MATCH(BZ23,bhpc_data[sku],0)),"")</f>
        <v/>
      </c>
      <c r="CL23" s="485" t="str">
        <f>IFERROR((CB23+CD23+CF23)/INDEX(bhpc_data[units_per_carton],MATCH(BZ23,bhpc_data[sku],0))*INDEX(bhpc_data[lenght],MATCH(BZ23,bhpc_data[sku],0))*INDEX(bhpc_data[width],MATCH(BZ23,bhpc_data[sku],0))*INDEX(bhpc_data[height],MATCH(BZ23,bhpc_data[sku],0))/1000000000,"")</f>
        <v/>
      </c>
      <c r="CM23" s="486" t="str">
        <f>IFERROR(INDEX(bhpc_data[category],MATCH(BZ23,bhpc_data[sku],0)),"")</f>
        <v/>
      </c>
      <c r="CN23" s="486" t="str">
        <f>IFERROR(INDEX(bhpc_data[size1],MATCH(BZ23,bhpc_data[sku],0)),"")</f>
        <v/>
      </c>
      <c r="CO23" s="487" t="str">
        <f>IFERROR(INDEX(bhpc_data[hs_code],MATCH(BZ23,bhpc_data[sku],0)),"")</f>
        <v/>
      </c>
      <c r="CP23" s="482"/>
      <c r="CQ23" s="488" t="str">
        <f>IFERROR(IF(BZ23="","",IF($BX$15="SALE",INDEX(inventory[COSTO UNITARIO],MATCH(BZ23,inventory[ARTICOLO],0)),IF($BX$15="SAMPLING",INDEX(inventory[COSTO UNITARIO],MATCH(BZ23,inventory[ARTICOLO],0)),""))),"")</f>
        <v/>
      </c>
      <c r="CR23" s="488" t="str">
        <f t="shared" si="0"/>
        <v/>
      </c>
      <c r="CS23" s="489" t="str">
        <f t="shared" si="1"/>
        <v/>
      </c>
      <c r="CT23" s="573" t="str">
        <f t="shared" si="2"/>
        <v/>
      </c>
      <c r="CV23" s="85"/>
      <c r="CW23" s="81"/>
      <c r="CX23" s="81"/>
      <c r="CY23" s="533"/>
      <c r="CZ23" s="533"/>
      <c r="DA23" s="82"/>
      <c r="DH23" s="245"/>
      <c r="EE23" s="541" t="str" cm="1">
        <f t="array" ref="EE23">IFERROR(IF($EC$9="",IF($EC$11="",IF($EC$13="",INDEX(bhpc_data[sku],SMALL(MATCH(ROW(bhpc_data[sku]),ROW(bhpc_data[sku])),ROWS($A$15:A28)+$B$3)),INDEX(bhpc_data[sku],SMALL(IF(ISNUMBER(MATCH(bhpc_data[size1],$EC$13,0)),MATCH(ROW(bhpc_data[sku]),ROW(bhpc_data[sku])),""),ROWS($A$15:A28)+$B$3))),IF($EC$13="",INDEX(bhpc_data[sku],SMALL(IF(ISNUMBER(MATCH(bhpc_data[sex],$EC$11,0)),MATCH(ROW(bhpc_data[sku]),ROW(bhpc_data[sku])),""),ROWS($A$15:A28)+$B$3)),INDEX(bhpc_data[sku],SMALL(IF(ISNUMBER(MATCH(bhpc_data[sex],$EC$11,0)*MATCH(bhpc_data[size1],$EC$13,0)),MATCH(ROW(bhpc_data[sku]),ROW(bhpc_data[sku])),""),ROWS($A$15:A28)+$B$3)))),IF($EC$11="",IF($EC$13="",INDEX(bhpc_data[sku],SMALL(IF(ISNUMBER(MATCH(bhpc_data[category],$EC$9,0)),MATCH(ROW(bhpc_data[sku]),ROW(bhpc_data[sku])),""),ROWS($A$15:A28)+$B$3)),INDEX(bhpc_data[sku],SMALL(IF(ISNUMBER(MATCH(bhpc_data[category],$EC$9,0)*MATCH(bhpc_data[size1],$EC$13,0)),MATCH(ROW(bhpc_data[sku]),ROW(bhpc_data[sku])),""),ROWS($A$15:A28)+$B$3))),IF($EC$13="",INDEX(bhpc_data[sku],SMALL(IF(ISNUMBER(MATCH(bhpc_data[category],$EC$9,0)*MATCH(bhpc_data[sex],$EC$11,0)),MATCH(ROW(bhpc_data[sku]),ROW(bhpc_data[sku])),""),ROWS($A$15:A28)+$B$3)),INDEX(bhpc_data[sku],SMALL(IF(ISNUMBER(MATCH(bhpc_data[category],$EC$9,0)*MATCH(bhpc_data[sex],$EC$11,0)*MATCH(bhpc_data[size1],$EC$13,0)),MATCH(ROW(bhpc_data[sku]),ROW(bhpc_data[sku])),""),ROWS($A$15:A28)+$B$3))))),"")</f>
        <v>GS5051</v>
      </c>
      <c r="EF23" s="542" t="str" cm="1">
        <f t="array" ref="EF23">IFERROR(IF($EC$9="",IF($EC$11="",IF($EC$13="",INDEX(bhpc_data[description],SMALL(MATCH(ROW(bhpc_data[sku]),ROW(bhpc_data[sku])),ROWS($A$15:A28)+$B$3)),INDEX(bhpc_data[description],SMALL(IF(ISNUMBER(MATCH(bhpc_data[size1],$EC$13,0)),MATCH(ROW(bhpc_data[sku]),ROW(bhpc_data[sku])),""),ROWS($A$15:A28)+$B$3))),IF($EC$13="",INDEX(bhpc_data[description],SMALL(IF(ISNUMBER(MATCH(bhpc_data[sex],$EC$11,0)),MATCH(ROW(bhpc_data[sku]),ROW(bhpc_data[sku])),""),ROWS($A$15:A28)+$B$3)),INDEX(bhpc_data[description],SMALL(IF(ISNUMBER(MATCH(bhpc_data[sex],$EC$11,0)*MATCH(bhpc_data[size1],$EC$13,0)),MATCH(ROW(bhpc_data[sku]),ROW(bhpc_data[sku])),""),ROWS($A$15:A28)+$B$3)))),IF($EC$11="",IF($EC$13="",INDEX(bhpc_data[description],SMALL(IF(ISNUMBER(MATCH(bhpc_data[category],$EC$9,0)),MATCH(ROW(bhpc_data[sku]),ROW(bhpc_data[sku])),""),ROWS($A$15:A28)+$B$3)),INDEX(bhpc_data[description],SMALL(IF(ISNUMBER(MATCH(bhpc_data[category],$EC$9,0)*MATCH(bhpc_data[size1],$EC$13,0)),MATCH(ROW(bhpc_data[sku]),ROW(bhpc_data[sku])),""),ROWS($A$15:A28)+$B$3))),IF($EC$13="",INDEX(bhpc_data[description],SMALL(IF(ISNUMBER(MATCH(bhpc_data[category],$EC$9,0)*MATCH(bhpc_data[sex],$EC$11,0)),MATCH(ROW(bhpc_data[sku]),ROW(bhpc_data[sku])),""),ROWS($A$15:A28)+$B$3)),INDEX(bhpc_data[description],SMALL(IF(ISNUMBER(MATCH(bhpc_data[category],$EC$9,0)*MATCH(bhpc_data[sex],$EC$11,0)*MATCH(bhpc_data[size1],$EC$13,0)),MATCH(ROW(bhpc_data[sku]),ROW(bhpc_data[sku])),""),ROWS($A$15:A28)+$B$3))))),"")</f>
        <v>BHPC GIFT SET WOMEN 9 EDP 100ML + DEO 150ML</v>
      </c>
      <c r="EG23" s="543">
        <f>IFERROR(IF('BHPC MANAGER'!$EE23="","",INDEX(inventory[ESISTENZA],MATCH('BHPC MANAGER'!$EE23,inventory[ARTICOLO],0))),0)</f>
        <v>0</v>
      </c>
      <c r="EH23" s="544">
        <v>-6</v>
      </c>
      <c r="EI23" s="544">
        <f t="shared" si="3"/>
        <v>-6</v>
      </c>
      <c r="EJ23" s="545">
        <v>0</v>
      </c>
      <c r="EK23" s="546">
        <f t="shared" si="4"/>
        <v>-6</v>
      </c>
      <c r="FF23" s="331"/>
      <c r="FG23" s="331"/>
      <c r="FH23" s="331"/>
      <c r="FI23" s="331"/>
      <c r="FJ23" s="331"/>
      <c r="FK23" s="331"/>
      <c r="FL23" s="331"/>
      <c r="FM23" s="331"/>
      <c r="FN23" s="331"/>
      <c r="FO23" s="331"/>
      <c r="FP23" s="331"/>
      <c r="FQ23" s="331"/>
      <c r="FR23" s="331"/>
      <c r="FS23" s="331"/>
      <c r="FT23" s="331"/>
      <c r="FU23" s="331"/>
      <c r="FV23" s="331"/>
      <c r="FW23" s="331"/>
      <c r="FX23" s="331"/>
      <c r="FY23" s="331"/>
      <c r="FZ23" s="331"/>
      <c r="GA23" s="331"/>
      <c r="GB23" s="331"/>
      <c r="GC23" s="331"/>
      <c r="GD23" s="331"/>
      <c r="GE23" s="331"/>
      <c r="GF23" s="331"/>
      <c r="GG23" s="331"/>
      <c r="GH23" s="331"/>
      <c r="GI23" s="331"/>
      <c r="GJ23" s="331"/>
      <c r="GK23" s="331"/>
      <c r="GL23" s="331"/>
      <c r="GM23" s="331"/>
      <c r="GN23" s="331"/>
      <c r="GO23" s="331"/>
      <c r="GP23" s="331"/>
      <c r="GQ23" s="331"/>
      <c r="GR23" s="331"/>
      <c r="GS23" s="331"/>
      <c r="GT23" s="331"/>
      <c r="GU23" s="331"/>
      <c r="GV23" s="331"/>
      <c r="GW23" s="331"/>
      <c r="GX23" s="331"/>
      <c r="GY23" s="331"/>
      <c r="GZ23" s="331"/>
      <c r="HA23" s="331"/>
      <c r="HB23" s="331"/>
      <c r="HC23" s="331"/>
      <c r="HD23" s="331"/>
      <c r="HE23" s="331"/>
      <c r="HF23" s="331"/>
      <c r="HG23" s="331"/>
      <c r="HH23" s="331"/>
      <c r="HI23" s="331"/>
      <c r="HJ23" s="331"/>
      <c r="HK23" s="331"/>
      <c r="HL23" s="331"/>
      <c r="HM23" s="331"/>
      <c r="HN23" s="331"/>
      <c r="HO23" s="331"/>
      <c r="HP23" s="331"/>
      <c r="HQ23" s="331"/>
      <c r="HR23" s="331"/>
      <c r="HS23" s="331"/>
      <c r="HT23" s="331"/>
    </row>
    <row r="24" spans="1:228" ht="15" customHeight="1" thickBot="1" x14ac:dyDescent="0.4">
      <c r="D24" s="273" t="e">
        <f>VLOOKUP(VLOOKUP($B$4,orderHistory[],15,FALSE),carriers[],2,FALSE)</f>
        <v>#N/A</v>
      </c>
      <c r="F24" s="91"/>
      <c r="G24" s="832" t="str">
        <f>IFERROR(INDEX(clientData[hq_address3],MATCH($B$6,clientData[cod_cliente],0)),"")</f>
        <v/>
      </c>
      <c r="H24" s="833"/>
      <c r="I24" s="834"/>
      <c r="J24" s="82"/>
      <c r="L24" s="452" t="str">
        <f t="array" ref="L24">IFERROR(IF($D$9="",IF($D$11="",IF($D$13="",IF($D$15="",INDEX(orderHistory[customer],SMALL(MATCH(ROW(orderHistory[customer]),ROW(orderHistory[customer])),ROWS($A$15:A29)+$B$3)),INDEX(orderHistory[customer],SMALL(IF(ISNUMBER(MATCH(YEAR(orderHistory[invoice_date]),$D$15,0)),MATCH(ROW(orderHistory[customer]),ROW(orderHistory[customer])),""),ROWS($A$15:A29)+$B$3))),IF($D$15="",INDEX(orderHistory[customer],SMALL(IF(ISNUMBER(MATCH(orderHistory[order_type],$D$13,0)),MATCH(ROW(orderHistory[customer]),ROW(orderHistory[customer])),""),ROWS($A$15:A29)+$B$3)),INDEX(orderHistory[customer],SMALL(IF(ISNUMBER(MATCH(orderHistory[order_type],$D$13,0)*MATCH(YEAR(orderHistory[invoice_date]),$D$15,0)),MATCH(ROW(orderHistory[customer]),ROW(orderHistory[customer])),""),ROWS($A$15:A29)+$B$3)))),IF($D$13="",IF($D$15="",INDEX(orderHistory[customer],SMALL(IF(ISNUMBER(MATCH(orderHistory[status],$D$11,0)),MATCH(ROW(orderHistory[customer]),ROW(orderHistory[customer])),""),ROWS($A$15:A29)+$B$3)),INDEX(orderHistory[customer],SMALL(IF(ISNUMBER(MATCH(orderHistory[status],$D$11,0)*MATCH(YEAR(orderHistory[invoice_date]),$D$15,0)),MATCH(ROW(orderHistory[customer]),ROW(orderHistory[customer])),""),ROWS($A$15:A29)+$B$3))),IF($D$15="",INDEX(orderHistory[customer],SMALL(IF(ISNUMBER(MATCH(orderHistory[status],$D$11,0)*MATCH(orderHistory[order_type],$D$13,0)),MATCH(ROW(orderHistory[customer]),ROW(orderHistory[customer])),""),ROWS($A$15:A29)+$B$3)),INDEX(orderHistory[customer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customer],SMALL(IF(ISNUMBER(MATCH(orderHistory[customer],$D$9,0)),MATCH(ROW(orderHistory[customer]),ROW(orderHistory[customer])),""),ROWS($A$15:A29)+$B$3)),INDEX(orderHistory[customer],SMALL(IF(ISNUMBER(MATCH(orderHistory[customer],$D$9,0)*MATCH(YEAR(orderHistory[invoice_date]),$D$15,0)),MATCH(ROW(orderHistory[customer]),ROW(orderHistory[customer])),""),ROWS($A$15:A29)+$B$3))),IF($D$15="",INDEX(orderHistory[customer],SMALL(IF(ISNUMBER(MATCH(orderHistory[customer],$D$9,0)*MATCH(orderHistory[order_type],$D$13,0)),MATCH(ROW(orderHistory[customer]),ROW(orderHistory[customer])),""),ROWS($A$15:A29)+$B$3)),INDEX(orderHistory[customer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YEAR(orderHistory[invoice_date]),$D$15,0)),MATCH(ROW(orderHistory[customer]),ROW(orderHistory[customer])),""),ROWS($A$15:A29)+$B$3))),IF($D$15="",INDEX(orderHistory[customer],SMALL(IF(ISNUMBER(MATCH(orderHistory[customer],$D$9,0)*MATCH(orderHistory[status],$D$11,0)*MATCH(orderHistory[order_type],$D$13,0)),MATCH(ROW(orderHistory[customer]),ROW(orderHistory[customer])),""),ROWS($A$15:A29)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M24" s="453" t="str">
        <f t="array" ref="M24">IFERROR(IF($D$9="",IF($D$11="",IF($D$13="",IF($D$15="",INDEX(orderHistory[order_no],SMALL(MATCH(ROW(orderHistory[customer]),ROW(orderHistory[customer])),ROWS($A$15:A29)+$B$3)),INDEX(orderHistory[order_no],SMALL(IF(ISNUMBER(MATCH(YEAR(orderHistory[invoice_date]),$D$15,0)),MATCH(ROW(orderHistory[customer]),ROW(orderHistory[customer])),""),ROWS($A$15:A29)+$B$3))),IF($D$15="",INDEX(orderHistory[order_no],SMALL(IF(ISNUMBER(MATCH(orderHistory[order_type],$D$13,0)),MATCH(ROW(orderHistory[customer]),ROW(orderHistory[customer])),""),ROWS($A$15:A29)+$B$3)),INDEX(orderHistory[order_no],SMALL(IF(ISNUMBER(MATCH(orderHistory[order_type],$D$13,0)*MATCH(YEAR(orderHistory[invoice_date]),$D$15,0)),MATCH(ROW(orderHistory[customer]),ROW(orderHistory[customer])),""),ROWS($A$15:A29)+$B$3)))),IF($D$13="",IF($D$15="",INDEX(orderHistory[order_no],SMALL(IF(ISNUMBER(MATCH(orderHistory[status],$D$11,0)),MATCH(ROW(orderHistory[customer]),ROW(orderHistory[customer])),""),ROWS($A$15:A29)+$B$3)),INDEX(orderHistory[order_no],SMALL(IF(ISNUMBER(MATCH(orderHistory[status],$D$11,0)*MATCH(YEAR(orderHistory[invoice_date]),$D$15,0)),MATCH(ROW(orderHistory[customer]),ROW(orderHistory[customer])),""),ROWS($A$15:A29)+$B$3))),IF($D$15="",INDEX(orderHistory[order_no],SMALL(IF(ISNUMBER(MATCH(orderHistory[status],$D$11,0)*MATCH(orderHistory[order_type],$D$13,0)),MATCH(ROW(orderHistory[customer]),ROW(orderHistory[customer])),""),ROWS($A$15:A29)+$B$3)),INDEX(orderHistory[order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no],SMALL(IF(ISNUMBER(MATCH(orderHistory[customer],$D$9,0)),MATCH(ROW(orderHistory[customer]),ROW(orderHistory[customer])),""),ROWS($A$15:A29)+$B$3)),INDEX(orderHistory[order_no],SMALL(IF(ISNUMBER(MATCH(orderHistory[customer],$D$9,0)*MATCH(YEAR(orderHistory[invoice_date]),$D$15,0)),MATCH(ROW(orderHistory[customer]),ROW(orderHistory[customer])),""),ROWS($A$15:A29)+$B$3))),IF($D$15="",INDEX(orderHistory[order_no],SMALL(IF(ISNUMBER(MATCH(orderHistory[customer],$D$9,0)*MATCH(orderHistory[order_type],$D$13,0)),MATCH(ROW(orderHistory[customer]),ROW(orderHistory[customer])),""),ROWS($A$15:A29)+$B$3)),INDEX(orderHistory[order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YEAR(orderHistory[invoice_date]),$D$15,0)),MATCH(ROW(orderHistory[customer]),ROW(orderHistory[customer])),""),ROWS($A$15:A29)+$B$3))),IF($D$15="",INDEX(orderHistory[order_no],SMALL(IF(ISNUMBER(MATCH(orderHistory[customer],$D$9,0)*MATCH(orderHistory[status],$D$11,0)*MATCH(orderHistory[order_type],$D$13,0)),MATCH(ROW(orderHistory[customer]),ROW(orderHistory[customer])),""),ROWS($A$15:A29)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N24" s="454" t="str">
        <f t="array" ref="N24">IFERROR(IF($D$9="",IF($D$11="",IF($D$13="",IF($D$15="",INDEX(orderHistory[order_type],SMALL(MATCH(ROW(orderHistory[customer]),ROW(orderHistory[customer])),ROWS($A$15:A29)+$B$3)),INDEX(orderHistory[order_type],SMALL(IF(ISNUMBER(MATCH(YEAR(orderHistory[invoice_date]),$D$15,0)),MATCH(ROW(orderHistory[customer]),ROW(orderHistory[customer])),""),ROWS($A$15:A29)+$B$3))),IF($D$15="",INDEX(orderHistory[order_type],SMALL(IF(ISNUMBER(MATCH(orderHistory[order_type],$D$13,0)),MATCH(ROW(orderHistory[customer]),ROW(orderHistory[customer])),""),ROWS($A$15:A29)+$B$3)),INDEX(orderHistory[order_type],SMALL(IF(ISNUMBER(MATCH(orderHistory[order_type],$D$13,0)*MATCH(YEAR(orderHistory[invoice_date]),$D$15,0)),MATCH(ROW(orderHistory[customer]),ROW(orderHistory[customer])),""),ROWS($A$15:A29)+$B$3)))),IF($D$13="",IF($D$15="",INDEX(orderHistory[order_type],SMALL(IF(ISNUMBER(MATCH(orderHistory[status],$D$11,0)),MATCH(ROW(orderHistory[customer]),ROW(orderHistory[customer])),""),ROWS($A$15:A29)+$B$3)),INDEX(orderHistory[order_type],SMALL(IF(ISNUMBER(MATCH(orderHistory[status],$D$11,0)*MATCH(YEAR(orderHistory[invoice_date]),$D$15,0)),MATCH(ROW(orderHistory[customer]),ROW(orderHistory[customer])),""),ROWS($A$15:A29)+$B$3))),IF($D$15="",INDEX(orderHistory[order_type],SMALL(IF(ISNUMBER(MATCH(orderHistory[status],$D$11,0)*MATCH(orderHistory[order_type],$D$13,0)),MATCH(ROW(orderHistory[customer]),ROW(orderHistory[customer])),""),ROWS($A$15:A29)+$B$3)),INDEX(orderHistory[order_typ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type],SMALL(IF(ISNUMBER(MATCH(orderHistory[customer],$D$9,0)),MATCH(ROW(orderHistory[customer]),ROW(orderHistory[customer])),""),ROWS($A$15:A29)+$B$3)),INDEX(orderHistory[order_type],SMALL(IF(ISNUMBER(MATCH(orderHistory[customer],$D$9,0)*MATCH(YEAR(orderHistory[invoice_date]),$D$15,0)),MATCH(ROW(orderHistory[customer]),ROW(orderHistory[customer])),""),ROWS($A$15:A29)+$B$3))),IF($D$15="",INDEX(orderHistory[order_type],SMALL(IF(ISNUMBER(MATCH(orderHistory[customer],$D$9,0)*MATCH(orderHistory[order_type],$D$13,0)),MATCH(ROW(orderHistory[customer]),ROW(orderHistory[customer])),""),ROWS($A$15:A29)+$B$3)),INDEX(orderHistory[order_typ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YEAR(orderHistory[invoice_date]),$D$15,0)),MATCH(ROW(orderHistory[customer]),ROW(orderHistory[customer])),""),ROWS($A$15:A29)+$B$3))),IF($D$15="",INDEX(orderHistory[order_type],SMALL(IF(ISNUMBER(MATCH(orderHistory[customer],$D$9,0)*MATCH(orderHistory[status],$D$11,0)*MATCH(orderHistory[order_type],$D$13,0)),MATCH(ROW(orderHistory[customer]),ROW(orderHistory[customer])),""),ROWS($A$15:A29)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O24" s="455" t="str">
        <f t="array" ref="O24">IFERROR(IF($D$9="",IF($D$11="",IF($D$13="",IF($D$15="",INDEX(orderHistory[order_date],SMALL(MATCH(ROW(orderHistory[customer]),ROW(orderHistory[customer])),ROWS($A$15:A29)+$B$3)),INDEX(orderHistory[order_date],SMALL(IF(ISNUMBER(MATCH(YEAR(orderHistory[invoice_date]),$D$15,0)),MATCH(ROW(orderHistory[customer]),ROW(orderHistory[customer])),""),ROWS($A$15:A29)+$B$3))),IF($D$15="",INDEX(orderHistory[order_date],SMALL(IF(ISNUMBER(MATCH(orderHistory[order_type],$D$13,0)),MATCH(ROW(orderHistory[customer]),ROW(orderHistory[customer])),""),ROWS($A$15:A29)+$B$3)),INDEX(orderHistory[order_date],SMALL(IF(ISNUMBER(MATCH(orderHistory[order_type],$D$13,0)*MATCH(YEAR(orderHistory[invoice_date]),$D$15,0)),MATCH(ROW(orderHistory[customer]),ROW(orderHistory[customer])),""),ROWS($A$15:A29)+$B$3)))),IF($D$13="",IF($D$15="",INDEX(orderHistory[order_date],SMALL(IF(ISNUMBER(MATCH(orderHistory[status],$D$11,0)),MATCH(ROW(orderHistory[customer]),ROW(orderHistory[customer])),""),ROWS($A$15:A29)+$B$3)),INDEX(orderHistory[order_date],SMALL(IF(ISNUMBER(MATCH(orderHistory[status],$D$11,0)*MATCH(YEAR(orderHistory[invoice_date]),$D$15,0)),MATCH(ROW(orderHistory[customer]),ROW(orderHistory[customer])),""),ROWS($A$15:A29)+$B$3))),IF($D$15="",INDEX(orderHistory[order_date],SMALL(IF(ISNUMBER(MATCH(orderHistory[status],$D$11,0)*MATCH(orderHistory[order_type],$D$13,0)),MATCH(ROW(orderHistory[customer]),ROW(orderHistory[customer])),""),ROWS($A$15:A29)+$B$3)),INDEX(orderHistory[order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date],SMALL(IF(ISNUMBER(MATCH(orderHistory[customer],$D$9,0)),MATCH(ROW(orderHistory[customer]),ROW(orderHistory[customer])),""),ROWS($A$15:A29)+$B$3)),INDEX(orderHistory[order_date],SMALL(IF(ISNUMBER(MATCH(orderHistory[customer],$D$9,0)*MATCH(YEAR(orderHistory[invoice_date]),$D$15,0)),MATCH(ROW(orderHistory[customer]),ROW(orderHistory[customer])),""),ROWS($A$15:A29)+$B$3))),IF($D$15="",INDEX(orderHistory[order_date],SMALL(IF(ISNUMBER(MATCH(orderHistory[customer],$D$9,0)*MATCH(orderHistory[order_type],$D$13,0)),MATCH(ROW(orderHistory[customer]),ROW(orderHistory[customer])),""),ROWS($A$15:A29)+$B$3)),INDEX(orderHistory[order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YEAR(orderHistory[invoice_date]),$D$15,0)),MATCH(ROW(orderHistory[customer]),ROW(orderHistory[customer])),""),ROWS($A$15:A29)+$B$3))),IF($D$15="",INDEX(orderHistory[order_date],SMALL(IF(ISNUMBER(MATCH(orderHistory[customer],$D$9,0)*MATCH(orderHistory[status],$D$11,0)*MATCH(orderHistory[order_type],$D$13,0)),MATCH(ROW(orderHistory[customer]),ROW(orderHistory[customer])),""),ROWS($A$15:A29)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P24" s="456" t="str">
        <f t="array" ref="P24">IFERROR(IF($D$9="",IF($D$11="",IF($D$13="",IF($D$15="",INDEX(orderHistory[invoice_no],SMALL(MATCH(ROW(orderHistory[customer]),ROW(orderHistory[customer])),ROWS($A$15:A29)+$B$3)),INDEX(orderHistory[invoice_no],SMALL(IF(ISNUMBER(MATCH(YEAR(orderHistory[invoice_date]),$D$15,0)),MATCH(ROW(orderHistory[customer]),ROW(orderHistory[customer])),""),ROWS($A$15:A29)+$B$3))),IF($D$15="",INDEX(orderHistory[invoice_no],SMALL(IF(ISNUMBER(MATCH(orderHistory[order_type],$D$13,0)),MATCH(ROW(orderHistory[customer]),ROW(orderHistory[customer])),""),ROWS($A$15:A29)+$B$3)),INDEX(orderHistory[invoice_no],SMALL(IF(ISNUMBER(MATCH(orderHistory[order_type],$D$13,0)*MATCH(YEAR(orderHistory[invoice_date]),$D$15,0)),MATCH(ROW(orderHistory[customer]),ROW(orderHistory[customer])),""),ROWS($A$15:A29)+$B$3)))),IF($D$13="",IF($D$15="",INDEX(orderHistory[invoice_no],SMALL(IF(ISNUMBER(MATCH(orderHistory[status],$D$11,0)),MATCH(ROW(orderHistory[customer]),ROW(orderHistory[customer])),""),ROWS($A$15:A29)+$B$3)),INDEX(orderHistory[invoice_no],SMALL(IF(ISNUMBER(MATCH(orderHistory[status],$D$11,0)*MATCH(YEAR(orderHistory[invoice_date]),$D$15,0)),MATCH(ROW(orderHistory[customer]),ROW(orderHistory[customer])),""),ROWS($A$15:A29)+$B$3))),IF($D$15="",INDEX(orderHistory[invoice_no],SMALL(IF(ISNUMBER(MATCH(orderHistory[status],$D$11,0)*MATCH(orderHistory[order_type],$D$13,0)),MATCH(ROW(orderHistory[customer]),ROW(orderHistory[customer])),""),ROWS($A$15:A29)+$B$3)),INDEX(orderHistory[invoice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no],SMALL(IF(ISNUMBER(MATCH(orderHistory[customer],$D$9,0)),MATCH(ROW(orderHistory[customer]),ROW(orderHistory[customer])),""),ROWS($A$15:A29)+$B$3)),INDEX(orderHistory[invoice_no],SMALL(IF(ISNUMBER(MATCH(orderHistory[customer],$D$9,0)*MATCH(YEAR(orderHistory[invoice_date]),$D$15,0)),MATCH(ROW(orderHistory[customer]),ROW(orderHistory[customer])),""),ROWS($A$15:A29)+$B$3))),IF($D$15="",INDEX(orderHistory[invoice_no],SMALL(IF(ISNUMBER(MATCH(orderHistory[customer],$D$9,0)*MATCH(orderHistory[order_type],$D$13,0)),MATCH(ROW(orderHistory[customer]),ROW(orderHistory[customer])),""),ROWS($A$15:A29)+$B$3)),INDEX(orderHistory[invoice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YEAR(orderHistory[invoice_date]),$D$15,0)),MATCH(ROW(orderHistory[customer]),ROW(orderHistory[customer])),""),ROWS($A$15:A29)+$B$3))),IF($D$15="",INDEX(orderHistory[invoice_no],SMALL(IF(ISNUMBER(MATCH(orderHistory[customer],$D$9,0)*MATCH(orderHistory[status],$D$11,0)*MATCH(orderHistory[order_type],$D$13,0)),MATCH(ROW(orderHistory[customer]),ROW(orderHistory[customer])),""),ROWS($A$15:A29)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Q24" s="457" t="str">
        <f t="array" ref="Q24">IFERROR(IF($D$9="",IF($D$11="",IF($D$13="",IF($D$15="",INDEX(orderHistory[invoice_date],SMALL(MATCH(ROW(orderHistory[customer]),ROW(orderHistory[customer])),ROWS($A$15:A29)+$B$3)),INDEX(orderHistory[invoice_date],SMALL(IF(ISNUMBER(MATCH(YEAR(orderHistory[invoice_date]),$D$15,0)),MATCH(ROW(orderHistory[customer]),ROW(orderHistory[customer])),""),ROWS($A$15:A29)+$B$3))),IF($D$15="",INDEX(orderHistory[invoice_date],SMALL(IF(ISNUMBER(MATCH(orderHistory[order_type],$D$13,0)),MATCH(ROW(orderHistory[customer]),ROW(orderHistory[customer])),""),ROWS($A$15:A29)+$B$3)),INDEX(orderHistory[invoice_date],SMALL(IF(ISNUMBER(MATCH(orderHistory[order_type],$D$13,0)*MATCH(YEAR(orderHistory[invoice_date]),$D$15,0)),MATCH(ROW(orderHistory[customer]),ROW(orderHistory[customer])),""),ROWS($A$15:A29)+$B$3)))),IF($D$13="",IF($D$15="",INDEX(orderHistory[invoice_date],SMALL(IF(ISNUMBER(MATCH(orderHistory[status],$D$11,0)),MATCH(ROW(orderHistory[customer]),ROW(orderHistory[customer])),""),ROWS($A$15:A29)+$B$3)),INDEX(orderHistory[invoice_date],SMALL(IF(ISNUMBER(MATCH(orderHistory[status],$D$11,0)*MATCH(YEAR(orderHistory[invoice_date]),$D$15,0)),MATCH(ROW(orderHistory[customer]),ROW(orderHistory[customer])),""),ROWS($A$15:A29)+$B$3))),IF($D$15="",INDEX(orderHistory[invoice_date],SMALL(IF(ISNUMBER(MATCH(orderHistory[status],$D$11,0)*MATCH(orderHistory[order_type],$D$13,0)),MATCH(ROW(orderHistory[customer]),ROW(orderHistory[customer])),""),ROWS($A$15:A29)+$B$3)),INDEX(orderHistory[invoice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date],SMALL(IF(ISNUMBER(MATCH(orderHistory[customer],$D$9,0)),MATCH(ROW(orderHistory[customer]),ROW(orderHistory[customer])),""),ROWS($A$15:A29)+$B$3)),INDEX(orderHistory[invoice_date],SMALL(IF(ISNUMBER(MATCH(orderHistory[customer],$D$9,0)*MATCH(YEAR(orderHistory[invoice_date]),$D$15,0)),MATCH(ROW(orderHistory[customer]),ROW(orderHistory[customer])),""),ROWS($A$15:A29)+$B$3))),IF($D$15="",INDEX(orderHistory[invoice_date],SMALL(IF(ISNUMBER(MATCH(orderHistory[customer],$D$9,0)*MATCH(orderHistory[order_type],$D$13,0)),MATCH(ROW(orderHistory[customer]),ROW(orderHistory[customer])),""),ROWS($A$15:A29)+$B$3)),INDEX(orderHistory[invoice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YEAR(orderHistory[invoice_date]),$D$15,0)),MATCH(ROW(orderHistory[customer]),ROW(orderHistory[customer])),""),ROWS($A$15:A29)+$B$3))),IF($D$15="",INDEX(orderHistory[invoice_date],SMALL(IF(ISNUMBER(MATCH(orderHistory[customer],$D$9,0)*MATCH(orderHistory[status],$D$11,0)*MATCH(orderHistory[order_type],$D$13,0)),MATCH(ROW(orderHistory[customer]),ROW(orderHistory[customer])),""),ROWS($A$15:A29)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R24" s="458" t="str">
        <f t="array" ref="R24">IFERROR(IF($D$9="",IF($D$11="",IF($D$13="",IF($D$15="",INDEX(orderHistory[inv_amount],SMALL(MATCH(ROW(orderHistory[customer]),ROW(orderHistory[customer])),ROWS($A$15:A29)+$B$3)),INDEX(orderHistory[inv_amount],SMALL(IF(ISNUMBER(MATCH(YEAR(orderHistory[invoice_date]),$D$15,0)),MATCH(ROW(orderHistory[customer]),ROW(orderHistory[customer])),""),ROWS($A$15:A29)+$B$3))),IF($D$15="",INDEX(orderHistory[inv_amount],SMALL(IF(ISNUMBER(MATCH(orderHistory[order_type],$D$13,0)),MATCH(ROW(orderHistory[customer]),ROW(orderHistory[customer])),""),ROWS($A$15:A29)+$B$3)),INDEX(orderHistory[inv_amount],SMALL(IF(ISNUMBER(MATCH(orderHistory[order_type],$D$13,0)*MATCH(YEAR(orderHistory[invoice_date]),$D$15,0)),MATCH(ROW(orderHistory[customer]),ROW(orderHistory[customer])),""),ROWS($A$15:A29)+$B$3)))),IF($D$13="",IF($D$15="",INDEX(orderHistory[inv_amount],SMALL(IF(ISNUMBER(MATCH(orderHistory[status],$D$11,0)),MATCH(ROW(orderHistory[customer]),ROW(orderHistory[customer])),""),ROWS($A$15:A29)+$B$3)),INDEX(orderHistory[inv_amount],SMALL(IF(ISNUMBER(MATCH(orderHistory[status],$D$11,0)*MATCH(YEAR(orderHistory[invoice_date]),$D$15,0)),MATCH(ROW(orderHistory[customer]),ROW(orderHistory[customer])),""),ROWS($A$15:A29)+$B$3))),IF($D$15="",INDEX(orderHistory[inv_amount],SMALL(IF(ISNUMBER(MATCH(orderHistory[status],$D$11,0)*MATCH(orderHistory[order_type],$D$13,0)),MATCH(ROW(orderHistory[customer]),ROW(orderHistory[customer])),""),ROWS($A$15:A29)+$B$3)),INDEX(orderHistory[inv_amount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_amount],SMALL(IF(ISNUMBER(MATCH(orderHistory[customer],$D$9,0)),MATCH(ROW(orderHistory[customer]),ROW(orderHistory[customer])),""),ROWS($A$15:A29)+$B$3)),INDEX(orderHistory[inv_amount],SMALL(IF(ISNUMBER(MATCH(orderHistory[customer],$D$9,0)*MATCH(YEAR(orderHistory[invoice_date]),$D$15,0)),MATCH(ROW(orderHistory[customer]),ROW(orderHistory[customer])),""),ROWS($A$15:A29)+$B$3))),IF($D$15="",INDEX(orderHistory[inv_amount],SMALL(IF(ISNUMBER(MATCH(orderHistory[customer],$D$9,0)*MATCH(orderHistory[order_type],$D$13,0)),MATCH(ROW(orderHistory[customer]),ROW(orderHistory[customer])),""),ROWS($A$15:A29)+$B$3)),INDEX(orderHistory[inv_amount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YEAR(orderHistory[inv_amount]),$D$15,0)),MATCH(ROW(orderHistory[customer]),ROW(orderHistory[customer])),""),ROWS($A$15:A29)+$B$3))),IF($D$15="",INDEX(orderHistory[inv_amount],SMALL(IF(ISNUMBER(MATCH(orderHistory[customer],$D$9,0)*MATCH(orderHistory[status],$D$11,0)*MATCH(orderHistory[order_type],$D$13,0)),MATCH(ROW(orderHistory[customer]),ROW(orderHistory[customer])),""),ROWS($A$15:A29)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S24" s="569" t="str">
        <f t="array" ref="S24">IFERROR(IF($D$9="",IF($D$11="",IF($D$13="",IF($D$15="",INDEX(orderHistory[lock_goods],SMALL(MATCH(ROW(orderHistory[customer]),ROW(orderHistory[customer])),ROWS($A$15:A29)+$B$3)),INDEX(orderHistory[lock_goods],SMALL(IF(ISNUMBER(MATCH(YEAR(orderHistory[invoice_date]),$D$15,0)),MATCH(ROW(orderHistory[customer]),ROW(orderHistory[customer])),""),ROWS($A$15:A29)+$B$3))),IF($D$15="",INDEX(orderHistory[lock_goods],SMALL(IF(ISNUMBER(MATCH(orderHistory[order_type],$D$13,0)),MATCH(ROW(orderHistory[customer]),ROW(orderHistory[customer])),""),ROWS($A$15:A29)+$B$3)),INDEX(orderHistory[lock_goods],SMALL(IF(ISNUMBER(MATCH(orderHistory[order_type],$D$13,0)*MATCH(YEAR(orderHistory[invoice_date]),$D$15,0)),MATCH(ROW(orderHistory[customer]),ROW(orderHistory[customer])),""),ROWS($A$15:A29)+$B$3)))),IF($D$13="",IF($D$15="",INDEX(orderHistory[lock_goods],SMALL(IF(ISNUMBER(MATCH(orderHistory[status],$D$11,0)),MATCH(ROW(orderHistory[customer]),ROW(orderHistory[customer])),""),ROWS($A$15:A29)+$B$3)),INDEX(orderHistory[lock_goods],SMALL(IF(ISNUMBER(MATCH(orderHistory[status],$D$11,0)*MATCH(YEAR(orderHistory[invoice_date]),$D$15,0)),MATCH(ROW(orderHistory[customer]),ROW(orderHistory[customer])),""),ROWS($A$15:A29)+$B$3))),IF($D$15="",INDEX(orderHistory[lock_goods],SMALL(IF(ISNUMBER(MATCH(orderHistory[status],$D$11,0)*MATCH(orderHistory[order_type],$D$13,0)),MATCH(ROW(orderHistory[customer]),ROW(orderHistory[customer])),""),ROWS($A$15:A29)+$B$3)),INDEX(orderHistory[lock_good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lock_goods],SMALL(IF(ISNUMBER(MATCH(orderHistory[customer],$D$9,0)),MATCH(ROW(orderHistory[customer]),ROW(orderHistory[customer])),""),ROWS($A$15:A29)+$B$3)),INDEX(orderHistory[lock_goods],SMALL(IF(ISNUMBER(MATCH(orderHistory[customer],$D$9,0)*MATCH(YEAR(orderHistory[invoice_date]),$D$15,0)),MATCH(ROW(orderHistory[customer]),ROW(orderHistory[customer])),""),ROWS($A$15:A29)+$B$3))),IF($D$15="",INDEX(orderHistory[lock_goods],SMALL(IF(ISNUMBER(MATCH(orderHistory[customer],$D$9,0)*MATCH(orderHistory[order_type],$D$13,0)),MATCH(ROW(orderHistory[customer]),ROW(orderHistory[customer])),""),ROWS($A$15:A29)+$B$3)),INDEX(orderHistory[lock_good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lock_goods],SMALL(IF(ISNUMBER(MATCH(orderHistory[customer],$D$9,0)*MATCH(orderHistory[status],$D$11,0)),MATCH(ROW(orderHistory[customer]),ROW(orderHistory[customer])),""),ROWS($A$15:A29)+$B$3)),INDEX(orderHistory[lock_goods],SMALL(IF(ISNUMBER(MATCH(orderHistory[customer],$D$9,0)*MATCH(orderHistory[status],$D$11,0)*MATCH(YEAR(orderHistory[payed]),$D$15,0)),MATCH(ROW(orderHistory[customer]),ROW(orderHistory[customer])),""),ROWS($A$15:A29)+$B$3))),IF($D$15="",INDEX(orderHistory[lock_goods],SMALL(IF(ISNUMBER(MATCH(orderHistory[customer],$D$9,0)*MATCH(orderHistory[status],$D$11,0)*MATCH(orderHistory[order_type],$D$13,0)),MATCH(ROW(orderHistory[customer]),ROW(orderHistory[customer])),""),ROWS($A$15:A29)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T24" s="459" t="str">
        <f t="array" ref="T24">IFERROR(IF($D$9="",IF($D$11="",IF($D$13="",IF($D$15="",INDEX(orderHistory[payed],SMALL(MATCH(ROW(orderHistory[customer]),ROW(orderHistory[customer])),ROWS($A$15:A29)+$B$3)),INDEX(orderHistory[payed],SMALL(IF(ISNUMBER(MATCH(YEAR(orderHistory[invoice_date]),$D$15,0)),MATCH(ROW(orderHistory[customer]),ROW(orderHistory[customer])),""),ROWS($A$15:A29)+$B$3))),IF($D$15="",INDEX(orderHistory[payed],SMALL(IF(ISNUMBER(MATCH(orderHistory[order_type],$D$13,0)),MATCH(ROW(orderHistory[customer]),ROW(orderHistory[customer])),""),ROWS($A$15:A29)+$B$3)),INDEX(orderHistory[payed],SMALL(IF(ISNUMBER(MATCH(orderHistory[order_type],$D$13,0)*MATCH(YEAR(orderHistory[invoice_date]),$D$15,0)),MATCH(ROW(orderHistory[customer]),ROW(orderHistory[customer])),""),ROWS($A$15:A29)+$B$3)))),IF($D$13="",IF($D$15="",INDEX(orderHistory[payed],SMALL(IF(ISNUMBER(MATCH(orderHistory[status],$D$11,0)),MATCH(ROW(orderHistory[customer]),ROW(orderHistory[customer])),""),ROWS($A$15:A29)+$B$3)),INDEX(orderHistory[payed],SMALL(IF(ISNUMBER(MATCH(orderHistory[status],$D$11,0)*MATCH(YEAR(orderHistory[invoice_date]),$D$15,0)),MATCH(ROW(orderHistory[customer]),ROW(orderHistory[customer])),""),ROWS($A$15:A29)+$B$3))),IF($D$15="",INDEX(orderHistory[payed],SMALL(IF(ISNUMBER(MATCH(orderHistory[status],$D$11,0)*MATCH(orderHistory[order_type],$D$13,0)),MATCH(ROW(orderHistory[customer]),ROW(orderHistory[customer])),""),ROWS($A$15:A29)+$B$3)),INDEX(orderHistory[paye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payed],SMALL(IF(ISNUMBER(MATCH(orderHistory[customer],$D$9,0)),MATCH(ROW(orderHistory[customer]),ROW(orderHistory[customer])),""),ROWS($A$15:A29)+$B$3)),INDEX(orderHistory[payed],SMALL(IF(ISNUMBER(MATCH(orderHistory[customer],$D$9,0)*MATCH(YEAR(orderHistory[invoice_date]),$D$15,0)),MATCH(ROW(orderHistory[customer]),ROW(orderHistory[customer])),""),ROWS($A$15:A29)+$B$3))),IF($D$15="",INDEX(orderHistory[payed],SMALL(IF(ISNUMBER(MATCH(orderHistory[customer],$D$9,0)*MATCH(orderHistory[order_type],$D$13,0)),MATCH(ROW(orderHistory[customer]),ROW(orderHistory[customer])),""),ROWS($A$15:A29)+$B$3)),INDEX(orderHistory[paye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YEAR(orderHistory[payed]),$D$15,0)),MATCH(ROW(orderHistory[customer]),ROW(orderHistory[customer])),""),ROWS($A$15:A29)+$B$3))),IF($D$15="",INDEX(orderHistory[payed],SMALL(IF(ISNUMBER(MATCH(orderHistory[customer],$D$9,0)*MATCH(orderHistory[status],$D$11,0)*MATCH(orderHistory[order_type],$D$13,0)),MATCH(ROW(orderHistory[customer]),ROW(orderHistory[customer])),""),ROWS($A$15:A29)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U24" s="454" t="str">
        <f t="array" ref="U24">IFERROR(IF($D$9="",IF($D$11="",IF($D$13="",IF($D$15="",INDEX(orderHistory[shipping_method],SMALL(MATCH(ROW(orderHistory[customer]),ROW(orderHistory[customer])),ROWS($A$15:A29)+$B$3)),INDEX(orderHistory[shipping_method],SMALL(IF(ISNUMBER(MATCH(YEAR(orderHistory[invoice_date]),$D$15,0)),MATCH(ROW(orderHistory[customer]),ROW(orderHistory[customer])),""),ROWS($A$15:A29)+$B$3))),IF($D$15="",INDEX(orderHistory[shipping_method],SMALL(IF(ISNUMBER(MATCH(orderHistory[order_type],$D$13,0)),MATCH(ROW(orderHistory[customer]),ROW(orderHistory[customer])),""),ROWS($A$15:A29)+$B$3)),INDEX(orderHistory[shipping_method],SMALL(IF(ISNUMBER(MATCH(orderHistory[order_type],$D$13,0)*MATCH(YEAR(orderHistory[invoice_date]),$D$15,0)),MATCH(ROW(orderHistory[customer]),ROW(orderHistory[customer])),""),ROWS($A$15:A29)+$B$3)))),IF($D$13="",IF($D$15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YEAR(orderHistory[invoice_date]),$D$15,0)),MATCH(ROW(orderHistory[customer]),ROW(orderHistory[customer])),""),ROWS($A$15:A29)+$B$3))),IF($D$15="",INDEX(orderHistory[shipping_method],SMALL(IF(ISNUMBER(MATCH(orderHistory[status],$D$11,0)*MATCH(orderHistory[order_type],$D$13,0)),MATCH(ROW(orderHistory[customer]),ROW(orderHistory[customer])),""),ROWS($A$15:A29)+$B$3)),INDEX(orderHistory[shipping_metho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YEAR(orderHistory[invoice_date]),$D$15,0)),MATCH(ROW(orderHistory[customer]),ROW(orderHistory[customer])),""),ROWS($A$15:A29)+$B$3))),IF($D$15="",INDEX(orderHistory[shipping_method],SMALL(IF(ISNUMBER(MATCH(orderHistory[customer],$D$9,0)*MATCH(orderHistory[order_type],$D$13,0)),MATCH(ROW(orderHistory[customer]),ROW(orderHistory[customer])),""),ROWS($A$15:A29)+$B$3)),INDEX(orderHistory[shipping_metho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YEAR(orderHistory[shipping_method]),$D$15,0)),MATCH(ROW(orderHistory[customer]),ROW(orderHistory[customer])),""),ROWS($A$15:A29)+$B$3))),IF($D$15="",INDEX(orderHistory[shipping_method],SMALL(IF(ISNUMBER(MATCH(orderHistory[customer],$D$9,0)*MATCH(orderHistory[status],$D$11,0)*MATCH(orderHistory[order_type],$D$13,0)),MATCH(ROW(orderHistory[customer]),ROW(orderHistory[customer])),""),ROWS($A$15:A29)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V24" s="460" t="str">
        <f t="array" ref="V24">IFERROR(IF($D$9="",IF($D$11="",IF($D$13="",IF($D$15="",INDEX(orderHistory[status],SMALL(MATCH(ROW(orderHistory[customer]),ROW(orderHistory[customer])),ROWS($A$15:A29)+$B$3)),INDEX(orderHistory[status],SMALL(IF(ISNUMBER(MATCH(YEAR(orderHistory[invoice_date]),$D$15,0)),MATCH(ROW(orderHistory[customer]),ROW(orderHistory[customer])),""),ROWS($A$15:A29)+$B$3))),IF($D$15="",INDEX(orderHistory[status],SMALL(IF(ISNUMBER(MATCH(orderHistory[order_type],$D$13,0)),MATCH(ROW(orderHistory[customer]),ROW(orderHistory[customer])),""),ROWS($A$15:A29)+$B$3)),INDEX(orderHistory[status],SMALL(IF(ISNUMBER(MATCH(orderHistory[order_type],$D$13,0)*MATCH(YEAR(orderHistory[invoice_date]),$D$15,0)),MATCH(ROW(orderHistory[customer]),ROW(orderHistory[customer])),""),ROWS($A$15:A29)+$B$3)))),IF($D$13="",IF($D$15="",INDEX(orderHistory[status],SMALL(IF(ISNUMBER(MATCH(orderHistory[status],$D$11,0)),MATCH(ROW(orderHistory[customer]),ROW(orderHistory[customer])),""),ROWS($A$15:A29)+$B$3)),INDEX(orderHistory[status],SMALL(IF(ISNUMBER(MATCH(orderHistory[status],$D$11,0)*MATCH(YEAR(orderHistory[invoice_date]),$D$15,0)),MATCH(ROW(orderHistory[customer]),ROW(orderHistory[customer])),""),ROWS($A$15:A29)+$B$3))),IF($D$15="",INDEX(orderHistory[status],SMALL(IF(ISNUMBER(MATCH(orderHistory[status],$D$11,0)*MATCH(orderHistory[order_type],$D$13,0)),MATCH(ROW(orderHistory[customer]),ROW(orderHistory[customer])),""),ROWS($A$15:A29)+$B$3)),INDEX(orderHistory[statu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tatus],SMALL(IF(ISNUMBER(MATCH(orderHistory[customer],$D$9,0)),MATCH(ROW(orderHistory[customer]),ROW(orderHistory[customer])),""),ROWS($A$15:A29)+$B$3)),INDEX(orderHistory[status],SMALL(IF(ISNUMBER(MATCH(orderHistory[customer],$D$9,0)*MATCH(YEAR(orderHistory[invoice_date]),$D$15,0)),MATCH(ROW(orderHistory[customer]),ROW(orderHistory[customer])),""),ROWS($A$15:A29)+$B$3))),IF($D$15="",INDEX(orderHistory[status],SMALL(IF(ISNUMBER(MATCH(orderHistory[customer],$D$9,0)*MATCH(orderHistory[order_type],$D$13,0)),MATCH(ROW(orderHistory[customer]),ROW(orderHistory[customer])),""),ROWS($A$15:A29)+$B$3)),INDEX(orderHistory[statu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YEAR(orderHistory[status]),$D$15,0)),MATCH(ROW(orderHistory[customer]),ROW(orderHistory[customer])),""),ROWS($A$15:A29)+$B$3))),IF($D$15="",INDEX(orderHistory[status],SMALL(IF(ISNUMBER(MATCH(orderHistory[customer],$D$9,0)*MATCH(orderHistory[status],$D$11,0)*MATCH(orderHistory[order_type],$D$13,0)),MATCH(ROW(orderHistory[customer]),ROW(orderHistory[customer])),""),ROWS($A$15:A29)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W24" s="75"/>
      <c r="AQ24" s="407"/>
      <c r="AT24" s="382"/>
      <c r="AU24" s="408"/>
      <c r="AV24" s="382"/>
      <c r="AW24" s="398"/>
      <c r="AX24" s="409"/>
      <c r="AY24" s="346"/>
      <c r="AZ24" s="346"/>
      <c r="BA24" s="346"/>
      <c r="BB24" s="346"/>
      <c r="BC24" s="346"/>
      <c r="BD24" s="346"/>
      <c r="BE24" s="346"/>
      <c r="BF24" s="346"/>
      <c r="BG24" s="399"/>
      <c r="BH24" s="346"/>
      <c r="BI24" s="346"/>
      <c r="BJ24" s="347"/>
      <c r="BK24" s="366"/>
      <c r="BL24" s="367"/>
      <c r="BM24" s="368"/>
      <c r="BN24" s="367"/>
      <c r="BO24" s="368"/>
      <c r="BX24" s="434"/>
      <c r="BZ24" s="495"/>
      <c r="CA24" s="477" t="str">
        <f>IF(BZ24="","",INDEX(bhpc_data[description],MATCH(BZ24,bhpc_data[sku],0)))</f>
        <v/>
      </c>
      <c r="CB24" s="478"/>
      <c r="CC24" s="490"/>
      <c r="CD24" s="494"/>
      <c r="CE24" s="481"/>
      <c r="CF24" s="482"/>
      <c r="CG24" s="483" t="str">
        <f>IFERROR(ROUNDUP(CB24/INDEX(bhpc_data[units_per_carton],MATCH(BZ24,bhpc_data[sku],0)),0),"")</f>
        <v/>
      </c>
      <c r="CH24" s="484" t="str">
        <f>IFERROR(ROUNDUP(CD24/INDEX(bhpc_data[units_per_carton],MATCH(BZ24,bhpc_data[sku],0)),0),"")</f>
        <v/>
      </c>
      <c r="CI24" s="484" t="str">
        <f>IFERROR(ROUNDUP(CF24/INDEX(bhpc_data[units_per_carton],MATCH(BZ24,bhpc_data[sku])),0),"")</f>
        <v/>
      </c>
      <c r="CJ24" s="484" t="str">
        <f>IFERROR(((CB24+CD24+CF24)/INDEX(bhpc_data[units_per_carton],MATCH(BZ24,bhpc_data[sku],0)))*INDEX(bhpc_data[net_weight],MATCH(BZ24,bhpc_data[sku],0)),"")</f>
        <v/>
      </c>
      <c r="CK24" s="484" t="str">
        <f>IFERROR(((CB24+CD24+CF24)/INDEX(bhpc_data[units_per_carton],MATCH(BZ24,bhpc_data[sku],0)))*INDEX(bhpc_data[gross_weight],MATCH(BZ24,bhpc_data[sku],0)),"")</f>
        <v/>
      </c>
      <c r="CL24" s="485" t="str">
        <f>IFERROR((CB24+CD24+CF24)/INDEX(bhpc_data[units_per_carton],MATCH(BZ24,bhpc_data[sku],0))*INDEX(bhpc_data[lenght],MATCH(BZ24,bhpc_data[sku],0))*INDEX(bhpc_data[width],MATCH(BZ24,bhpc_data[sku],0))*INDEX(bhpc_data[height],MATCH(BZ24,bhpc_data[sku],0))/1000000000,"")</f>
        <v/>
      </c>
      <c r="CM24" s="486" t="str">
        <f>IFERROR(INDEX(bhpc_data[category],MATCH(BZ24,bhpc_data[sku],0)),"")</f>
        <v/>
      </c>
      <c r="CN24" s="486" t="str">
        <f>IFERROR(INDEX(bhpc_data[size1],MATCH(BZ24,bhpc_data[sku],0)),"")</f>
        <v/>
      </c>
      <c r="CO24" s="487" t="str">
        <f>IFERROR(INDEX(bhpc_data[hs_code],MATCH(BZ24,bhpc_data[sku],0)),"")</f>
        <v/>
      </c>
      <c r="CP24" s="482"/>
      <c r="CQ24" s="492" t="str">
        <f>IFERROR(IF(BZ24="","",IF($BX$15="SALE",INDEX(inventory[COSTO UNITARIO],MATCH(BZ24,inventory[ARTICOLO],0)),IF($BX$15="SAMPLING",INDEX(inventory[COSTO UNITARIO],MATCH(BZ24,inventory[ARTICOLO],0)),""))),"")</f>
        <v/>
      </c>
      <c r="CR24" s="492" t="str">
        <f t="shared" si="0"/>
        <v/>
      </c>
      <c r="CS24" s="489" t="str">
        <f t="shared" si="1"/>
        <v/>
      </c>
      <c r="CT24" s="573" t="str">
        <f t="shared" si="2"/>
        <v/>
      </c>
      <c r="CV24" s="85"/>
      <c r="CW24" s="117" t="s">
        <v>603</v>
      </c>
      <c r="CX24" s="300">
        <f>SUM(CJ10:CJ109)</f>
        <v>2541.9999999999995</v>
      </c>
      <c r="CY24" s="89" t="s">
        <v>23</v>
      </c>
      <c r="CZ24" s="235">
        <f>SUM($CL$10:$CL$110)</f>
        <v>4.7599291666666668</v>
      </c>
      <c r="DA24" s="82"/>
      <c r="DH24" s="245"/>
      <c r="EE24" s="547" t="str" cm="1">
        <f t="array" ref="EE24">IFERROR(IF($EC$9="",IF($EC$11="",IF($EC$13="",INDEX(bhpc_data[sku],SMALL(MATCH(ROW(bhpc_data[sku]),ROW(bhpc_data[sku])),ROWS($A$15:A29)+$B$3)),INDEX(bhpc_data[sku],SMALL(IF(ISNUMBER(MATCH(bhpc_data[size1],$EC$13,0)),MATCH(ROW(bhpc_data[sku]),ROW(bhpc_data[sku])),""),ROWS($A$15:A29)+$B$3))),IF($EC$13="",INDEX(bhpc_data[sku],SMALL(IF(ISNUMBER(MATCH(bhpc_data[sex],$EC$11,0)),MATCH(ROW(bhpc_data[sku]),ROW(bhpc_data[sku])),""),ROWS($A$15:A29)+$B$3)),INDEX(bhpc_data[sku],SMALL(IF(ISNUMBER(MATCH(bhpc_data[sex],$EC$11,0)*MATCH(bhpc_data[size1],$EC$13,0)),MATCH(ROW(bhpc_data[sku]),ROW(bhpc_data[sku])),""),ROWS($A$15:A29)+$B$3)))),IF($EC$11="",IF($EC$13="",INDEX(bhpc_data[sku],SMALL(IF(ISNUMBER(MATCH(bhpc_data[category],$EC$9,0)),MATCH(ROW(bhpc_data[sku]),ROW(bhpc_data[sku])),""),ROWS($A$15:A29)+$B$3)),INDEX(bhpc_data[sku],SMALL(IF(ISNUMBER(MATCH(bhpc_data[category],$EC$9,0)*MATCH(bhpc_data[size1],$EC$13,0)),MATCH(ROW(bhpc_data[sku]),ROW(bhpc_data[sku])),""),ROWS($A$15:A29)+$B$3))),IF($EC$13="",INDEX(bhpc_data[sku],SMALL(IF(ISNUMBER(MATCH(bhpc_data[category],$EC$9,0)*MATCH(bhpc_data[sex],$EC$11,0)),MATCH(ROW(bhpc_data[sku]),ROW(bhpc_data[sku])),""),ROWS($A$15:A29)+$B$3)),INDEX(bhpc_data[sku],SMALL(IF(ISNUMBER(MATCH(bhpc_data[category],$EC$9,0)*MATCH(bhpc_data[sex],$EC$11,0)*MATCH(bhpc_data[size1],$EC$13,0)),MATCH(ROW(bhpc_data[sku]),ROW(bhpc_data[sku])),""),ROWS($A$15:A29)+$B$3))))),"")</f>
        <v>GS5052</v>
      </c>
      <c r="EF24" s="548" t="str" cm="1">
        <f t="array" ref="EF24">IFERROR(IF($EC$9="",IF($EC$11="",IF($EC$13="",INDEX(bhpc_data[description],SMALL(MATCH(ROW(bhpc_data[sku]),ROW(bhpc_data[sku])),ROWS($A$15:A29)+$B$3)),INDEX(bhpc_data[description],SMALL(IF(ISNUMBER(MATCH(bhpc_data[size1],$EC$13,0)),MATCH(ROW(bhpc_data[sku]),ROW(bhpc_data[sku])),""),ROWS($A$15:A29)+$B$3))),IF($EC$13="",INDEX(bhpc_data[description],SMALL(IF(ISNUMBER(MATCH(bhpc_data[sex],$EC$11,0)),MATCH(ROW(bhpc_data[sku]),ROW(bhpc_data[sku])),""),ROWS($A$15:A29)+$B$3)),INDEX(bhpc_data[description],SMALL(IF(ISNUMBER(MATCH(bhpc_data[sex],$EC$11,0)*MATCH(bhpc_data[size1],$EC$13,0)),MATCH(ROW(bhpc_data[sku]),ROW(bhpc_data[sku])),""),ROWS($A$15:A29)+$B$3)))),IF($EC$11="",IF($EC$13="",INDEX(bhpc_data[description],SMALL(IF(ISNUMBER(MATCH(bhpc_data[category],$EC$9,0)),MATCH(ROW(bhpc_data[sku]),ROW(bhpc_data[sku])),""),ROWS($A$15:A29)+$B$3)),INDEX(bhpc_data[description],SMALL(IF(ISNUMBER(MATCH(bhpc_data[category],$EC$9,0)*MATCH(bhpc_data[size1],$EC$13,0)),MATCH(ROW(bhpc_data[sku]),ROW(bhpc_data[sku])),""),ROWS($A$15:A29)+$B$3))),IF($EC$13="",INDEX(bhpc_data[description],SMALL(IF(ISNUMBER(MATCH(bhpc_data[category],$EC$9,0)*MATCH(bhpc_data[sex],$EC$11,0)),MATCH(ROW(bhpc_data[sku]),ROW(bhpc_data[sku])),""),ROWS($A$15:A29)+$B$3)),INDEX(bhpc_data[description],SMALL(IF(ISNUMBER(MATCH(bhpc_data[category],$EC$9,0)*MATCH(bhpc_data[sex],$EC$11,0)*MATCH(bhpc_data[size1],$EC$13,0)),MATCH(ROW(bhpc_data[sku]),ROW(bhpc_data[sku])),""),ROWS($A$15:A29)+$B$3))))),"")</f>
        <v>BHPC GIFT SET WOMEN 8 EDP 100ML + DEO 150ML</v>
      </c>
      <c r="EG24" s="549">
        <f>IFERROR(IF('BHPC MANAGER'!$EE24="","",INDEX(inventory[ESISTENZA],MATCH('BHPC MANAGER'!$EE24,inventory[ARTICOLO],0))),0)</f>
        <v>0</v>
      </c>
      <c r="EH24" s="550">
        <v>-6</v>
      </c>
      <c r="EI24" s="550">
        <f t="shared" si="3"/>
        <v>-6</v>
      </c>
      <c r="EJ24" s="551">
        <v>0</v>
      </c>
      <c r="EK24" s="552">
        <f t="shared" si="4"/>
        <v>-6</v>
      </c>
      <c r="FF24" s="331"/>
      <c r="FG24" s="331"/>
      <c r="FH24" s="331"/>
      <c r="FI24" s="331"/>
      <c r="FJ24" s="331"/>
      <c r="FK24" s="331"/>
      <c r="FL24" s="331"/>
      <c r="FM24" s="331"/>
      <c r="FN24" s="331"/>
      <c r="FO24" s="331"/>
      <c r="FP24" s="331"/>
      <c r="FQ24" s="331"/>
      <c r="FR24" s="331"/>
      <c r="FS24" s="331"/>
      <c r="FT24" s="331"/>
      <c r="FU24" s="331"/>
      <c r="FV24" s="331"/>
      <c r="FW24" s="331"/>
      <c r="FX24" s="331"/>
      <c r="FY24" s="331"/>
      <c r="FZ24" s="331"/>
      <c r="GA24" s="331"/>
      <c r="GB24" s="331"/>
      <c r="GC24" s="331"/>
      <c r="GD24" s="331"/>
      <c r="GE24" s="331"/>
      <c r="GF24" s="331"/>
      <c r="GG24" s="331"/>
      <c r="GH24" s="331"/>
      <c r="GI24" s="331"/>
      <c r="GJ24" s="331"/>
      <c r="GK24" s="331"/>
      <c r="GL24" s="331"/>
      <c r="GM24" s="331"/>
      <c r="GN24" s="331"/>
      <c r="GO24" s="331"/>
      <c r="GP24" s="331"/>
      <c r="GQ24" s="331"/>
      <c r="GR24" s="331"/>
      <c r="GS24" s="331"/>
      <c r="GT24" s="331"/>
      <c r="GU24" s="331"/>
      <c r="GV24" s="331"/>
      <c r="GW24" s="331"/>
      <c r="GX24" s="331"/>
      <c r="GY24" s="331"/>
      <c r="GZ24" s="331"/>
      <c r="HA24" s="331"/>
      <c r="HB24" s="331"/>
      <c r="HC24" s="331"/>
      <c r="HD24" s="331"/>
      <c r="HE24" s="331"/>
      <c r="HF24" s="331"/>
      <c r="HG24" s="331"/>
      <c r="HH24" s="331"/>
      <c r="HI24" s="331"/>
      <c r="HJ24" s="331"/>
      <c r="HK24" s="331"/>
      <c r="HL24" s="331"/>
      <c r="HM24" s="331"/>
      <c r="HN24" s="331"/>
      <c r="HO24" s="331"/>
      <c r="HP24" s="331"/>
      <c r="HQ24" s="331"/>
      <c r="HR24" s="331"/>
      <c r="HS24" s="331"/>
      <c r="HT24" s="331"/>
    </row>
    <row r="25" spans="1:228" ht="15" customHeight="1" thickBot="1" x14ac:dyDescent="0.4">
      <c r="D25" s="274" t="e">
        <f>VLOOKUP(VLOOKUP($B$4,orderHistory[],15,FALSE),carriers[],3,FALSE)</f>
        <v>#N/A</v>
      </c>
      <c r="F25" s="91"/>
      <c r="G25" s="99" t="s">
        <v>605</v>
      </c>
      <c r="H25" s="81"/>
      <c r="I25" s="81"/>
      <c r="J25" s="82"/>
      <c r="L25" s="452" t="str">
        <f t="array" ref="L25">IFERROR(IF($D$9="",IF($D$11="",IF($D$13="",IF($D$15="",INDEX(orderHistory[customer],SMALL(MATCH(ROW(orderHistory[customer]),ROW(orderHistory[customer])),ROWS($A$15:A30)+$B$3)),INDEX(orderHistory[customer],SMALL(IF(ISNUMBER(MATCH(YEAR(orderHistory[invoice_date]),$D$15,0)),MATCH(ROW(orderHistory[customer]),ROW(orderHistory[customer])),""),ROWS($A$15:A30)+$B$3))),IF($D$15="",INDEX(orderHistory[customer],SMALL(IF(ISNUMBER(MATCH(orderHistory[order_type],$D$13,0)),MATCH(ROW(orderHistory[customer]),ROW(orderHistory[customer])),""),ROWS($A$15:A30)+$B$3)),INDEX(orderHistory[customer],SMALL(IF(ISNUMBER(MATCH(orderHistory[order_type],$D$13,0)*MATCH(YEAR(orderHistory[invoice_date]),$D$15,0)),MATCH(ROW(orderHistory[customer]),ROW(orderHistory[customer])),""),ROWS($A$15:A30)+$B$3)))),IF($D$13="",IF($D$15="",INDEX(orderHistory[customer],SMALL(IF(ISNUMBER(MATCH(orderHistory[status],$D$11,0)),MATCH(ROW(orderHistory[customer]),ROW(orderHistory[customer])),""),ROWS($A$15:A30)+$B$3)),INDEX(orderHistory[customer],SMALL(IF(ISNUMBER(MATCH(orderHistory[status],$D$11,0)*MATCH(YEAR(orderHistory[invoice_date]),$D$15,0)),MATCH(ROW(orderHistory[customer]),ROW(orderHistory[customer])),""),ROWS($A$15:A30)+$B$3))),IF($D$15="",INDEX(orderHistory[customer],SMALL(IF(ISNUMBER(MATCH(orderHistory[status],$D$11,0)*MATCH(orderHistory[order_type],$D$13,0)),MATCH(ROW(orderHistory[customer]),ROW(orderHistory[customer])),""),ROWS($A$15:A30)+$B$3)),INDEX(orderHistory[customer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customer],SMALL(IF(ISNUMBER(MATCH(orderHistory[customer],$D$9,0)),MATCH(ROW(orderHistory[customer]),ROW(orderHistory[customer])),""),ROWS($A$15:A30)+$B$3)),INDEX(orderHistory[customer],SMALL(IF(ISNUMBER(MATCH(orderHistory[customer],$D$9,0)*MATCH(YEAR(orderHistory[invoice_date]),$D$15,0)),MATCH(ROW(orderHistory[customer]),ROW(orderHistory[customer])),""),ROWS($A$15:A30)+$B$3))),IF($D$15="",INDEX(orderHistory[customer],SMALL(IF(ISNUMBER(MATCH(orderHistory[customer],$D$9,0)*MATCH(orderHistory[order_type],$D$13,0)),MATCH(ROW(orderHistory[customer]),ROW(orderHistory[customer])),""),ROWS($A$15:A30)+$B$3)),INDEX(orderHistory[customer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YEAR(orderHistory[invoice_date]),$D$15,0)),MATCH(ROW(orderHistory[customer]),ROW(orderHistory[customer])),""),ROWS($A$15:A30)+$B$3))),IF($D$15="",INDEX(orderHistory[customer],SMALL(IF(ISNUMBER(MATCH(orderHistory[customer],$D$9,0)*MATCH(orderHistory[status],$D$11,0)*MATCH(orderHistory[order_type],$D$13,0)),MATCH(ROW(orderHistory[customer]),ROW(orderHistory[customer])),""),ROWS($A$15:A30)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M25" s="453" t="str">
        <f t="array" ref="M25">IFERROR(IF($D$9="",IF($D$11="",IF($D$13="",IF($D$15="",INDEX(orderHistory[order_no],SMALL(MATCH(ROW(orderHistory[customer]),ROW(orderHistory[customer])),ROWS($A$15:A30)+$B$3)),INDEX(orderHistory[order_no],SMALL(IF(ISNUMBER(MATCH(YEAR(orderHistory[invoice_date]),$D$15,0)),MATCH(ROW(orderHistory[customer]),ROW(orderHistory[customer])),""),ROWS($A$15:A30)+$B$3))),IF($D$15="",INDEX(orderHistory[order_no],SMALL(IF(ISNUMBER(MATCH(orderHistory[order_type],$D$13,0)),MATCH(ROW(orderHistory[customer]),ROW(orderHistory[customer])),""),ROWS($A$15:A30)+$B$3)),INDEX(orderHistory[order_no],SMALL(IF(ISNUMBER(MATCH(orderHistory[order_type],$D$13,0)*MATCH(YEAR(orderHistory[invoice_date]),$D$15,0)),MATCH(ROW(orderHistory[customer]),ROW(orderHistory[customer])),""),ROWS($A$15:A30)+$B$3)))),IF($D$13="",IF($D$15="",INDEX(orderHistory[order_no],SMALL(IF(ISNUMBER(MATCH(orderHistory[status],$D$11,0)),MATCH(ROW(orderHistory[customer]),ROW(orderHistory[customer])),""),ROWS($A$15:A30)+$B$3)),INDEX(orderHistory[order_no],SMALL(IF(ISNUMBER(MATCH(orderHistory[status],$D$11,0)*MATCH(YEAR(orderHistory[invoice_date]),$D$15,0)),MATCH(ROW(orderHistory[customer]),ROW(orderHistory[customer])),""),ROWS($A$15:A30)+$B$3))),IF($D$15="",INDEX(orderHistory[order_no],SMALL(IF(ISNUMBER(MATCH(orderHistory[status],$D$11,0)*MATCH(orderHistory[order_type],$D$13,0)),MATCH(ROW(orderHistory[customer]),ROW(orderHistory[customer])),""),ROWS($A$15:A30)+$B$3)),INDEX(orderHistory[order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no],SMALL(IF(ISNUMBER(MATCH(orderHistory[customer],$D$9,0)),MATCH(ROW(orderHistory[customer]),ROW(orderHistory[customer])),""),ROWS($A$15:A30)+$B$3)),INDEX(orderHistory[order_no],SMALL(IF(ISNUMBER(MATCH(orderHistory[customer],$D$9,0)*MATCH(YEAR(orderHistory[invoice_date]),$D$15,0)),MATCH(ROW(orderHistory[customer]),ROW(orderHistory[customer])),""),ROWS($A$15:A30)+$B$3))),IF($D$15="",INDEX(orderHistory[order_no],SMALL(IF(ISNUMBER(MATCH(orderHistory[customer],$D$9,0)*MATCH(orderHistory[order_type],$D$13,0)),MATCH(ROW(orderHistory[customer]),ROW(orderHistory[customer])),""),ROWS($A$15:A30)+$B$3)),INDEX(orderHistory[order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YEAR(orderHistory[invoice_date]),$D$15,0)),MATCH(ROW(orderHistory[customer]),ROW(orderHistory[customer])),""),ROWS($A$15:A30)+$B$3))),IF($D$15="",INDEX(orderHistory[order_no],SMALL(IF(ISNUMBER(MATCH(orderHistory[customer],$D$9,0)*MATCH(orderHistory[status],$D$11,0)*MATCH(orderHistory[order_type],$D$13,0)),MATCH(ROW(orderHistory[customer]),ROW(orderHistory[customer])),""),ROWS($A$15:A30)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N25" s="454" t="str">
        <f t="array" ref="N25">IFERROR(IF($D$9="",IF($D$11="",IF($D$13="",IF($D$15="",INDEX(orderHistory[order_type],SMALL(MATCH(ROW(orderHistory[customer]),ROW(orderHistory[customer])),ROWS($A$15:A30)+$B$3)),INDEX(orderHistory[order_type],SMALL(IF(ISNUMBER(MATCH(YEAR(orderHistory[invoice_date]),$D$15,0)),MATCH(ROW(orderHistory[customer]),ROW(orderHistory[customer])),""),ROWS($A$15:A30)+$B$3))),IF($D$15="",INDEX(orderHistory[order_type],SMALL(IF(ISNUMBER(MATCH(orderHistory[order_type],$D$13,0)),MATCH(ROW(orderHistory[customer]),ROW(orderHistory[customer])),""),ROWS($A$15:A30)+$B$3)),INDEX(orderHistory[order_type],SMALL(IF(ISNUMBER(MATCH(orderHistory[order_type],$D$13,0)*MATCH(YEAR(orderHistory[invoice_date]),$D$15,0)),MATCH(ROW(orderHistory[customer]),ROW(orderHistory[customer])),""),ROWS($A$15:A30)+$B$3)))),IF($D$13="",IF($D$15="",INDEX(orderHistory[order_type],SMALL(IF(ISNUMBER(MATCH(orderHistory[status],$D$11,0)),MATCH(ROW(orderHistory[customer]),ROW(orderHistory[customer])),""),ROWS($A$15:A30)+$B$3)),INDEX(orderHistory[order_type],SMALL(IF(ISNUMBER(MATCH(orderHistory[status],$D$11,0)*MATCH(YEAR(orderHistory[invoice_date]),$D$15,0)),MATCH(ROW(orderHistory[customer]),ROW(orderHistory[customer])),""),ROWS($A$15:A30)+$B$3))),IF($D$15="",INDEX(orderHistory[order_type],SMALL(IF(ISNUMBER(MATCH(orderHistory[status],$D$11,0)*MATCH(orderHistory[order_type],$D$13,0)),MATCH(ROW(orderHistory[customer]),ROW(orderHistory[customer])),""),ROWS($A$15:A30)+$B$3)),INDEX(orderHistory[order_typ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type],SMALL(IF(ISNUMBER(MATCH(orderHistory[customer],$D$9,0)),MATCH(ROW(orderHistory[customer]),ROW(orderHistory[customer])),""),ROWS($A$15:A30)+$B$3)),INDEX(orderHistory[order_type],SMALL(IF(ISNUMBER(MATCH(orderHistory[customer],$D$9,0)*MATCH(YEAR(orderHistory[invoice_date]),$D$15,0)),MATCH(ROW(orderHistory[customer]),ROW(orderHistory[customer])),""),ROWS($A$15:A30)+$B$3))),IF($D$15="",INDEX(orderHistory[order_type],SMALL(IF(ISNUMBER(MATCH(orderHistory[customer],$D$9,0)*MATCH(orderHistory[order_type],$D$13,0)),MATCH(ROW(orderHistory[customer]),ROW(orderHistory[customer])),""),ROWS($A$15:A30)+$B$3)),INDEX(orderHistory[order_typ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YEAR(orderHistory[invoice_date]),$D$15,0)),MATCH(ROW(orderHistory[customer]),ROW(orderHistory[customer])),""),ROWS($A$15:A30)+$B$3))),IF($D$15="",INDEX(orderHistory[order_type],SMALL(IF(ISNUMBER(MATCH(orderHistory[customer],$D$9,0)*MATCH(orderHistory[status],$D$11,0)*MATCH(orderHistory[order_type],$D$13,0)),MATCH(ROW(orderHistory[customer]),ROW(orderHistory[customer])),""),ROWS($A$15:A30)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O25" s="455" t="str">
        <f t="array" ref="O25">IFERROR(IF($D$9="",IF($D$11="",IF($D$13="",IF($D$15="",INDEX(orderHistory[order_date],SMALL(MATCH(ROW(orderHistory[customer]),ROW(orderHistory[customer])),ROWS($A$15:A30)+$B$3)),INDEX(orderHistory[order_date],SMALL(IF(ISNUMBER(MATCH(YEAR(orderHistory[invoice_date]),$D$15,0)),MATCH(ROW(orderHistory[customer]),ROW(orderHistory[customer])),""),ROWS($A$15:A30)+$B$3))),IF($D$15="",INDEX(orderHistory[order_date],SMALL(IF(ISNUMBER(MATCH(orderHistory[order_type],$D$13,0)),MATCH(ROW(orderHistory[customer]),ROW(orderHistory[customer])),""),ROWS($A$15:A30)+$B$3)),INDEX(orderHistory[order_date],SMALL(IF(ISNUMBER(MATCH(orderHistory[order_type],$D$13,0)*MATCH(YEAR(orderHistory[invoice_date]),$D$15,0)),MATCH(ROW(orderHistory[customer]),ROW(orderHistory[customer])),""),ROWS($A$15:A30)+$B$3)))),IF($D$13="",IF($D$15="",INDEX(orderHistory[order_date],SMALL(IF(ISNUMBER(MATCH(orderHistory[status],$D$11,0)),MATCH(ROW(orderHistory[customer]),ROW(orderHistory[customer])),""),ROWS($A$15:A30)+$B$3)),INDEX(orderHistory[order_date],SMALL(IF(ISNUMBER(MATCH(orderHistory[status],$D$11,0)*MATCH(YEAR(orderHistory[invoice_date]),$D$15,0)),MATCH(ROW(orderHistory[customer]),ROW(orderHistory[customer])),""),ROWS($A$15:A30)+$B$3))),IF($D$15="",INDEX(orderHistory[order_date],SMALL(IF(ISNUMBER(MATCH(orderHistory[status],$D$11,0)*MATCH(orderHistory[order_type],$D$13,0)),MATCH(ROW(orderHistory[customer]),ROW(orderHistory[customer])),""),ROWS($A$15:A30)+$B$3)),INDEX(orderHistory[order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date],SMALL(IF(ISNUMBER(MATCH(orderHistory[customer],$D$9,0)),MATCH(ROW(orderHistory[customer]),ROW(orderHistory[customer])),""),ROWS($A$15:A30)+$B$3)),INDEX(orderHistory[order_date],SMALL(IF(ISNUMBER(MATCH(orderHistory[customer],$D$9,0)*MATCH(YEAR(orderHistory[invoice_date]),$D$15,0)),MATCH(ROW(orderHistory[customer]),ROW(orderHistory[customer])),""),ROWS($A$15:A30)+$B$3))),IF($D$15="",INDEX(orderHistory[order_date],SMALL(IF(ISNUMBER(MATCH(orderHistory[customer],$D$9,0)*MATCH(orderHistory[order_type],$D$13,0)),MATCH(ROW(orderHistory[customer]),ROW(orderHistory[customer])),""),ROWS($A$15:A30)+$B$3)),INDEX(orderHistory[order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YEAR(orderHistory[invoice_date]),$D$15,0)),MATCH(ROW(orderHistory[customer]),ROW(orderHistory[customer])),""),ROWS($A$15:A30)+$B$3))),IF($D$15="",INDEX(orderHistory[order_date],SMALL(IF(ISNUMBER(MATCH(orderHistory[customer],$D$9,0)*MATCH(orderHistory[status],$D$11,0)*MATCH(orderHistory[order_type],$D$13,0)),MATCH(ROW(orderHistory[customer]),ROW(orderHistory[customer])),""),ROWS($A$15:A30)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P25" s="456" t="str">
        <f t="array" ref="P25">IFERROR(IF($D$9="",IF($D$11="",IF($D$13="",IF($D$15="",INDEX(orderHistory[invoice_no],SMALL(MATCH(ROW(orderHistory[customer]),ROW(orderHistory[customer])),ROWS($A$15:A30)+$B$3)),INDEX(orderHistory[invoice_no],SMALL(IF(ISNUMBER(MATCH(YEAR(orderHistory[invoice_date]),$D$15,0)),MATCH(ROW(orderHistory[customer]),ROW(orderHistory[customer])),""),ROWS($A$15:A30)+$B$3))),IF($D$15="",INDEX(orderHistory[invoice_no],SMALL(IF(ISNUMBER(MATCH(orderHistory[order_type],$D$13,0)),MATCH(ROW(orderHistory[customer]),ROW(orderHistory[customer])),""),ROWS($A$15:A30)+$B$3)),INDEX(orderHistory[invoice_no],SMALL(IF(ISNUMBER(MATCH(orderHistory[order_type],$D$13,0)*MATCH(YEAR(orderHistory[invoice_date]),$D$15,0)),MATCH(ROW(orderHistory[customer]),ROW(orderHistory[customer])),""),ROWS($A$15:A30)+$B$3)))),IF($D$13="",IF($D$15="",INDEX(orderHistory[invoice_no],SMALL(IF(ISNUMBER(MATCH(orderHistory[status],$D$11,0)),MATCH(ROW(orderHistory[customer]),ROW(orderHistory[customer])),""),ROWS($A$15:A30)+$B$3)),INDEX(orderHistory[invoice_no],SMALL(IF(ISNUMBER(MATCH(orderHistory[status],$D$11,0)*MATCH(YEAR(orderHistory[invoice_date]),$D$15,0)),MATCH(ROW(orderHistory[customer]),ROW(orderHistory[customer])),""),ROWS($A$15:A30)+$B$3))),IF($D$15="",INDEX(orderHistory[invoice_no],SMALL(IF(ISNUMBER(MATCH(orderHistory[status],$D$11,0)*MATCH(orderHistory[order_type],$D$13,0)),MATCH(ROW(orderHistory[customer]),ROW(orderHistory[customer])),""),ROWS($A$15:A30)+$B$3)),INDEX(orderHistory[invoice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no],SMALL(IF(ISNUMBER(MATCH(orderHistory[customer],$D$9,0)),MATCH(ROW(orderHistory[customer]),ROW(orderHistory[customer])),""),ROWS($A$15:A30)+$B$3)),INDEX(orderHistory[invoice_no],SMALL(IF(ISNUMBER(MATCH(orderHistory[customer],$D$9,0)*MATCH(YEAR(orderHistory[invoice_date]),$D$15,0)),MATCH(ROW(orderHistory[customer]),ROW(orderHistory[customer])),""),ROWS($A$15:A30)+$B$3))),IF($D$15="",INDEX(orderHistory[invoice_no],SMALL(IF(ISNUMBER(MATCH(orderHistory[customer],$D$9,0)*MATCH(orderHistory[order_type],$D$13,0)),MATCH(ROW(orderHistory[customer]),ROW(orderHistory[customer])),""),ROWS($A$15:A30)+$B$3)),INDEX(orderHistory[invoice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YEAR(orderHistory[invoice_date]),$D$15,0)),MATCH(ROW(orderHistory[customer]),ROW(orderHistory[customer])),""),ROWS($A$15:A30)+$B$3))),IF($D$15="",INDEX(orderHistory[invoice_no],SMALL(IF(ISNUMBER(MATCH(orderHistory[customer],$D$9,0)*MATCH(orderHistory[status],$D$11,0)*MATCH(orderHistory[order_type],$D$13,0)),MATCH(ROW(orderHistory[customer]),ROW(orderHistory[customer])),""),ROWS($A$15:A30)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Q25" s="457" t="str">
        <f t="array" ref="Q25">IFERROR(IF($D$9="",IF($D$11="",IF($D$13="",IF($D$15="",INDEX(orderHistory[invoice_date],SMALL(MATCH(ROW(orderHistory[customer]),ROW(orderHistory[customer])),ROWS($A$15:A30)+$B$3)),INDEX(orderHistory[invoice_date],SMALL(IF(ISNUMBER(MATCH(YEAR(orderHistory[invoice_date]),$D$15,0)),MATCH(ROW(orderHistory[customer]),ROW(orderHistory[customer])),""),ROWS($A$15:A30)+$B$3))),IF($D$15="",INDEX(orderHistory[invoice_date],SMALL(IF(ISNUMBER(MATCH(orderHistory[order_type],$D$13,0)),MATCH(ROW(orderHistory[customer]),ROW(orderHistory[customer])),""),ROWS($A$15:A30)+$B$3)),INDEX(orderHistory[invoice_date],SMALL(IF(ISNUMBER(MATCH(orderHistory[order_type],$D$13,0)*MATCH(YEAR(orderHistory[invoice_date]),$D$15,0)),MATCH(ROW(orderHistory[customer]),ROW(orderHistory[customer])),""),ROWS($A$15:A30)+$B$3)))),IF($D$13="",IF($D$15="",INDEX(orderHistory[invoice_date],SMALL(IF(ISNUMBER(MATCH(orderHistory[status],$D$11,0)),MATCH(ROW(orderHistory[customer]),ROW(orderHistory[customer])),""),ROWS($A$15:A30)+$B$3)),INDEX(orderHistory[invoice_date],SMALL(IF(ISNUMBER(MATCH(orderHistory[status],$D$11,0)*MATCH(YEAR(orderHistory[invoice_date]),$D$15,0)),MATCH(ROW(orderHistory[customer]),ROW(orderHistory[customer])),""),ROWS($A$15:A30)+$B$3))),IF($D$15="",INDEX(orderHistory[invoice_date],SMALL(IF(ISNUMBER(MATCH(orderHistory[status],$D$11,0)*MATCH(orderHistory[order_type],$D$13,0)),MATCH(ROW(orderHistory[customer]),ROW(orderHistory[customer])),""),ROWS($A$15:A30)+$B$3)),INDEX(orderHistory[invoice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date],SMALL(IF(ISNUMBER(MATCH(orderHistory[customer],$D$9,0)),MATCH(ROW(orderHistory[customer]),ROW(orderHistory[customer])),""),ROWS($A$15:A30)+$B$3)),INDEX(orderHistory[invoice_date],SMALL(IF(ISNUMBER(MATCH(orderHistory[customer],$D$9,0)*MATCH(YEAR(orderHistory[invoice_date]),$D$15,0)),MATCH(ROW(orderHistory[customer]),ROW(orderHistory[customer])),""),ROWS($A$15:A30)+$B$3))),IF($D$15="",INDEX(orderHistory[invoice_date],SMALL(IF(ISNUMBER(MATCH(orderHistory[customer],$D$9,0)*MATCH(orderHistory[order_type],$D$13,0)),MATCH(ROW(orderHistory[customer]),ROW(orderHistory[customer])),""),ROWS($A$15:A30)+$B$3)),INDEX(orderHistory[invoice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YEAR(orderHistory[invoice_date]),$D$15,0)),MATCH(ROW(orderHistory[customer]),ROW(orderHistory[customer])),""),ROWS($A$15:A30)+$B$3))),IF($D$15="",INDEX(orderHistory[invoice_date],SMALL(IF(ISNUMBER(MATCH(orderHistory[customer],$D$9,0)*MATCH(orderHistory[status],$D$11,0)*MATCH(orderHistory[order_type],$D$13,0)),MATCH(ROW(orderHistory[customer]),ROW(orderHistory[customer])),""),ROWS($A$15:A30)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R25" s="458" t="str">
        <f t="array" ref="R25">IFERROR(IF($D$9="",IF($D$11="",IF($D$13="",IF($D$15="",INDEX(orderHistory[inv_amount],SMALL(MATCH(ROW(orderHistory[customer]),ROW(orderHistory[customer])),ROWS($A$15:A30)+$B$3)),INDEX(orderHistory[inv_amount],SMALL(IF(ISNUMBER(MATCH(YEAR(orderHistory[invoice_date]),$D$15,0)),MATCH(ROW(orderHistory[customer]),ROW(orderHistory[customer])),""),ROWS($A$15:A30)+$B$3))),IF($D$15="",INDEX(orderHistory[inv_amount],SMALL(IF(ISNUMBER(MATCH(orderHistory[order_type],$D$13,0)),MATCH(ROW(orderHistory[customer]),ROW(orderHistory[customer])),""),ROWS($A$15:A30)+$B$3)),INDEX(orderHistory[inv_amount],SMALL(IF(ISNUMBER(MATCH(orderHistory[order_type],$D$13,0)*MATCH(YEAR(orderHistory[invoice_date]),$D$15,0)),MATCH(ROW(orderHistory[customer]),ROW(orderHistory[customer])),""),ROWS($A$15:A30)+$B$3)))),IF($D$13="",IF($D$15="",INDEX(orderHistory[inv_amount],SMALL(IF(ISNUMBER(MATCH(orderHistory[status],$D$11,0)),MATCH(ROW(orderHistory[customer]),ROW(orderHistory[customer])),""),ROWS($A$15:A30)+$B$3)),INDEX(orderHistory[inv_amount],SMALL(IF(ISNUMBER(MATCH(orderHistory[status],$D$11,0)*MATCH(YEAR(orderHistory[invoice_date]),$D$15,0)),MATCH(ROW(orderHistory[customer]),ROW(orderHistory[customer])),""),ROWS($A$15:A30)+$B$3))),IF($D$15="",INDEX(orderHistory[inv_amount],SMALL(IF(ISNUMBER(MATCH(orderHistory[status],$D$11,0)*MATCH(orderHistory[order_type],$D$13,0)),MATCH(ROW(orderHistory[customer]),ROW(orderHistory[customer])),""),ROWS($A$15:A30)+$B$3)),INDEX(orderHistory[inv_amount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_amount],SMALL(IF(ISNUMBER(MATCH(orderHistory[customer],$D$9,0)),MATCH(ROW(orderHistory[customer]),ROW(orderHistory[customer])),""),ROWS($A$15:A30)+$B$3)),INDEX(orderHistory[inv_amount],SMALL(IF(ISNUMBER(MATCH(orderHistory[customer],$D$9,0)*MATCH(YEAR(orderHistory[invoice_date]),$D$15,0)),MATCH(ROW(orderHistory[customer]),ROW(orderHistory[customer])),""),ROWS($A$15:A30)+$B$3))),IF($D$15="",INDEX(orderHistory[inv_amount],SMALL(IF(ISNUMBER(MATCH(orderHistory[customer],$D$9,0)*MATCH(orderHistory[order_type],$D$13,0)),MATCH(ROW(orderHistory[customer]),ROW(orderHistory[customer])),""),ROWS($A$15:A30)+$B$3)),INDEX(orderHistory[inv_amount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YEAR(orderHistory[inv_amount]),$D$15,0)),MATCH(ROW(orderHistory[customer]),ROW(orderHistory[customer])),""),ROWS($A$15:A30)+$B$3))),IF($D$15="",INDEX(orderHistory[inv_amount],SMALL(IF(ISNUMBER(MATCH(orderHistory[customer],$D$9,0)*MATCH(orderHistory[status],$D$11,0)*MATCH(orderHistory[order_type],$D$13,0)),MATCH(ROW(orderHistory[customer]),ROW(orderHistory[customer])),""),ROWS($A$15:A30)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S25" s="569" t="str">
        <f t="array" ref="S25">IFERROR(IF($D$9="",IF($D$11="",IF($D$13="",IF($D$15="",INDEX(orderHistory[lock_goods],SMALL(MATCH(ROW(orderHistory[customer]),ROW(orderHistory[customer])),ROWS($A$15:A30)+$B$3)),INDEX(orderHistory[lock_goods],SMALL(IF(ISNUMBER(MATCH(YEAR(orderHistory[invoice_date]),$D$15,0)),MATCH(ROW(orderHistory[customer]),ROW(orderHistory[customer])),""),ROWS($A$15:A30)+$B$3))),IF($D$15="",INDEX(orderHistory[lock_goods],SMALL(IF(ISNUMBER(MATCH(orderHistory[order_type],$D$13,0)),MATCH(ROW(orderHistory[customer]),ROW(orderHistory[customer])),""),ROWS($A$15:A30)+$B$3)),INDEX(orderHistory[lock_goods],SMALL(IF(ISNUMBER(MATCH(orderHistory[order_type],$D$13,0)*MATCH(YEAR(orderHistory[invoice_date]),$D$15,0)),MATCH(ROW(orderHistory[customer]),ROW(orderHistory[customer])),""),ROWS($A$15:A30)+$B$3)))),IF($D$13="",IF($D$15="",INDEX(orderHistory[lock_goods],SMALL(IF(ISNUMBER(MATCH(orderHistory[status],$D$11,0)),MATCH(ROW(orderHistory[customer]),ROW(orderHistory[customer])),""),ROWS($A$15:A30)+$B$3)),INDEX(orderHistory[lock_goods],SMALL(IF(ISNUMBER(MATCH(orderHistory[status],$D$11,0)*MATCH(YEAR(orderHistory[invoice_date]),$D$15,0)),MATCH(ROW(orderHistory[customer]),ROW(orderHistory[customer])),""),ROWS($A$15:A30)+$B$3))),IF($D$15="",INDEX(orderHistory[lock_goods],SMALL(IF(ISNUMBER(MATCH(orderHistory[status],$D$11,0)*MATCH(orderHistory[order_type],$D$13,0)),MATCH(ROW(orderHistory[customer]),ROW(orderHistory[customer])),""),ROWS($A$15:A30)+$B$3)),INDEX(orderHistory[lock_good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lock_goods],SMALL(IF(ISNUMBER(MATCH(orderHistory[customer],$D$9,0)),MATCH(ROW(orderHistory[customer]),ROW(orderHistory[customer])),""),ROWS($A$15:A30)+$B$3)),INDEX(orderHistory[lock_goods],SMALL(IF(ISNUMBER(MATCH(orderHistory[customer],$D$9,0)*MATCH(YEAR(orderHistory[invoice_date]),$D$15,0)),MATCH(ROW(orderHistory[customer]),ROW(orderHistory[customer])),""),ROWS($A$15:A30)+$B$3))),IF($D$15="",INDEX(orderHistory[lock_goods],SMALL(IF(ISNUMBER(MATCH(orderHistory[customer],$D$9,0)*MATCH(orderHistory[order_type],$D$13,0)),MATCH(ROW(orderHistory[customer]),ROW(orderHistory[customer])),""),ROWS($A$15:A30)+$B$3)),INDEX(orderHistory[lock_good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lock_goods],SMALL(IF(ISNUMBER(MATCH(orderHistory[customer],$D$9,0)*MATCH(orderHistory[status],$D$11,0)),MATCH(ROW(orderHistory[customer]),ROW(orderHistory[customer])),""),ROWS($A$15:A30)+$B$3)),INDEX(orderHistory[lock_goods],SMALL(IF(ISNUMBER(MATCH(orderHistory[customer],$D$9,0)*MATCH(orderHistory[status],$D$11,0)*MATCH(YEAR(orderHistory[payed]),$D$15,0)),MATCH(ROW(orderHistory[customer]),ROW(orderHistory[customer])),""),ROWS($A$15:A30)+$B$3))),IF($D$15="",INDEX(orderHistory[lock_goods],SMALL(IF(ISNUMBER(MATCH(orderHistory[customer],$D$9,0)*MATCH(orderHistory[status],$D$11,0)*MATCH(orderHistory[order_type],$D$13,0)),MATCH(ROW(orderHistory[customer]),ROW(orderHistory[customer])),""),ROWS($A$15:A30)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T25" s="459" t="str">
        <f t="array" ref="T25">IFERROR(IF($D$9="",IF($D$11="",IF($D$13="",IF($D$15="",INDEX(orderHistory[payed],SMALL(MATCH(ROW(orderHistory[customer]),ROW(orderHistory[customer])),ROWS($A$15:A30)+$B$3)),INDEX(orderHistory[payed],SMALL(IF(ISNUMBER(MATCH(YEAR(orderHistory[invoice_date]),$D$15,0)),MATCH(ROW(orderHistory[customer]),ROW(orderHistory[customer])),""),ROWS($A$15:A30)+$B$3))),IF($D$15="",INDEX(orderHistory[payed],SMALL(IF(ISNUMBER(MATCH(orderHistory[order_type],$D$13,0)),MATCH(ROW(orderHistory[customer]),ROW(orderHistory[customer])),""),ROWS($A$15:A30)+$B$3)),INDEX(orderHistory[payed],SMALL(IF(ISNUMBER(MATCH(orderHistory[order_type],$D$13,0)*MATCH(YEAR(orderHistory[invoice_date]),$D$15,0)),MATCH(ROW(orderHistory[customer]),ROW(orderHistory[customer])),""),ROWS($A$15:A30)+$B$3)))),IF($D$13="",IF($D$15="",INDEX(orderHistory[payed],SMALL(IF(ISNUMBER(MATCH(orderHistory[status],$D$11,0)),MATCH(ROW(orderHistory[customer]),ROW(orderHistory[customer])),""),ROWS($A$15:A30)+$B$3)),INDEX(orderHistory[payed],SMALL(IF(ISNUMBER(MATCH(orderHistory[status],$D$11,0)*MATCH(YEAR(orderHistory[invoice_date]),$D$15,0)),MATCH(ROW(orderHistory[customer]),ROW(orderHistory[customer])),""),ROWS($A$15:A30)+$B$3))),IF($D$15="",INDEX(orderHistory[payed],SMALL(IF(ISNUMBER(MATCH(orderHistory[status],$D$11,0)*MATCH(orderHistory[order_type],$D$13,0)),MATCH(ROW(orderHistory[customer]),ROW(orderHistory[customer])),""),ROWS($A$15:A30)+$B$3)),INDEX(orderHistory[paye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payed],SMALL(IF(ISNUMBER(MATCH(orderHistory[customer],$D$9,0)),MATCH(ROW(orderHistory[customer]),ROW(orderHistory[customer])),""),ROWS($A$15:A30)+$B$3)),INDEX(orderHistory[payed],SMALL(IF(ISNUMBER(MATCH(orderHistory[customer],$D$9,0)*MATCH(YEAR(orderHistory[invoice_date]),$D$15,0)),MATCH(ROW(orderHistory[customer]),ROW(orderHistory[customer])),""),ROWS($A$15:A30)+$B$3))),IF($D$15="",INDEX(orderHistory[payed],SMALL(IF(ISNUMBER(MATCH(orderHistory[customer],$D$9,0)*MATCH(orderHistory[order_type],$D$13,0)),MATCH(ROW(orderHistory[customer]),ROW(orderHistory[customer])),""),ROWS($A$15:A30)+$B$3)),INDEX(orderHistory[paye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YEAR(orderHistory[payed]),$D$15,0)),MATCH(ROW(orderHistory[customer]),ROW(orderHistory[customer])),""),ROWS($A$15:A30)+$B$3))),IF($D$15="",INDEX(orderHistory[payed],SMALL(IF(ISNUMBER(MATCH(orderHistory[customer],$D$9,0)*MATCH(orderHistory[status],$D$11,0)*MATCH(orderHistory[order_type],$D$13,0)),MATCH(ROW(orderHistory[customer]),ROW(orderHistory[customer])),""),ROWS($A$15:A30)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U25" s="454" t="str">
        <f t="array" ref="U25">IFERROR(IF($D$9="",IF($D$11="",IF($D$13="",IF($D$15="",INDEX(orderHistory[shipping_method],SMALL(MATCH(ROW(orderHistory[customer]),ROW(orderHistory[customer])),ROWS($A$15:A30)+$B$3)),INDEX(orderHistory[shipping_method],SMALL(IF(ISNUMBER(MATCH(YEAR(orderHistory[invoice_date]),$D$15,0)),MATCH(ROW(orderHistory[customer]),ROW(orderHistory[customer])),""),ROWS($A$15:A30)+$B$3))),IF($D$15="",INDEX(orderHistory[shipping_method],SMALL(IF(ISNUMBER(MATCH(orderHistory[order_type],$D$13,0)),MATCH(ROW(orderHistory[customer]),ROW(orderHistory[customer])),""),ROWS($A$15:A30)+$B$3)),INDEX(orderHistory[shipping_method],SMALL(IF(ISNUMBER(MATCH(orderHistory[order_type],$D$13,0)*MATCH(YEAR(orderHistory[invoice_date]),$D$15,0)),MATCH(ROW(orderHistory[customer]),ROW(orderHistory[customer])),""),ROWS($A$15:A30)+$B$3)))),IF($D$13="",IF($D$15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YEAR(orderHistory[invoice_date]),$D$15,0)),MATCH(ROW(orderHistory[customer]),ROW(orderHistory[customer])),""),ROWS($A$15:A30)+$B$3))),IF($D$15="",INDEX(orderHistory[shipping_method],SMALL(IF(ISNUMBER(MATCH(orderHistory[status],$D$11,0)*MATCH(orderHistory[order_type],$D$13,0)),MATCH(ROW(orderHistory[customer]),ROW(orderHistory[customer])),""),ROWS($A$15:A30)+$B$3)),INDEX(orderHistory[shipping_metho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YEAR(orderHistory[invoice_date]),$D$15,0)),MATCH(ROW(orderHistory[customer]),ROW(orderHistory[customer])),""),ROWS($A$15:A30)+$B$3))),IF($D$15="",INDEX(orderHistory[shipping_method],SMALL(IF(ISNUMBER(MATCH(orderHistory[customer],$D$9,0)*MATCH(orderHistory[order_type],$D$13,0)),MATCH(ROW(orderHistory[customer]),ROW(orderHistory[customer])),""),ROWS($A$15:A30)+$B$3)),INDEX(orderHistory[shipping_metho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YEAR(orderHistory[shipping_method]),$D$15,0)),MATCH(ROW(orderHistory[customer]),ROW(orderHistory[customer])),""),ROWS($A$15:A30)+$B$3))),IF($D$15="",INDEX(orderHistory[shipping_method],SMALL(IF(ISNUMBER(MATCH(orderHistory[customer],$D$9,0)*MATCH(orderHistory[status],$D$11,0)*MATCH(orderHistory[order_type],$D$13,0)),MATCH(ROW(orderHistory[customer]),ROW(orderHistory[customer])),""),ROWS($A$15:A30)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V25" s="460" t="str">
        <f t="array" ref="V25">IFERROR(IF($D$9="",IF($D$11="",IF($D$13="",IF($D$15="",INDEX(orderHistory[status],SMALL(MATCH(ROW(orderHistory[customer]),ROW(orderHistory[customer])),ROWS($A$15:A30)+$B$3)),INDEX(orderHistory[status],SMALL(IF(ISNUMBER(MATCH(YEAR(orderHistory[invoice_date]),$D$15,0)),MATCH(ROW(orderHistory[customer]),ROW(orderHistory[customer])),""),ROWS($A$15:A30)+$B$3))),IF($D$15="",INDEX(orderHistory[status],SMALL(IF(ISNUMBER(MATCH(orderHistory[order_type],$D$13,0)),MATCH(ROW(orderHistory[customer]),ROW(orderHistory[customer])),""),ROWS($A$15:A30)+$B$3)),INDEX(orderHistory[status],SMALL(IF(ISNUMBER(MATCH(orderHistory[order_type],$D$13,0)*MATCH(YEAR(orderHistory[invoice_date]),$D$15,0)),MATCH(ROW(orderHistory[customer]),ROW(orderHistory[customer])),""),ROWS($A$15:A30)+$B$3)))),IF($D$13="",IF($D$15="",INDEX(orderHistory[status],SMALL(IF(ISNUMBER(MATCH(orderHistory[status],$D$11,0)),MATCH(ROW(orderHistory[customer]),ROW(orderHistory[customer])),""),ROWS($A$15:A30)+$B$3)),INDEX(orderHistory[status],SMALL(IF(ISNUMBER(MATCH(orderHistory[status],$D$11,0)*MATCH(YEAR(orderHistory[invoice_date]),$D$15,0)),MATCH(ROW(orderHistory[customer]),ROW(orderHistory[customer])),""),ROWS($A$15:A30)+$B$3))),IF($D$15="",INDEX(orderHistory[status],SMALL(IF(ISNUMBER(MATCH(orderHistory[status],$D$11,0)*MATCH(orderHistory[order_type],$D$13,0)),MATCH(ROW(orderHistory[customer]),ROW(orderHistory[customer])),""),ROWS($A$15:A30)+$B$3)),INDEX(orderHistory[statu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tatus],SMALL(IF(ISNUMBER(MATCH(orderHistory[customer],$D$9,0)),MATCH(ROW(orderHistory[customer]),ROW(orderHistory[customer])),""),ROWS($A$15:A30)+$B$3)),INDEX(orderHistory[status],SMALL(IF(ISNUMBER(MATCH(orderHistory[customer],$D$9,0)*MATCH(YEAR(orderHistory[invoice_date]),$D$15,0)),MATCH(ROW(orderHistory[customer]),ROW(orderHistory[customer])),""),ROWS($A$15:A30)+$B$3))),IF($D$15="",INDEX(orderHistory[status],SMALL(IF(ISNUMBER(MATCH(orderHistory[customer],$D$9,0)*MATCH(orderHistory[order_type],$D$13,0)),MATCH(ROW(orderHistory[customer]),ROW(orderHistory[customer])),""),ROWS($A$15:A30)+$B$3)),INDEX(orderHistory[statu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YEAR(orderHistory[status]),$D$15,0)),MATCH(ROW(orderHistory[customer]),ROW(orderHistory[customer])),""),ROWS($A$15:A30)+$B$3))),IF($D$15="",INDEX(orderHistory[status],SMALL(IF(ISNUMBER(MATCH(orderHistory[customer],$D$9,0)*MATCH(orderHistory[status],$D$11,0)*MATCH(orderHistory[order_type],$D$13,0)),MATCH(ROW(orderHistory[customer]),ROW(orderHistory[customer])),""),ROWS($A$15:A30)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W25" s="75"/>
      <c r="AQ25" s="378"/>
      <c r="AR25" s="882"/>
      <c r="AS25" s="882"/>
      <c r="AT25" s="882"/>
      <c r="AU25" s="408"/>
      <c r="AV25" s="382"/>
      <c r="AW25" s="334"/>
      <c r="BK25" s="366"/>
      <c r="BL25" s="367"/>
      <c r="BM25" s="368"/>
      <c r="BN25" s="367"/>
      <c r="BO25" s="368"/>
      <c r="BX25" s="435"/>
      <c r="BZ25" s="495"/>
      <c r="CA25" s="477" t="str">
        <f>IF(BZ25="","",INDEX(bhpc_data[description],MATCH(BZ25,bhpc_data[sku],0)))</f>
        <v/>
      </c>
      <c r="CB25" s="480"/>
      <c r="CC25" s="479"/>
      <c r="CD25" s="494"/>
      <c r="CE25" s="481"/>
      <c r="CF25" s="482"/>
      <c r="CG25" s="483" t="str">
        <f>IFERROR(ROUNDUP(CB25/INDEX(bhpc_data[units_per_carton],MATCH(BZ25,bhpc_data[sku],0)),0),"")</f>
        <v/>
      </c>
      <c r="CH25" s="484" t="str">
        <f>IFERROR(ROUNDUP(CD25/INDEX(bhpc_data[units_per_carton],MATCH(BZ25,bhpc_data[sku],0)),0),"")</f>
        <v/>
      </c>
      <c r="CI25" s="484" t="str">
        <f>IFERROR(ROUNDUP(CF25/INDEX(bhpc_data[units_per_carton],MATCH(BZ25,bhpc_data[sku])),0),"")</f>
        <v/>
      </c>
      <c r="CJ25" s="484" t="str">
        <f>IFERROR(((CB25+CD25+CF25)/INDEX(bhpc_data[units_per_carton],MATCH(BZ25,bhpc_data[sku],0)))*INDEX(bhpc_data[net_weight],MATCH(BZ25,bhpc_data[sku],0)),"")</f>
        <v/>
      </c>
      <c r="CK25" s="484" t="str">
        <f>IFERROR(((CB25+CD25+CF25)/INDEX(bhpc_data[units_per_carton],MATCH(BZ25,bhpc_data[sku],0)))*INDEX(bhpc_data[gross_weight],MATCH(BZ25,bhpc_data[sku],0)),"")</f>
        <v/>
      </c>
      <c r="CL25" s="485" t="str">
        <f>IFERROR((CB25+CD25+CF25)/INDEX(bhpc_data[units_per_carton],MATCH(BZ25,bhpc_data[sku],0))*INDEX(bhpc_data[lenght],MATCH(BZ25,bhpc_data[sku],0))*INDEX(bhpc_data[width],MATCH(BZ25,bhpc_data[sku],0))*INDEX(bhpc_data[height],MATCH(BZ25,bhpc_data[sku],0))/1000000000,"")</f>
        <v/>
      </c>
      <c r="CM25" s="486" t="str">
        <f>IFERROR(INDEX(bhpc_data[category],MATCH(BZ25,bhpc_data[sku],0)),"")</f>
        <v/>
      </c>
      <c r="CN25" s="486" t="str">
        <f>IFERROR(INDEX(bhpc_data[size1],MATCH(BZ25,bhpc_data[sku],0)),"")</f>
        <v/>
      </c>
      <c r="CO25" s="487" t="str">
        <f>IFERROR(INDEX(bhpc_data[hs_code],MATCH(BZ25,bhpc_data[sku],0)),"")</f>
        <v/>
      </c>
      <c r="CP25" s="482"/>
      <c r="CQ25" s="488" t="str">
        <f>IFERROR(IF(BZ25="","",IF($BX$15="SALE",INDEX(inventory[COSTO UNITARIO],MATCH(BZ25,inventory[ARTICOLO],0)),IF($BX$15="SAMPLING",INDEX(inventory[COSTO UNITARIO],MATCH(BZ25,inventory[ARTICOLO],0)),""))),"")</f>
        <v/>
      </c>
      <c r="CR25" s="488" t="str">
        <f t="shared" si="0"/>
        <v/>
      </c>
      <c r="CS25" s="489" t="str">
        <f t="shared" si="1"/>
        <v/>
      </c>
      <c r="CT25" s="573" t="str">
        <f t="shared" si="2"/>
        <v/>
      </c>
      <c r="CV25" s="85"/>
      <c r="CW25" s="117" t="s">
        <v>604</v>
      </c>
      <c r="CX25" s="300">
        <f>SUM(CK10:CK109)</f>
        <v>2651.3333333333335</v>
      </c>
      <c r="CY25" s="89"/>
      <c r="CZ25" s="81"/>
      <c r="DA25" s="82"/>
      <c r="DH25" s="245"/>
      <c r="EE25" s="541" t="str" cm="1">
        <f t="array" ref="EE25">IFERROR(IF($EC$9="",IF($EC$11="",IF($EC$13="",INDEX(bhpc_data[sku],SMALL(MATCH(ROW(bhpc_data[sku]),ROW(bhpc_data[sku])),ROWS($A$15:A30)+$B$3)),INDEX(bhpc_data[sku],SMALL(IF(ISNUMBER(MATCH(bhpc_data[size1],$EC$13,0)),MATCH(ROW(bhpc_data[sku]),ROW(bhpc_data[sku])),""),ROWS($A$15:A30)+$B$3))),IF($EC$13="",INDEX(bhpc_data[sku],SMALL(IF(ISNUMBER(MATCH(bhpc_data[sex],$EC$11,0)),MATCH(ROW(bhpc_data[sku]),ROW(bhpc_data[sku])),""),ROWS($A$15:A30)+$B$3)),INDEX(bhpc_data[sku],SMALL(IF(ISNUMBER(MATCH(bhpc_data[sex],$EC$11,0)*MATCH(bhpc_data[size1],$EC$13,0)),MATCH(ROW(bhpc_data[sku]),ROW(bhpc_data[sku])),""),ROWS($A$15:A30)+$B$3)))),IF($EC$11="",IF($EC$13="",INDEX(bhpc_data[sku],SMALL(IF(ISNUMBER(MATCH(bhpc_data[category],$EC$9,0)),MATCH(ROW(bhpc_data[sku]),ROW(bhpc_data[sku])),""),ROWS($A$15:A30)+$B$3)),INDEX(bhpc_data[sku],SMALL(IF(ISNUMBER(MATCH(bhpc_data[category],$EC$9,0)*MATCH(bhpc_data[size1],$EC$13,0)),MATCH(ROW(bhpc_data[sku]),ROW(bhpc_data[sku])),""),ROWS($A$15:A30)+$B$3))),IF($EC$13="",INDEX(bhpc_data[sku],SMALL(IF(ISNUMBER(MATCH(bhpc_data[category],$EC$9,0)*MATCH(bhpc_data[sex],$EC$11,0)),MATCH(ROW(bhpc_data[sku]),ROW(bhpc_data[sku])),""),ROWS($A$15:A30)+$B$3)),INDEX(bhpc_data[sku],SMALL(IF(ISNUMBER(MATCH(bhpc_data[category],$EC$9,0)*MATCH(bhpc_data[sex],$EC$11,0)*MATCH(bhpc_data[size1],$EC$13,0)),MATCH(ROW(bhpc_data[sku]),ROW(bhpc_data[sku])),""),ROWS($A$15:A30)+$B$3))))),"")</f>
        <v>GS5053</v>
      </c>
      <c r="EF25" s="542" t="str" cm="1">
        <f t="array" ref="EF25">IFERROR(IF($EC$9="",IF($EC$11="",IF($EC$13="",INDEX(bhpc_data[description],SMALL(MATCH(ROW(bhpc_data[sku]),ROW(bhpc_data[sku])),ROWS($A$15:A30)+$B$3)),INDEX(bhpc_data[description],SMALL(IF(ISNUMBER(MATCH(bhpc_data[size1],$EC$13,0)),MATCH(ROW(bhpc_data[sku]),ROW(bhpc_data[sku])),""),ROWS($A$15:A30)+$B$3))),IF($EC$13="",INDEX(bhpc_data[description],SMALL(IF(ISNUMBER(MATCH(bhpc_data[sex],$EC$11,0)),MATCH(ROW(bhpc_data[sku]),ROW(bhpc_data[sku])),""),ROWS($A$15:A30)+$B$3)),INDEX(bhpc_data[description],SMALL(IF(ISNUMBER(MATCH(bhpc_data[sex],$EC$11,0)*MATCH(bhpc_data[size1],$EC$13,0)),MATCH(ROW(bhpc_data[sku]),ROW(bhpc_data[sku])),""),ROWS($A$15:A30)+$B$3)))),IF($EC$11="",IF($EC$13="",INDEX(bhpc_data[description],SMALL(IF(ISNUMBER(MATCH(bhpc_data[category],$EC$9,0)),MATCH(ROW(bhpc_data[sku]),ROW(bhpc_data[sku])),""),ROWS($A$15:A30)+$B$3)),INDEX(bhpc_data[description],SMALL(IF(ISNUMBER(MATCH(bhpc_data[category],$EC$9,0)*MATCH(bhpc_data[size1],$EC$13,0)),MATCH(ROW(bhpc_data[sku]),ROW(bhpc_data[sku])),""),ROWS($A$15:A30)+$B$3))),IF($EC$13="",INDEX(bhpc_data[description],SMALL(IF(ISNUMBER(MATCH(bhpc_data[category],$EC$9,0)*MATCH(bhpc_data[sex],$EC$11,0)),MATCH(ROW(bhpc_data[sku]),ROW(bhpc_data[sku])),""),ROWS($A$15:A30)+$B$3)),INDEX(bhpc_data[description],SMALL(IF(ISNUMBER(MATCH(bhpc_data[category],$EC$9,0)*MATCH(bhpc_data[sex],$EC$11,0)*MATCH(bhpc_data[size1],$EC$13,0)),MATCH(ROW(bhpc_data[sku]),ROW(bhpc_data[sku])),""),ROWS($A$15:A30)+$B$3))))),"")</f>
        <v>BHPC GIFT SET WOMEN 2 EDP 100ML + DEO 150ML</v>
      </c>
      <c r="EG25" s="543">
        <f>IFERROR(IF('BHPC MANAGER'!$EE25="","",INDEX(inventory[ESISTENZA],MATCH('BHPC MANAGER'!$EE25,inventory[ARTICOLO],0))),0)</f>
        <v>0</v>
      </c>
      <c r="EH25" s="544">
        <v>-6</v>
      </c>
      <c r="EI25" s="544">
        <f t="shared" si="3"/>
        <v>-6</v>
      </c>
      <c r="EJ25" s="545">
        <v>0</v>
      </c>
      <c r="EK25" s="546">
        <f t="shared" si="4"/>
        <v>-6</v>
      </c>
      <c r="FF25" s="331"/>
      <c r="FG25" s="331"/>
      <c r="FH25" s="331"/>
      <c r="FI25" s="331"/>
      <c r="FJ25" s="331"/>
      <c r="FK25" s="331"/>
      <c r="FL25" s="331"/>
      <c r="FM25" s="331"/>
      <c r="FN25" s="331"/>
      <c r="FO25" s="331"/>
      <c r="FP25" s="331"/>
      <c r="FQ25" s="331"/>
      <c r="FR25" s="331"/>
      <c r="FS25" s="331"/>
      <c r="FT25" s="331"/>
      <c r="FU25" s="331"/>
      <c r="FV25" s="331"/>
      <c r="FW25" s="331"/>
      <c r="FX25" s="331"/>
      <c r="FY25" s="331"/>
      <c r="FZ25" s="331"/>
      <c r="GA25" s="331"/>
      <c r="GB25" s="331"/>
      <c r="GC25" s="331"/>
      <c r="GD25" s="331"/>
      <c r="GE25" s="331"/>
      <c r="GF25" s="331"/>
      <c r="GG25" s="331"/>
      <c r="GH25" s="331"/>
      <c r="GI25" s="331"/>
      <c r="GJ25" s="331"/>
      <c r="GK25" s="331"/>
      <c r="GL25" s="331"/>
      <c r="GM25" s="331"/>
      <c r="GN25" s="331"/>
      <c r="GO25" s="331"/>
      <c r="GP25" s="331"/>
      <c r="GQ25" s="331"/>
      <c r="GR25" s="331"/>
      <c r="GS25" s="331"/>
      <c r="GT25" s="331"/>
      <c r="GU25" s="331"/>
      <c r="GV25" s="331"/>
      <c r="GW25" s="331"/>
      <c r="GX25" s="331"/>
      <c r="GY25" s="331"/>
      <c r="GZ25" s="331"/>
      <c r="HA25" s="331"/>
      <c r="HB25" s="331"/>
      <c r="HC25" s="331"/>
      <c r="HD25" s="331"/>
      <c r="HE25" s="331"/>
      <c r="HF25" s="331"/>
      <c r="HG25" s="331"/>
      <c r="HH25" s="331"/>
      <c r="HI25" s="331"/>
      <c r="HJ25" s="331"/>
      <c r="HK25" s="331"/>
      <c r="HL25" s="331"/>
      <c r="HM25" s="331"/>
      <c r="HN25" s="331"/>
      <c r="HO25" s="331"/>
      <c r="HP25" s="331"/>
      <c r="HQ25" s="331"/>
      <c r="HR25" s="331"/>
      <c r="HS25" s="331"/>
      <c r="HT25" s="331"/>
    </row>
    <row r="26" spans="1:228" ht="15" customHeight="1" thickBot="1" x14ac:dyDescent="0.4">
      <c r="D26" s="274" t="e">
        <f>VLOOKUP(VLOOKUP($B$4,orderHistory[],15,FALSE),carriers[],4,FALSE)</f>
        <v>#N/A</v>
      </c>
      <c r="F26" s="91"/>
      <c r="G26" s="818" t="str">
        <f>IFERROR(INDEX(clientData[logistic_address1],MATCH($B$6,clientData[cod_cliente],0)),"")</f>
        <v/>
      </c>
      <c r="H26" s="819"/>
      <c r="I26" s="820"/>
      <c r="J26" s="82"/>
      <c r="L26" s="452" t="str">
        <f t="array" ref="L26">IFERROR(IF($D$9="",IF($D$11="",IF($D$13="",IF($D$15="",INDEX(orderHistory[customer],SMALL(MATCH(ROW(orderHistory[customer]),ROW(orderHistory[customer])),ROWS($A$15:A31)+$B$3)),INDEX(orderHistory[customer],SMALL(IF(ISNUMBER(MATCH(YEAR(orderHistory[invoice_date]),$D$15,0)),MATCH(ROW(orderHistory[customer]),ROW(orderHistory[customer])),""),ROWS($A$15:A31)+$B$3))),IF($D$15="",INDEX(orderHistory[customer],SMALL(IF(ISNUMBER(MATCH(orderHistory[order_type],$D$13,0)),MATCH(ROW(orderHistory[customer]),ROW(orderHistory[customer])),""),ROWS($A$15:A31)+$B$3)),INDEX(orderHistory[customer],SMALL(IF(ISNUMBER(MATCH(orderHistory[order_type],$D$13,0)*MATCH(YEAR(orderHistory[invoice_date]),$D$15,0)),MATCH(ROW(orderHistory[customer]),ROW(orderHistory[customer])),""),ROWS($A$15:A31)+$B$3)))),IF($D$13="",IF($D$15="",INDEX(orderHistory[customer],SMALL(IF(ISNUMBER(MATCH(orderHistory[status],$D$11,0)),MATCH(ROW(orderHistory[customer]),ROW(orderHistory[customer])),""),ROWS($A$15:A31)+$B$3)),INDEX(orderHistory[customer],SMALL(IF(ISNUMBER(MATCH(orderHistory[status],$D$11,0)*MATCH(YEAR(orderHistory[invoice_date]),$D$15,0)),MATCH(ROW(orderHistory[customer]),ROW(orderHistory[customer])),""),ROWS($A$15:A31)+$B$3))),IF($D$15="",INDEX(orderHistory[customer],SMALL(IF(ISNUMBER(MATCH(orderHistory[status],$D$11,0)*MATCH(orderHistory[order_type],$D$13,0)),MATCH(ROW(orderHistory[customer]),ROW(orderHistory[customer])),""),ROWS($A$15:A31)+$B$3)),INDEX(orderHistory[customer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customer],SMALL(IF(ISNUMBER(MATCH(orderHistory[customer],$D$9,0)),MATCH(ROW(orderHistory[customer]),ROW(orderHistory[customer])),""),ROWS($A$15:A31)+$B$3)),INDEX(orderHistory[customer],SMALL(IF(ISNUMBER(MATCH(orderHistory[customer],$D$9,0)*MATCH(YEAR(orderHistory[invoice_date]),$D$15,0)),MATCH(ROW(orderHistory[customer]),ROW(orderHistory[customer])),""),ROWS($A$15:A31)+$B$3))),IF($D$15="",INDEX(orderHistory[customer],SMALL(IF(ISNUMBER(MATCH(orderHistory[customer],$D$9,0)*MATCH(orderHistory[order_type],$D$13,0)),MATCH(ROW(orderHistory[customer]),ROW(orderHistory[customer])),""),ROWS($A$15:A31)+$B$3)),INDEX(orderHistory[customer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YEAR(orderHistory[invoice_date]),$D$15,0)),MATCH(ROW(orderHistory[customer]),ROW(orderHistory[customer])),""),ROWS($A$15:A31)+$B$3))),IF($D$15="",INDEX(orderHistory[customer],SMALL(IF(ISNUMBER(MATCH(orderHistory[customer],$D$9,0)*MATCH(orderHistory[status],$D$11,0)*MATCH(orderHistory[order_type],$D$13,0)),MATCH(ROW(orderHistory[customer]),ROW(orderHistory[customer])),""),ROWS($A$15:A31)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M26" s="453" t="str">
        <f t="array" ref="M26">IFERROR(IF($D$9="",IF($D$11="",IF($D$13="",IF($D$15="",INDEX(orderHistory[order_no],SMALL(MATCH(ROW(orderHistory[customer]),ROW(orderHistory[customer])),ROWS($A$15:A31)+$B$3)),INDEX(orderHistory[order_no],SMALL(IF(ISNUMBER(MATCH(YEAR(orderHistory[invoice_date]),$D$15,0)),MATCH(ROW(orderHistory[customer]),ROW(orderHistory[customer])),""),ROWS($A$15:A31)+$B$3))),IF($D$15="",INDEX(orderHistory[order_no],SMALL(IF(ISNUMBER(MATCH(orderHistory[order_type],$D$13,0)),MATCH(ROW(orderHistory[customer]),ROW(orderHistory[customer])),""),ROWS($A$15:A31)+$B$3)),INDEX(orderHistory[order_no],SMALL(IF(ISNUMBER(MATCH(orderHistory[order_type],$D$13,0)*MATCH(YEAR(orderHistory[invoice_date]),$D$15,0)),MATCH(ROW(orderHistory[customer]),ROW(orderHistory[customer])),""),ROWS($A$15:A31)+$B$3)))),IF($D$13="",IF($D$15="",INDEX(orderHistory[order_no],SMALL(IF(ISNUMBER(MATCH(orderHistory[status],$D$11,0)),MATCH(ROW(orderHistory[customer]),ROW(orderHistory[customer])),""),ROWS($A$15:A31)+$B$3)),INDEX(orderHistory[order_no],SMALL(IF(ISNUMBER(MATCH(orderHistory[status],$D$11,0)*MATCH(YEAR(orderHistory[invoice_date]),$D$15,0)),MATCH(ROW(orderHistory[customer]),ROW(orderHistory[customer])),""),ROWS($A$15:A31)+$B$3))),IF($D$15="",INDEX(orderHistory[order_no],SMALL(IF(ISNUMBER(MATCH(orderHistory[status],$D$11,0)*MATCH(orderHistory[order_type],$D$13,0)),MATCH(ROW(orderHistory[customer]),ROW(orderHistory[customer])),""),ROWS($A$15:A31)+$B$3)),INDEX(orderHistory[order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no],SMALL(IF(ISNUMBER(MATCH(orderHistory[customer],$D$9,0)),MATCH(ROW(orderHistory[customer]),ROW(orderHistory[customer])),""),ROWS($A$15:A31)+$B$3)),INDEX(orderHistory[order_no],SMALL(IF(ISNUMBER(MATCH(orderHistory[customer],$D$9,0)*MATCH(YEAR(orderHistory[invoice_date]),$D$15,0)),MATCH(ROW(orderHistory[customer]),ROW(orderHistory[customer])),""),ROWS($A$15:A31)+$B$3))),IF($D$15="",INDEX(orderHistory[order_no],SMALL(IF(ISNUMBER(MATCH(orderHistory[customer],$D$9,0)*MATCH(orderHistory[order_type],$D$13,0)),MATCH(ROW(orderHistory[customer]),ROW(orderHistory[customer])),""),ROWS($A$15:A31)+$B$3)),INDEX(orderHistory[order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YEAR(orderHistory[invoice_date]),$D$15,0)),MATCH(ROW(orderHistory[customer]),ROW(orderHistory[customer])),""),ROWS($A$15:A31)+$B$3))),IF($D$15="",INDEX(orderHistory[order_no],SMALL(IF(ISNUMBER(MATCH(orderHistory[customer],$D$9,0)*MATCH(orderHistory[status],$D$11,0)*MATCH(orderHistory[order_type],$D$13,0)),MATCH(ROW(orderHistory[customer]),ROW(orderHistory[customer])),""),ROWS($A$15:A31)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N26" s="454" t="str">
        <f t="array" ref="N26">IFERROR(IF($D$9="",IF($D$11="",IF($D$13="",IF($D$15="",INDEX(orderHistory[order_type],SMALL(MATCH(ROW(orderHistory[customer]),ROW(orderHistory[customer])),ROWS($A$15:A31)+$B$3)),INDEX(orderHistory[order_type],SMALL(IF(ISNUMBER(MATCH(YEAR(orderHistory[invoice_date]),$D$15,0)),MATCH(ROW(orderHistory[customer]),ROW(orderHistory[customer])),""),ROWS($A$15:A31)+$B$3))),IF($D$15="",INDEX(orderHistory[order_type],SMALL(IF(ISNUMBER(MATCH(orderHistory[order_type],$D$13,0)),MATCH(ROW(orderHistory[customer]),ROW(orderHistory[customer])),""),ROWS($A$15:A31)+$B$3)),INDEX(orderHistory[order_type],SMALL(IF(ISNUMBER(MATCH(orderHistory[order_type],$D$13,0)*MATCH(YEAR(orderHistory[invoice_date]),$D$15,0)),MATCH(ROW(orderHistory[customer]),ROW(orderHistory[customer])),""),ROWS($A$15:A31)+$B$3)))),IF($D$13="",IF($D$15="",INDEX(orderHistory[order_type],SMALL(IF(ISNUMBER(MATCH(orderHistory[status],$D$11,0)),MATCH(ROW(orderHistory[customer]),ROW(orderHistory[customer])),""),ROWS($A$15:A31)+$B$3)),INDEX(orderHistory[order_type],SMALL(IF(ISNUMBER(MATCH(orderHistory[status],$D$11,0)*MATCH(YEAR(orderHistory[invoice_date]),$D$15,0)),MATCH(ROW(orderHistory[customer]),ROW(orderHistory[customer])),""),ROWS($A$15:A31)+$B$3))),IF($D$15="",INDEX(orderHistory[order_type],SMALL(IF(ISNUMBER(MATCH(orderHistory[status],$D$11,0)*MATCH(orderHistory[order_type],$D$13,0)),MATCH(ROW(orderHistory[customer]),ROW(orderHistory[customer])),""),ROWS($A$15:A31)+$B$3)),INDEX(orderHistory[order_typ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type],SMALL(IF(ISNUMBER(MATCH(orderHistory[customer],$D$9,0)),MATCH(ROW(orderHistory[customer]),ROW(orderHistory[customer])),""),ROWS($A$15:A31)+$B$3)),INDEX(orderHistory[order_type],SMALL(IF(ISNUMBER(MATCH(orderHistory[customer],$D$9,0)*MATCH(YEAR(orderHistory[invoice_date]),$D$15,0)),MATCH(ROW(orderHistory[customer]),ROW(orderHistory[customer])),""),ROWS($A$15:A31)+$B$3))),IF($D$15="",INDEX(orderHistory[order_type],SMALL(IF(ISNUMBER(MATCH(orderHistory[customer],$D$9,0)*MATCH(orderHistory[order_type],$D$13,0)),MATCH(ROW(orderHistory[customer]),ROW(orderHistory[customer])),""),ROWS($A$15:A31)+$B$3)),INDEX(orderHistory[order_typ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YEAR(orderHistory[invoice_date]),$D$15,0)),MATCH(ROW(orderHistory[customer]),ROW(orderHistory[customer])),""),ROWS($A$15:A31)+$B$3))),IF($D$15="",INDEX(orderHistory[order_type],SMALL(IF(ISNUMBER(MATCH(orderHistory[customer],$D$9,0)*MATCH(orderHistory[status],$D$11,0)*MATCH(orderHistory[order_type],$D$13,0)),MATCH(ROW(orderHistory[customer]),ROW(orderHistory[customer])),""),ROWS($A$15:A31)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O26" s="455" t="str">
        <f t="array" ref="O26">IFERROR(IF($D$9="",IF($D$11="",IF($D$13="",IF($D$15="",INDEX(orderHistory[order_date],SMALL(MATCH(ROW(orderHistory[customer]),ROW(orderHistory[customer])),ROWS($A$15:A31)+$B$3)),INDEX(orderHistory[order_date],SMALL(IF(ISNUMBER(MATCH(YEAR(orderHistory[invoice_date]),$D$15,0)),MATCH(ROW(orderHistory[customer]),ROW(orderHistory[customer])),""),ROWS($A$15:A31)+$B$3))),IF($D$15="",INDEX(orderHistory[order_date],SMALL(IF(ISNUMBER(MATCH(orderHistory[order_type],$D$13,0)),MATCH(ROW(orderHistory[customer]),ROW(orderHistory[customer])),""),ROWS($A$15:A31)+$B$3)),INDEX(orderHistory[order_date],SMALL(IF(ISNUMBER(MATCH(orderHistory[order_type],$D$13,0)*MATCH(YEAR(orderHistory[invoice_date]),$D$15,0)),MATCH(ROW(orderHistory[customer]),ROW(orderHistory[customer])),""),ROWS($A$15:A31)+$B$3)))),IF($D$13="",IF($D$15="",INDEX(orderHistory[order_date],SMALL(IF(ISNUMBER(MATCH(orderHistory[status],$D$11,0)),MATCH(ROW(orderHistory[customer]),ROW(orderHistory[customer])),""),ROWS($A$15:A31)+$B$3)),INDEX(orderHistory[order_date],SMALL(IF(ISNUMBER(MATCH(orderHistory[status],$D$11,0)*MATCH(YEAR(orderHistory[invoice_date]),$D$15,0)),MATCH(ROW(orderHistory[customer]),ROW(orderHistory[customer])),""),ROWS($A$15:A31)+$B$3))),IF($D$15="",INDEX(orderHistory[order_date],SMALL(IF(ISNUMBER(MATCH(orderHistory[status],$D$11,0)*MATCH(orderHistory[order_type],$D$13,0)),MATCH(ROW(orderHistory[customer]),ROW(orderHistory[customer])),""),ROWS($A$15:A31)+$B$3)),INDEX(orderHistory[order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date],SMALL(IF(ISNUMBER(MATCH(orderHistory[customer],$D$9,0)),MATCH(ROW(orderHistory[customer]),ROW(orderHistory[customer])),""),ROWS($A$15:A31)+$B$3)),INDEX(orderHistory[order_date],SMALL(IF(ISNUMBER(MATCH(orderHistory[customer],$D$9,0)*MATCH(YEAR(orderHistory[invoice_date]),$D$15,0)),MATCH(ROW(orderHistory[customer]),ROW(orderHistory[customer])),""),ROWS($A$15:A31)+$B$3))),IF($D$15="",INDEX(orderHistory[order_date],SMALL(IF(ISNUMBER(MATCH(orderHistory[customer],$D$9,0)*MATCH(orderHistory[order_type],$D$13,0)),MATCH(ROW(orderHistory[customer]),ROW(orderHistory[customer])),""),ROWS($A$15:A31)+$B$3)),INDEX(orderHistory[order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YEAR(orderHistory[invoice_date]),$D$15,0)),MATCH(ROW(orderHistory[customer]),ROW(orderHistory[customer])),""),ROWS($A$15:A31)+$B$3))),IF($D$15="",INDEX(orderHistory[order_date],SMALL(IF(ISNUMBER(MATCH(orderHistory[customer],$D$9,0)*MATCH(orderHistory[status],$D$11,0)*MATCH(orderHistory[order_type],$D$13,0)),MATCH(ROW(orderHistory[customer]),ROW(orderHistory[customer])),""),ROWS($A$15:A31)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P26" s="456" t="str">
        <f t="array" ref="P26">IFERROR(IF($D$9="",IF($D$11="",IF($D$13="",IF($D$15="",INDEX(orderHistory[invoice_no],SMALL(MATCH(ROW(orderHistory[customer]),ROW(orderHistory[customer])),ROWS($A$15:A31)+$B$3)),INDEX(orderHistory[invoice_no],SMALL(IF(ISNUMBER(MATCH(YEAR(orderHistory[invoice_date]),$D$15,0)),MATCH(ROW(orderHistory[customer]),ROW(orderHistory[customer])),""),ROWS($A$15:A31)+$B$3))),IF($D$15="",INDEX(orderHistory[invoice_no],SMALL(IF(ISNUMBER(MATCH(orderHistory[order_type],$D$13,0)),MATCH(ROW(orderHistory[customer]),ROW(orderHistory[customer])),""),ROWS($A$15:A31)+$B$3)),INDEX(orderHistory[invoice_no],SMALL(IF(ISNUMBER(MATCH(orderHistory[order_type],$D$13,0)*MATCH(YEAR(orderHistory[invoice_date]),$D$15,0)),MATCH(ROW(orderHistory[customer]),ROW(orderHistory[customer])),""),ROWS($A$15:A31)+$B$3)))),IF($D$13="",IF($D$15="",INDEX(orderHistory[invoice_no],SMALL(IF(ISNUMBER(MATCH(orderHistory[status],$D$11,0)),MATCH(ROW(orderHistory[customer]),ROW(orderHistory[customer])),""),ROWS($A$15:A31)+$B$3)),INDEX(orderHistory[invoice_no],SMALL(IF(ISNUMBER(MATCH(orderHistory[status],$D$11,0)*MATCH(YEAR(orderHistory[invoice_date]),$D$15,0)),MATCH(ROW(orderHistory[customer]),ROW(orderHistory[customer])),""),ROWS($A$15:A31)+$B$3))),IF($D$15="",INDEX(orderHistory[invoice_no],SMALL(IF(ISNUMBER(MATCH(orderHistory[status],$D$11,0)*MATCH(orderHistory[order_type],$D$13,0)),MATCH(ROW(orderHistory[customer]),ROW(orderHistory[customer])),""),ROWS($A$15:A31)+$B$3)),INDEX(orderHistory[invoice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no],SMALL(IF(ISNUMBER(MATCH(orderHistory[customer],$D$9,0)),MATCH(ROW(orderHistory[customer]),ROW(orderHistory[customer])),""),ROWS($A$15:A31)+$B$3)),INDEX(orderHistory[invoice_no],SMALL(IF(ISNUMBER(MATCH(orderHistory[customer],$D$9,0)*MATCH(YEAR(orderHistory[invoice_date]),$D$15,0)),MATCH(ROW(orderHistory[customer]),ROW(orderHistory[customer])),""),ROWS($A$15:A31)+$B$3))),IF($D$15="",INDEX(orderHistory[invoice_no],SMALL(IF(ISNUMBER(MATCH(orderHistory[customer],$D$9,0)*MATCH(orderHistory[order_type],$D$13,0)),MATCH(ROW(orderHistory[customer]),ROW(orderHistory[customer])),""),ROWS($A$15:A31)+$B$3)),INDEX(orderHistory[invoice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YEAR(orderHistory[invoice_date]),$D$15,0)),MATCH(ROW(orderHistory[customer]),ROW(orderHistory[customer])),""),ROWS($A$15:A31)+$B$3))),IF($D$15="",INDEX(orderHistory[invoice_no],SMALL(IF(ISNUMBER(MATCH(orderHistory[customer],$D$9,0)*MATCH(orderHistory[status],$D$11,0)*MATCH(orderHistory[order_type],$D$13,0)),MATCH(ROW(orderHistory[customer]),ROW(orderHistory[customer])),""),ROWS($A$15:A31)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Q26" s="457" t="str">
        <f t="array" ref="Q26">IFERROR(IF($D$9="",IF($D$11="",IF($D$13="",IF($D$15="",INDEX(orderHistory[invoice_date],SMALL(MATCH(ROW(orderHistory[customer]),ROW(orderHistory[customer])),ROWS($A$15:A31)+$B$3)),INDEX(orderHistory[invoice_date],SMALL(IF(ISNUMBER(MATCH(YEAR(orderHistory[invoice_date]),$D$15,0)),MATCH(ROW(orderHistory[customer]),ROW(orderHistory[customer])),""),ROWS($A$15:A31)+$B$3))),IF($D$15="",INDEX(orderHistory[invoice_date],SMALL(IF(ISNUMBER(MATCH(orderHistory[order_type],$D$13,0)),MATCH(ROW(orderHistory[customer]),ROW(orderHistory[customer])),""),ROWS($A$15:A31)+$B$3)),INDEX(orderHistory[invoice_date],SMALL(IF(ISNUMBER(MATCH(orderHistory[order_type],$D$13,0)*MATCH(YEAR(orderHistory[invoice_date]),$D$15,0)),MATCH(ROW(orderHistory[customer]),ROW(orderHistory[customer])),""),ROWS($A$15:A31)+$B$3)))),IF($D$13="",IF($D$15="",INDEX(orderHistory[invoice_date],SMALL(IF(ISNUMBER(MATCH(orderHistory[status],$D$11,0)),MATCH(ROW(orderHistory[customer]),ROW(orderHistory[customer])),""),ROWS($A$15:A31)+$B$3)),INDEX(orderHistory[invoice_date],SMALL(IF(ISNUMBER(MATCH(orderHistory[status],$D$11,0)*MATCH(YEAR(orderHistory[invoice_date]),$D$15,0)),MATCH(ROW(orderHistory[customer]),ROW(orderHistory[customer])),""),ROWS($A$15:A31)+$B$3))),IF($D$15="",INDEX(orderHistory[invoice_date],SMALL(IF(ISNUMBER(MATCH(orderHistory[status],$D$11,0)*MATCH(orderHistory[order_type],$D$13,0)),MATCH(ROW(orderHistory[customer]),ROW(orderHistory[customer])),""),ROWS($A$15:A31)+$B$3)),INDEX(orderHistory[invoice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date],SMALL(IF(ISNUMBER(MATCH(orderHistory[customer],$D$9,0)),MATCH(ROW(orderHistory[customer]),ROW(orderHistory[customer])),""),ROWS($A$15:A31)+$B$3)),INDEX(orderHistory[invoice_date],SMALL(IF(ISNUMBER(MATCH(orderHistory[customer],$D$9,0)*MATCH(YEAR(orderHistory[invoice_date]),$D$15,0)),MATCH(ROW(orderHistory[customer]),ROW(orderHistory[customer])),""),ROWS($A$15:A31)+$B$3))),IF($D$15="",INDEX(orderHistory[invoice_date],SMALL(IF(ISNUMBER(MATCH(orderHistory[customer],$D$9,0)*MATCH(orderHistory[order_type],$D$13,0)),MATCH(ROW(orderHistory[customer]),ROW(orderHistory[customer])),""),ROWS($A$15:A31)+$B$3)),INDEX(orderHistory[invoice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YEAR(orderHistory[invoice_date]),$D$15,0)),MATCH(ROW(orderHistory[customer]),ROW(orderHistory[customer])),""),ROWS($A$15:A31)+$B$3))),IF($D$15="",INDEX(orderHistory[invoice_date],SMALL(IF(ISNUMBER(MATCH(orderHistory[customer],$D$9,0)*MATCH(orderHistory[status],$D$11,0)*MATCH(orderHistory[order_type],$D$13,0)),MATCH(ROW(orderHistory[customer]),ROW(orderHistory[customer])),""),ROWS($A$15:A31)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R26" s="458" t="str">
        <f t="array" ref="R26">IFERROR(IF($D$9="",IF($D$11="",IF($D$13="",IF($D$15="",INDEX(orderHistory[inv_amount],SMALL(MATCH(ROW(orderHistory[customer]),ROW(orderHistory[customer])),ROWS($A$15:A31)+$B$3)),INDEX(orderHistory[inv_amount],SMALL(IF(ISNUMBER(MATCH(YEAR(orderHistory[invoice_date]),$D$15,0)),MATCH(ROW(orderHistory[customer]),ROW(orderHistory[customer])),""),ROWS($A$15:A31)+$B$3))),IF($D$15="",INDEX(orderHistory[inv_amount],SMALL(IF(ISNUMBER(MATCH(orderHistory[order_type],$D$13,0)),MATCH(ROW(orderHistory[customer]),ROW(orderHistory[customer])),""),ROWS($A$15:A31)+$B$3)),INDEX(orderHistory[inv_amount],SMALL(IF(ISNUMBER(MATCH(orderHistory[order_type],$D$13,0)*MATCH(YEAR(orderHistory[invoice_date]),$D$15,0)),MATCH(ROW(orderHistory[customer]),ROW(orderHistory[customer])),""),ROWS($A$15:A31)+$B$3)))),IF($D$13="",IF($D$15="",INDEX(orderHistory[inv_amount],SMALL(IF(ISNUMBER(MATCH(orderHistory[status],$D$11,0)),MATCH(ROW(orderHistory[customer]),ROW(orderHistory[customer])),""),ROWS($A$15:A31)+$B$3)),INDEX(orderHistory[inv_amount],SMALL(IF(ISNUMBER(MATCH(orderHistory[status],$D$11,0)*MATCH(YEAR(orderHistory[invoice_date]),$D$15,0)),MATCH(ROW(orderHistory[customer]),ROW(orderHistory[customer])),""),ROWS($A$15:A31)+$B$3))),IF($D$15="",INDEX(orderHistory[inv_amount],SMALL(IF(ISNUMBER(MATCH(orderHistory[status],$D$11,0)*MATCH(orderHistory[order_type],$D$13,0)),MATCH(ROW(orderHistory[customer]),ROW(orderHistory[customer])),""),ROWS($A$15:A31)+$B$3)),INDEX(orderHistory[inv_amount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_amount],SMALL(IF(ISNUMBER(MATCH(orderHistory[customer],$D$9,0)),MATCH(ROW(orderHistory[customer]),ROW(orderHistory[customer])),""),ROWS($A$15:A31)+$B$3)),INDEX(orderHistory[inv_amount],SMALL(IF(ISNUMBER(MATCH(orderHistory[customer],$D$9,0)*MATCH(YEAR(orderHistory[invoice_date]),$D$15,0)),MATCH(ROW(orderHistory[customer]),ROW(orderHistory[customer])),""),ROWS($A$15:A31)+$B$3))),IF($D$15="",INDEX(orderHistory[inv_amount],SMALL(IF(ISNUMBER(MATCH(orderHistory[customer],$D$9,0)*MATCH(orderHistory[order_type],$D$13,0)),MATCH(ROW(orderHistory[customer]),ROW(orderHistory[customer])),""),ROWS($A$15:A31)+$B$3)),INDEX(orderHistory[inv_amount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YEAR(orderHistory[inv_amount]),$D$15,0)),MATCH(ROW(orderHistory[customer]),ROW(orderHistory[customer])),""),ROWS($A$15:A31)+$B$3))),IF($D$15="",INDEX(orderHistory[inv_amount],SMALL(IF(ISNUMBER(MATCH(orderHistory[customer],$D$9,0)*MATCH(orderHistory[status],$D$11,0)*MATCH(orderHistory[order_type],$D$13,0)),MATCH(ROW(orderHistory[customer]),ROW(orderHistory[customer])),""),ROWS($A$15:A31)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S26" s="569" t="str">
        <f t="array" ref="S26">IFERROR(IF($D$9="",IF($D$11="",IF($D$13="",IF($D$15="",INDEX(orderHistory[lock_goods],SMALL(MATCH(ROW(orderHistory[customer]),ROW(orderHistory[customer])),ROWS($A$15:A31)+$B$3)),INDEX(orderHistory[lock_goods],SMALL(IF(ISNUMBER(MATCH(YEAR(orderHistory[invoice_date]),$D$15,0)),MATCH(ROW(orderHistory[customer]),ROW(orderHistory[customer])),""),ROWS($A$15:A31)+$B$3))),IF($D$15="",INDEX(orderHistory[lock_goods],SMALL(IF(ISNUMBER(MATCH(orderHistory[order_type],$D$13,0)),MATCH(ROW(orderHistory[customer]),ROW(orderHistory[customer])),""),ROWS($A$15:A31)+$B$3)),INDEX(orderHistory[lock_goods],SMALL(IF(ISNUMBER(MATCH(orderHistory[order_type],$D$13,0)*MATCH(YEAR(orderHistory[invoice_date]),$D$15,0)),MATCH(ROW(orderHistory[customer]),ROW(orderHistory[customer])),""),ROWS($A$15:A31)+$B$3)))),IF($D$13="",IF($D$15="",INDEX(orderHistory[lock_goods],SMALL(IF(ISNUMBER(MATCH(orderHistory[status],$D$11,0)),MATCH(ROW(orderHistory[customer]),ROW(orderHistory[customer])),""),ROWS($A$15:A31)+$B$3)),INDEX(orderHistory[lock_goods],SMALL(IF(ISNUMBER(MATCH(orderHistory[status],$D$11,0)*MATCH(YEAR(orderHistory[invoice_date]),$D$15,0)),MATCH(ROW(orderHistory[customer]),ROW(orderHistory[customer])),""),ROWS($A$15:A31)+$B$3))),IF($D$15="",INDEX(orderHistory[lock_goods],SMALL(IF(ISNUMBER(MATCH(orderHistory[status],$D$11,0)*MATCH(orderHistory[order_type],$D$13,0)),MATCH(ROW(orderHistory[customer]),ROW(orderHistory[customer])),""),ROWS($A$15:A31)+$B$3)),INDEX(orderHistory[lock_good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lock_goods],SMALL(IF(ISNUMBER(MATCH(orderHistory[customer],$D$9,0)),MATCH(ROW(orderHistory[customer]),ROW(orderHistory[customer])),""),ROWS($A$15:A31)+$B$3)),INDEX(orderHistory[lock_goods],SMALL(IF(ISNUMBER(MATCH(orderHistory[customer],$D$9,0)*MATCH(YEAR(orderHistory[invoice_date]),$D$15,0)),MATCH(ROW(orderHistory[customer]),ROW(orderHistory[customer])),""),ROWS($A$15:A31)+$B$3))),IF($D$15="",INDEX(orderHistory[lock_goods],SMALL(IF(ISNUMBER(MATCH(orderHistory[customer],$D$9,0)*MATCH(orderHistory[order_type],$D$13,0)),MATCH(ROW(orderHistory[customer]),ROW(orderHistory[customer])),""),ROWS($A$15:A31)+$B$3)),INDEX(orderHistory[lock_good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lock_goods],SMALL(IF(ISNUMBER(MATCH(orderHistory[customer],$D$9,0)*MATCH(orderHistory[status],$D$11,0)),MATCH(ROW(orderHistory[customer]),ROW(orderHistory[customer])),""),ROWS($A$15:A31)+$B$3)),INDEX(orderHistory[lock_goods],SMALL(IF(ISNUMBER(MATCH(orderHistory[customer],$D$9,0)*MATCH(orderHistory[status],$D$11,0)*MATCH(YEAR(orderHistory[payed]),$D$15,0)),MATCH(ROW(orderHistory[customer]),ROW(orderHistory[customer])),""),ROWS($A$15:A31)+$B$3))),IF($D$15="",INDEX(orderHistory[lock_goods],SMALL(IF(ISNUMBER(MATCH(orderHistory[customer],$D$9,0)*MATCH(orderHistory[status],$D$11,0)*MATCH(orderHistory[order_type],$D$13,0)),MATCH(ROW(orderHistory[customer]),ROW(orderHistory[customer])),""),ROWS($A$15:A31)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T26" s="459" t="str">
        <f t="array" ref="T26">IFERROR(IF($D$9="",IF($D$11="",IF($D$13="",IF($D$15="",INDEX(orderHistory[payed],SMALL(MATCH(ROW(orderHistory[customer]),ROW(orderHistory[customer])),ROWS($A$15:A31)+$B$3)),INDEX(orderHistory[payed],SMALL(IF(ISNUMBER(MATCH(YEAR(orderHistory[invoice_date]),$D$15,0)),MATCH(ROW(orderHistory[customer]),ROW(orderHistory[customer])),""),ROWS($A$15:A31)+$B$3))),IF($D$15="",INDEX(orderHistory[payed],SMALL(IF(ISNUMBER(MATCH(orderHistory[order_type],$D$13,0)),MATCH(ROW(orderHistory[customer]),ROW(orderHistory[customer])),""),ROWS($A$15:A31)+$B$3)),INDEX(orderHistory[payed],SMALL(IF(ISNUMBER(MATCH(orderHistory[order_type],$D$13,0)*MATCH(YEAR(orderHistory[invoice_date]),$D$15,0)),MATCH(ROW(orderHistory[customer]),ROW(orderHistory[customer])),""),ROWS($A$15:A31)+$B$3)))),IF($D$13="",IF($D$15="",INDEX(orderHistory[payed],SMALL(IF(ISNUMBER(MATCH(orderHistory[status],$D$11,0)),MATCH(ROW(orderHistory[customer]),ROW(orderHistory[customer])),""),ROWS($A$15:A31)+$B$3)),INDEX(orderHistory[payed],SMALL(IF(ISNUMBER(MATCH(orderHistory[status],$D$11,0)*MATCH(YEAR(orderHistory[invoice_date]),$D$15,0)),MATCH(ROW(orderHistory[customer]),ROW(orderHistory[customer])),""),ROWS($A$15:A31)+$B$3))),IF($D$15="",INDEX(orderHistory[payed],SMALL(IF(ISNUMBER(MATCH(orderHistory[status],$D$11,0)*MATCH(orderHistory[order_type],$D$13,0)),MATCH(ROW(orderHistory[customer]),ROW(orderHistory[customer])),""),ROWS($A$15:A31)+$B$3)),INDEX(orderHistory[paye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payed],SMALL(IF(ISNUMBER(MATCH(orderHistory[customer],$D$9,0)),MATCH(ROW(orderHistory[customer]),ROW(orderHistory[customer])),""),ROWS($A$15:A31)+$B$3)),INDEX(orderHistory[payed],SMALL(IF(ISNUMBER(MATCH(orderHistory[customer],$D$9,0)*MATCH(YEAR(orderHistory[invoice_date]),$D$15,0)),MATCH(ROW(orderHistory[customer]),ROW(orderHistory[customer])),""),ROWS($A$15:A31)+$B$3))),IF($D$15="",INDEX(orderHistory[payed],SMALL(IF(ISNUMBER(MATCH(orderHistory[customer],$D$9,0)*MATCH(orderHistory[order_type],$D$13,0)),MATCH(ROW(orderHistory[customer]),ROW(orderHistory[customer])),""),ROWS($A$15:A31)+$B$3)),INDEX(orderHistory[paye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YEAR(orderHistory[payed]),$D$15,0)),MATCH(ROW(orderHistory[customer]),ROW(orderHistory[customer])),""),ROWS($A$15:A31)+$B$3))),IF($D$15="",INDEX(orderHistory[payed],SMALL(IF(ISNUMBER(MATCH(orderHistory[customer],$D$9,0)*MATCH(orderHistory[status],$D$11,0)*MATCH(orderHistory[order_type],$D$13,0)),MATCH(ROW(orderHistory[customer]),ROW(orderHistory[customer])),""),ROWS($A$15:A31)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U26" s="454" t="str">
        <f t="array" ref="U26">IFERROR(IF($D$9="",IF($D$11="",IF($D$13="",IF($D$15="",INDEX(orderHistory[shipping_method],SMALL(MATCH(ROW(orderHistory[customer]),ROW(orderHistory[customer])),ROWS($A$15:A31)+$B$3)),INDEX(orderHistory[shipping_method],SMALL(IF(ISNUMBER(MATCH(YEAR(orderHistory[invoice_date]),$D$15,0)),MATCH(ROW(orderHistory[customer]),ROW(orderHistory[customer])),""),ROWS($A$15:A31)+$B$3))),IF($D$15="",INDEX(orderHistory[shipping_method],SMALL(IF(ISNUMBER(MATCH(orderHistory[order_type],$D$13,0)),MATCH(ROW(orderHistory[customer]),ROW(orderHistory[customer])),""),ROWS($A$15:A31)+$B$3)),INDEX(orderHistory[shipping_method],SMALL(IF(ISNUMBER(MATCH(orderHistory[order_type],$D$13,0)*MATCH(YEAR(orderHistory[invoice_date]),$D$15,0)),MATCH(ROW(orderHistory[customer]),ROW(orderHistory[customer])),""),ROWS($A$15:A31)+$B$3)))),IF($D$13="",IF($D$15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YEAR(orderHistory[invoice_date]),$D$15,0)),MATCH(ROW(orderHistory[customer]),ROW(orderHistory[customer])),""),ROWS($A$15:A31)+$B$3))),IF($D$15="",INDEX(orderHistory[shipping_method],SMALL(IF(ISNUMBER(MATCH(orderHistory[status],$D$11,0)*MATCH(orderHistory[order_type],$D$13,0)),MATCH(ROW(orderHistory[customer]),ROW(orderHistory[customer])),""),ROWS($A$15:A31)+$B$3)),INDEX(orderHistory[shipping_metho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YEAR(orderHistory[invoice_date]),$D$15,0)),MATCH(ROW(orderHistory[customer]),ROW(orderHistory[customer])),""),ROWS($A$15:A31)+$B$3))),IF($D$15="",INDEX(orderHistory[shipping_method],SMALL(IF(ISNUMBER(MATCH(orderHistory[customer],$D$9,0)*MATCH(orderHistory[order_type],$D$13,0)),MATCH(ROW(orderHistory[customer]),ROW(orderHistory[customer])),""),ROWS($A$15:A31)+$B$3)),INDEX(orderHistory[shipping_metho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YEAR(orderHistory[shipping_method]),$D$15,0)),MATCH(ROW(orderHistory[customer]),ROW(orderHistory[customer])),""),ROWS($A$15:A31)+$B$3))),IF($D$15="",INDEX(orderHistory[shipping_method],SMALL(IF(ISNUMBER(MATCH(orderHistory[customer],$D$9,0)*MATCH(orderHistory[status],$D$11,0)*MATCH(orderHistory[order_type],$D$13,0)),MATCH(ROW(orderHistory[customer]),ROW(orderHistory[customer])),""),ROWS($A$15:A31)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V26" s="460" t="str">
        <f t="array" ref="V26">IFERROR(IF($D$9="",IF($D$11="",IF($D$13="",IF($D$15="",INDEX(orderHistory[status],SMALL(MATCH(ROW(orderHistory[customer]),ROW(orderHistory[customer])),ROWS($A$15:A31)+$B$3)),INDEX(orderHistory[status],SMALL(IF(ISNUMBER(MATCH(YEAR(orderHistory[invoice_date]),$D$15,0)),MATCH(ROW(orderHistory[customer]),ROW(orderHistory[customer])),""),ROWS($A$15:A31)+$B$3))),IF($D$15="",INDEX(orderHistory[status],SMALL(IF(ISNUMBER(MATCH(orderHistory[order_type],$D$13,0)),MATCH(ROW(orderHistory[customer]),ROW(orderHistory[customer])),""),ROWS($A$15:A31)+$B$3)),INDEX(orderHistory[status],SMALL(IF(ISNUMBER(MATCH(orderHistory[order_type],$D$13,0)*MATCH(YEAR(orderHistory[invoice_date]),$D$15,0)),MATCH(ROW(orderHistory[customer]),ROW(orderHistory[customer])),""),ROWS($A$15:A31)+$B$3)))),IF($D$13="",IF($D$15="",INDEX(orderHistory[status],SMALL(IF(ISNUMBER(MATCH(orderHistory[status],$D$11,0)),MATCH(ROW(orderHistory[customer]),ROW(orderHistory[customer])),""),ROWS($A$15:A31)+$B$3)),INDEX(orderHistory[status],SMALL(IF(ISNUMBER(MATCH(orderHistory[status],$D$11,0)*MATCH(YEAR(orderHistory[invoice_date]),$D$15,0)),MATCH(ROW(orderHistory[customer]),ROW(orderHistory[customer])),""),ROWS($A$15:A31)+$B$3))),IF($D$15="",INDEX(orderHistory[status],SMALL(IF(ISNUMBER(MATCH(orderHistory[status],$D$11,0)*MATCH(orderHistory[order_type],$D$13,0)),MATCH(ROW(orderHistory[customer]),ROW(orderHistory[customer])),""),ROWS($A$15:A31)+$B$3)),INDEX(orderHistory[statu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tatus],SMALL(IF(ISNUMBER(MATCH(orderHistory[customer],$D$9,0)),MATCH(ROW(orderHistory[customer]),ROW(orderHistory[customer])),""),ROWS($A$15:A31)+$B$3)),INDEX(orderHistory[status],SMALL(IF(ISNUMBER(MATCH(orderHistory[customer],$D$9,0)*MATCH(YEAR(orderHistory[invoice_date]),$D$15,0)),MATCH(ROW(orderHistory[customer]),ROW(orderHistory[customer])),""),ROWS($A$15:A31)+$B$3))),IF($D$15="",INDEX(orderHistory[status],SMALL(IF(ISNUMBER(MATCH(orderHistory[customer],$D$9,0)*MATCH(orderHistory[order_type],$D$13,0)),MATCH(ROW(orderHistory[customer]),ROW(orderHistory[customer])),""),ROWS($A$15:A31)+$B$3)),INDEX(orderHistory[statu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YEAR(orderHistory[status]),$D$15,0)),MATCH(ROW(orderHistory[customer]),ROW(orderHistory[customer])),""),ROWS($A$15:A31)+$B$3))),IF($D$15="",INDEX(orderHistory[status],SMALL(IF(ISNUMBER(MATCH(orderHistory[customer],$D$9,0)*MATCH(orderHistory[status],$D$11,0)*MATCH(orderHistory[order_type],$D$13,0)),MATCH(ROW(orderHistory[customer]),ROW(orderHistory[customer])),""),ROWS($A$15:A31)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W26" s="75"/>
      <c r="AQ26" s="345"/>
      <c r="AR26" s="882"/>
      <c r="AS26" s="882"/>
      <c r="AT26" s="882"/>
      <c r="AU26" s="408"/>
      <c r="AV26" s="382"/>
      <c r="AW26" s="375"/>
      <c r="AX26" s="337"/>
      <c r="AY26" s="337"/>
      <c r="AZ26" s="337"/>
      <c r="BA26" s="337"/>
      <c r="BB26" s="337"/>
      <c r="BC26" s="337"/>
      <c r="BD26" s="337"/>
      <c r="BE26" s="337"/>
      <c r="BF26" s="337"/>
      <c r="BG26" s="377"/>
      <c r="BH26" s="337"/>
      <c r="BI26" s="337"/>
      <c r="BJ26" s="338"/>
      <c r="BK26" s="366"/>
      <c r="BL26" s="367"/>
      <c r="BM26" s="368"/>
      <c r="BN26" s="367"/>
      <c r="BO26" s="368"/>
      <c r="BX26" s="435"/>
      <c r="BZ26" s="495"/>
      <c r="CA26" s="477" t="str">
        <f>IF(BZ26="","",INDEX(bhpc_data[description],MATCH(BZ26,bhpc_data[sku],0)))</f>
        <v/>
      </c>
      <c r="CB26" s="478"/>
      <c r="CC26" s="490"/>
      <c r="CD26" s="494"/>
      <c r="CE26" s="481"/>
      <c r="CF26" s="482"/>
      <c r="CG26" s="483" t="str">
        <f>IFERROR(ROUNDUP(CB26/INDEX(bhpc_data[units_per_carton],MATCH(BZ26,bhpc_data[sku],0)),0),"")</f>
        <v/>
      </c>
      <c r="CH26" s="484" t="str">
        <f>IFERROR(ROUNDUP(CD26/INDEX(bhpc_data[units_per_carton],MATCH(BZ26,bhpc_data[sku],0)),0),"")</f>
        <v/>
      </c>
      <c r="CI26" s="484" t="str">
        <f>IFERROR(ROUNDUP(CF26/INDEX(bhpc_data[units_per_carton],MATCH(BZ26,bhpc_data[sku])),0),"")</f>
        <v/>
      </c>
      <c r="CJ26" s="484" t="str">
        <f>IFERROR(((CB26+CD26+CF26)/INDEX(bhpc_data[units_per_carton],MATCH(BZ26,bhpc_data[sku],0)))*INDEX(bhpc_data[net_weight],MATCH(BZ26,bhpc_data[sku],0)),"")</f>
        <v/>
      </c>
      <c r="CK26" s="484" t="str">
        <f>IFERROR(((CB26+CD26+CF26)/INDEX(bhpc_data[units_per_carton],MATCH(BZ26,bhpc_data[sku],0)))*INDEX(bhpc_data[gross_weight],MATCH(BZ26,bhpc_data[sku],0)),"")</f>
        <v/>
      </c>
      <c r="CL26" s="485" t="str">
        <f>IFERROR((CB26+CD26+CF26)/INDEX(bhpc_data[units_per_carton],MATCH(BZ26,bhpc_data[sku],0))*INDEX(bhpc_data[lenght],MATCH(BZ26,bhpc_data[sku],0))*INDEX(bhpc_data[width],MATCH(BZ26,bhpc_data[sku],0))*INDEX(bhpc_data[height],MATCH(BZ26,bhpc_data[sku],0))/1000000000,"")</f>
        <v/>
      </c>
      <c r="CM26" s="486" t="str">
        <f>IFERROR(INDEX(bhpc_data[category],MATCH(BZ26,bhpc_data[sku],0)),"")</f>
        <v/>
      </c>
      <c r="CN26" s="486" t="str">
        <f>IFERROR(INDEX(bhpc_data[size1],MATCH(BZ26,bhpc_data[sku],0)),"")</f>
        <v/>
      </c>
      <c r="CO26" s="487" t="str">
        <f>IFERROR(INDEX(bhpc_data[hs_code],MATCH(BZ26,bhpc_data[sku],0)),"")</f>
        <v/>
      </c>
      <c r="CP26" s="482"/>
      <c r="CQ26" s="492" t="str">
        <f>IFERROR(IF(BZ26="","",IF($BX$15="SALE",INDEX(inventory[COSTO UNITARIO],MATCH(BZ26,inventory[ARTICOLO],0)),IF($BX$15="SAMPLING",INDEX(inventory[COSTO UNITARIO],MATCH(BZ26,inventory[ARTICOLO],0)),""))),"")</f>
        <v/>
      </c>
      <c r="CR26" s="492" t="str">
        <f t="shared" si="0"/>
        <v/>
      </c>
      <c r="CS26" s="489" t="str">
        <f t="shared" si="1"/>
        <v/>
      </c>
      <c r="CT26" s="573" t="str">
        <f t="shared" si="2"/>
        <v/>
      </c>
      <c r="CV26" s="104"/>
      <c r="CW26" s="83"/>
      <c r="CX26" s="83"/>
      <c r="CY26" s="83"/>
      <c r="CZ26" s="83"/>
      <c r="DA26" s="84"/>
      <c r="DH26" s="245"/>
      <c r="EE26" s="547" t="str" cm="1">
        <f t="array" ref="EE26">IFERROR(IF($EC$9="",IF($EC$11="",IF($EC$13="",INDEX(bhpc_data[sku],SMALL(MATCH(ROW(bhpc_data[sku]),ROW(bhpc_data[sku])),ROWS($A$15:A31)+$B$3)),INDEX(bhpc_data[sku],SMALL(IF(ISNUMBER(MATCH(bhpc_data[size1],$EC$13,0)),MATCH(ROW(bhpc_data[sku]),ROW(bhpc_data[sku])),""),ROWS($A$15:A31)+$B$3))),IF($EC$13="",INDEX(bhpc_data[sku],SMALL(IF(ISNUMBER(MATCH(bhpc_data[sex],$EC$11,0)),MATCH(ROW(bhpc_data[sku]),ROW(bhpc_data[sku])),""),ROWS($A$15:A31)+$B$3)),INDEX(bhpc_data[sku],SMALL(IF(ISNUMBER(MATCH(bhpc_data[sex],$EC$11,0)*MATCH(bhpc_data[size1],$EC$13,0)),MATCH(ROW(bhpc_data[sku]),ROW(bhpc_data[sku])),""),ROWS($A$15:A31)+$B$3)))),IF($EC$11="",IF($EC$13="",INDEX(bhpc_data[sku],SMALL(IF(ISNUMBER(MATCH(bhpc_data[category],$EC$9,0)),MATCH(ROW(bhpc_data[sku]),ROW(bhpc_data[sku])),""),ROWS($A$15:A31)+$B$3)),INDEX(bhpc_data[sku],SMALL(IF(ISNUMBER(MATCH(bhpc_data[category],$EC$9,0)*MATCH(bhpc_data[size1],$EC$13,0)),MATCH(ROW(bhpc_data[sku]),ROW(bhpc_data[sku])),""),ROWS($A$15:A31)+$B$3))),IF($EC$13="",INDEX(bhpc_data[sku],SMALL(IF(ISNUMBER(MATCH(bhpc_data[category],$EC$9,0)*MATCH(bhpc_data[sex],$EC$11,0)),MATCH(ROW(bhpc_data[sku]),ROW(bhpc_data[sku])),""),ROWS($A$15:A31)+$B$3)),INDEX(bhpc_data[sku],SMALL(IF(ISNUMBER(MATCH(bhpc_data[category],$EC$9,0)*MATCH(bhpc_data[sex],$EC$11,0)*MATCH(bhpc_data[size1],$EC$13,0)),MATCH(ROW(bhpc_data[sku]),ROW(bhpc_data[sku])),""),ROWS($A$15:A31)+$B$3))))),"")</f>
        <v>GS7020</v>
      </c>
      <c r="EF26" s="548" t="str" cm="1">
        <f t="array" ref="EF26">IFERROR(IF($EC$9="",IF($EC$11="",IF($EC$13="",INDEX(bhpc_data[description],SMALL(MATCH(ROW(bhpc_data[sku]),ROW(bhpc_data[sku])),ROWS($A$15:A31)+$B$3)),INDEX(bhpc_data[description],SMALL(IF(ISNUMBER(MATCH(bhpc_data[size1],$EC$13,0)),MATCH(ROW(bhpc_data[sku]),ROW(bhpc_data[sku])),""),ROWS($A$15:A31)+$B$3))),IF($EC$13="",INDEX(bhpc_data[description],SMALL(IF(ISNUMBER(MATCH(bhpc_data[sex],$EC$11,0)),MATCH(ROW(bhpc_data[sku]),ROW(bhpc_data[sku])),""),ROWS($A$15:A31)+$B$3)),INDEX(bhpc_data[description],SMALL(IF(ISNUMBER(MATCH(bhpc_data[sex],$EC$11,0)*MATCH(bhpc_data[size1],$EC$13,0)),MATCH(ROW(bhpc_data[sku]),ROW(bhpc_data[sku])),""),ROWS($A$15:A31)+$B$3)))),IF($EC$11="",IF($EC$13="",INDEX(bhpc_data[description],SMALL(IF(ISNUMBER(MATCH(bhpc_data[category],$EC$9,0)),MATCH(ROW(bhpc_data[sku]),ROW(bhpc_data[sku])),""),ROWS($A$15:A31)+$B$3)),INDEX(bhpc_data[description],SMALL(IF(ISNUMBER(MATCH(bhpc_data[category],$EC$9,0)*MATCH(bhpc_data[size1],$EC$13,0)),MATCH(ROW(bhpc_data[sku]),ROW(bhpc_data[sku])),""),ROWS($A$15:A31)+$B$3))),IF($EC$13="",INDEX(bhpc_data[description],SMALL(IF(ISNUMBER(MATCH(bhpc_data[category],$EC$9,0)*MATCH(bhpc_data[sex],$EC$11,0)),MATCH(ROW(bhpc_data[sku]),ROW(bhpc_data[sku])),""),ROWS($A$15:A31)+$B$3)),INDEX(bhpc_data[description],SMALL(IF(ISNUMBER(MATCH(bhpc_data[category],$EC$9,0)*MATCH(bhpc_data[sex],$EC$11,0)*MATCH(bhpc_data[size1],$EC$13,0)),MATCH(ROW(bhpc_data[sku]),ROW(bhpc_data[sku])),""),ROWS($A$15:A31)+$B$3))))),"")</f>
        <v>BHPC GIFT SET MEN #1 EDT50ML+DEO175ML+ROLLON50ML</v>
      </c>
      <c r="EG26" s="549">
        <f>IFERROR(IF('BHPC MANAGER'!$EE26="","",INDEX(inventory[ESISTENZA],MATCH('BHPC MANAGER'!$EE26,inventory[ARTICOLO],0))),0)</f>
        <v>310</v>
      </c>
      <c r="EH26" s="550">
        <v>-160</v>
      </c>
      <c r="EI26" s="550">
        <f t="shared" si="3"/>
        <v>150</v>
      </c>
      <c r="EJ26" s="551">
        <v>-72</v>
      </c>
      <c r="EK26" s="552">
        <f t="shared" si="4"/>
        <v>78</v>
      </c>
      <c r="FF26" s="331"/>
      <c r="FG26" s="331"/>
      <c r="FH26" s="331"/>
      <c r="FI26" s="331"/>
      <c r="FJ26" s="331"/>
      <c r="FK26" s="331"/>
      <c r="FL26" s="331"/>
      <c r="FM26" s="331"/>
      <c r="FN26" s="331"/>
      <c r="FO26" s="331"/>
      <c r="FP26" s="331"/>
      <c r="FQ26" s="331"/>
      <c r="FR26" s="331"/>
      <c r="FS26" s="331"/>
      <c r="FT26" s="331"/>
      <c r="FU26" s="331"/>
      <c r="FV26" s="331"/>
      <c r="FW26" s="331"/>
      <c r="FX26" s="331"/>
      <c r="FY26" s="331"/>
      <c r="FZ26" s="331"/>
      <c r="GA26" s="331"/>
      <c r="GB26" s="331"/>
      <c r="GC26" s="331"/>
      <c r="GD26" s="331"/>
      <c r="GE26" s="331"/>
      <c r="GF26" s="331"/>
      <c r="GG26" s="331"/>
      <c r="GH26" s="331"/>
      <c r="GI26" s="331"/>
      <c r="GJ26" s="331"/>
      <c r="GK26" s="331"/>
      <c r="GL26" s="331"/>
      <c r="GM26" s="331"/>
      <c r="GN26" s="331"/>
      <c r="GO26" s="331"/>
      <c r="GP26" s="331"/>
      <c r="GQ26" s="331"/>
      <c r="GR26" s="331"/>
      <c r="GS26" s="331"/>
      <c r="GT26" s="331"/>
      <c r="GU26" s="331"/>
      <c r="GV26" s="331"/>
      <c r="GW26" s="331"/>
      <c r="GX26" s="331"/>
      <c r="GY26" s="331"/>
      <c r="GZ26" s="331"/>
      <c r="HA26" s="331"/>
      <c r="HB26" s="331"/>
      <c r="HC26" s="331"/>
      <c r="HD26" s="331"/>
      <c r="HE26" s="331"/>
      <c r="HF26" s="331"/>
      <c r="HG26" s="331"/>
      <c r="HH26" s="331"/>
      <c r="HI26" s="331"/>
      <c r="HJ26" s="331"/>
      <c r="HK26" s="331"/>
      <c r="HL26" s="331"/>
      <c r="HM26" s="331"/>
      <c r="HN26" s="331"/>
      <c r="HO26" s="331"/>
      <c r="HP26" s="331"/>
      <c r="HQ26" s="331"/>
      <c r="HR26" s="331"/>
      <c r="HS26" s="331"/>
      <c r="HT26" s="331"/>
    </row>
    <row r="27" spans="1:228" ht="15" customHeight="1" thickBot="1" x14ac:dyDescent="0.4">
      <c r="D27" s="275" t="e">
        <f>VLOOKUP(VLOOKUP($B$4,orderHistory[],15,FALSE),carriers[],5,FALSE)</f>
        <v>#N/A</v>
      </c>
      <c r="F27" s="96"/>
      <c r="G27" s="886" t="str">
        <f>IFERROR(INDEX(clientData[logistic_address2],MATCH(B6,clientData[cod_cliente],0)),"")</f>
        <v/>
      </c>
      <c r="H27" s="887"/>
      <c r="I27" s="888"/>
      <c r="J27" s="82"/>
      <c r="L27" s="452" t="str">
        <f t="array" ref="L27">IFERROR(IF($D$9="",IF($D$11="",IF($D$13="",IF($D$15="",INDEX(orderHistory[customer],SMALL(MATCH(ROW(orderHistory[customer]),ROW(orderHistory[customer])),ROWS($A$15:A32)+$B$3)),INDEX(orderHistory[customer],SMALL(IF(ISNUMBER(MATCH(YEAR(orderHistory[invoice_date]),$D$15,0)),MATCH(ROW(orderHistory[customer]),ROW(orderHistory[customer])),""),ROWS($A$15:A32)+$B$3))),IF($D$15="",INDEX(orderHistory[customer],SMALL(IF(ISNUMBER(MATCH(orderHistory[order_type],$D$13,0)),MATCH(ROW(orderHistory[customer]),ROW(orderHistory[customer])),""),ROWS($A$15:A32)+$B$3)),INDEX(orderHistory[customer],SMALL(IF(ISNUMBER(MATCH(orderHistory[order_type],$D$13,0)*MATCH(YEAR(orderHistory[invoice_date]),$D$15,0)),MATCH(ROW(orderHistory[customer]),ROW(orderHistory[customer])),""),ROWS($A$15:A32)+$B$3)))),IF($D$13="",IF($D$15="",INDEX(orderHistory[customer],SMALL(IF(ISNUMBER(MATCH(orderHistory[status],$D$11,0)),MATCH(ROW(orderHistory[customer]),ROW(orderHistory[customer])),""),ROWS($A$15:A32)+$B$3)),INDEX(orderHistory[customer],SMALL(IF(ISNUMBER(MATCH(orderHistory[status],$D$11,0)*MATCH(YEAR(orderHistory[invoice_date]),$D$15,0)),MATCH(ROW(orderHistory[customer]),ROW(orderHistory[customer])),""),ROWS($A$15:A32)+$B$3))),IF($D$15="",INDEX(orderHistory[customer],SMALL(IF(ISNUMBER(MATCH(orderHistory[status],$D$11,0)*MATCH(orderHistory[order_type],$D$13,0)),MATCH(ROW(orderHistory[customer]),ROW(orderHistory[customer])),""),ROWS($A$15:A32)+$B$3)),INDEX(orderHistory[customer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customer],SMALL(IF(ISNUMBER(MATCH(orderHistory[customer],$D$9,0)),MATCH(ROW(orderHistory[customer]),ROW(orderHistory[customer])),""),ROWS($A$15:A32)+$B$3)),INDEX(orderHistory[customer],SMALL(IF(ISNUMBER(MATCH(orderHistory[customer],$D$9,0)*MATCH(YEAR(orderHistory[invoice_date]),$D$15,0)),MATCH(ROW(orderHistory[customer]),ROW(orderHistory[customer])),""),ROWS($A$15:A32)+$B$3))),IF($D$15="",INDEX(orderHistory[customer],SMALL(IF(ISNUMBER(MATCH(orderHistory[customer],$D$9,0)*MATCH(orderHistory[order_type],$D$13,0)),MATCH(ROW(orderHistory[customer]),ROW(orderHistory[customer])),""),ROWS($A$15:A32)+$B$3)),INDEX(orderHistory[customer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YEAR(orderHistory[invoice_date]),$D$15,0)),MATCH(ROW(orderHistory[customer]),ROW(orderHistory[customer])),""),ROWS($A$15:A32)+$B$3))),IF($D$15="",INDEX(orderHistory[customer],SMALL(IF(ISNUMBER(MATCH(orderHistory[customer],$D$9,0)*MATCH(orderHistory[status],$D$11,0)*MATCH(orderHistory[order_type],$D$13,0)),MATCH(ROW(orderHistory[customer]),ROW(orderHistory[customer])),""),ROWS($A$15:A32)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M27" s="453" t="str">
        <f t="array" ref="M27">IFERROR(IF($D$9="",IF($D$11="",IF($D$13="",IF($D$15="",INDEX(orderHistory[order_no],SMALL(MATCH(ROW(orderHistory[customer]),ROW(orderHistory[customer])),ROWS($A$15:A32)+$B$3)),INDEX(orderHistory[order_no],SMALL(IF(ISNUMBER(MATCH(YEAR(orderHistory[invoice_date]),$D$15,0)),MATCH(ROW(orderHistory[customer]),ROW(orderHistory[customer])),""),ROWS($A$15:A32)+$B$3))),IF($D$15="",INDEX(orderHistory[order_no],SMALL(IF(ISNUMBER(MATCH(orderHistory[order_type],$D$13,0)),MATCH(ROW(orderHistory[customer]),ROW(orderHistory[customer])),""),ROWS($A$15:A32)+$B$3)),INDEX(orderHistory[order_no],SMALL(IF(ISNUMBER(MATCH(orderHistory[order_type],$D$13,0)*MATCH(YEAR(orderHistory[invoice_date]),$D$15,0)),MATCH(ROW(orderHistory[customer]),ROW(orderHistory[customer])),""),ROWS($A$15:A32)+$B$3)))),IF($D$13="",IF($D$15="",INDEX(orderHistory[order_no],SMALL(IF(ISNUMBER(MATCH(orderHistory[status],$D$11,0)),MATCH(ROW(orderHistory[customer]),ROW(orderHistory[customer])),""),ROWS($A$15:A32)+$B$3)),INDEX(orderHistory[order_no],SMALL(IF(ISNUMBER(MATCH(orderHistory[status],$D$11,0)*MATCH(YEAR(orderHistory[invoice_date]),$D$15,0)),MATCH(ROW(orderHistory[customer]),ROW(orderHistory[customer])),""),ROWS($A$15:A32)+$B$3))),IF($D$15="",INDEX(orderHistory[order_no],SMALL(IF(ISNUMBER(MATCH(orderHistory[status],$D$11,0)*MATCH(orderHistory[order_type],$D$13,0)),MATCH(ROW(orderHistory[customer]),ROW(orderHistory[customer])),""),ROWS($A$15:A32)+$B$3)),INDEX(orderHistory[order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no],SMALL(IF(ISNUMBER(MATCH(orderHistory[customer],$D$9,0)),MATCH(ROW(orderHistory[customer]),ROW(orderHistory[customer])),""),ROWS($A$15:A32)+$B$3)),INDEX(orderHistory[order_no],SMALL(IF(ISNUMBER(MATCH(orderHistory[customer],$D$9,0)*MATCH(YEAR(orderHistory[invoice_date]),$D$15,0)),MATCH(ROW(orderHistory[customer]),ROW(orderHistory[customer])),""),ROWS($A$15:A32)+$B$3))),IF($D$15="",INDEX(orderHistory[order_no],SMALL(IF(ISNUMBER(MATCH(orderHistory[customer],$D$9,0)*MATCH(orderHistory[order_type],$D$13,0)),MATCH(ROW(orderHistory[customer]),ROW(orderHistory[customer])),""),ROWS($A$15:A32)+$B$3)),INDEX(orderHistory[order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YEAR(orderHistory[invoice_date]),$D$15,0)),MATCH(ROW(orderHistory[customer]),ROW(orderHistory[customer])),""),ROWS($A$15:A32)+$B$3))),IF($D$15="",INDEX(orderHistory[order_no],SMALL(IF(ISNUMBER(MATCH(orderHistory[customer],$D$9,0)*MATCH(orderHistory[status],$D$11,0)*MATCH(orderHistory[order_type],$D$13,0)),MATCH(ROW(orderHistory[customer]),ROW(orderHistory[customer])),""),ROWS($A$15:A32)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N27" s="454" t="str">
        <f t="array" ref="N27">IFERROR(IF($D$9="",IF($D$11="",IF($D$13="",IF($D$15="",INDEX(orderHistory[order_type],SMALL(MATCH(ROW(orderHistory[customer]),ROW(orderHistory[customer])),ROWS($A$15:A32)+$B$3)),INDEX(orderHistory[order_type],SMALL(IF(ISNUMBER(MATCH(YEAR(orderHistory[invoice_date]),$D$15,0)),MATCH(ROW(orderHistory[customer]),ROW(orderHistory[customer])),""),ROWS($A$15:A32)+$B$3))),IF($D$15="",INDEX(orderHistory[order_type],SMALL(IF(ISNUMBER(MATCH(orderHistory[order_type],$D$13,0)),MATCH(ROW(orderHistory[customer]),ROW(orderHistory[customer])),""),ROWS($A$15:A32)+$B$3)),INDEX(orderHistory[order_type],SMALL(IF(ISNUMBER(MATCH(orderHistory[order_type],$D$13,0)*MATCH(YEAR(orderHistory[invoice_date]),$D$15,0)),MATCH(ROW(orderHistory[customer]),ROW(orderHistory[customer])),""),ROWS($A$15:A32)+$B$3)))),IF($D$13="",IF($D$15="",INDEX(orderHistory[order_type],SMALL(IF(ISNUMBER(MATCH(orderHistory[status],$D$11,0)),MATCH(ROW(orderHistory[customer]),ROW(orderHistory[customer])),""),ROWS($A$15:A32)+$B$3)),INDEX(orderHistory[order_type],SMALL(IF(ISNUMBER(MATCH(orderHistory[status],$D$11,0)*MATCH(YEAR(orderHistory[invoice_date]),$D$15,0)),MATCH(ROW(orderHistory[customer]),ROW(orderHistory[customer])),""),ROWS($A$15:A32)+$B$3))),IF($D$15="",INDEX(orderHistory[order_type],SMALL(IF(ISNUMBER(MATCH(orderHistory[status],$D$11,0)*MATCH(orderHistory[order_type],$D$13,0)),MATCH(ROW(orderHistory[customer]),ROW(orderHistory[customer])),""),ROWS($A$15:A32)+$B$3)),INDEX(orderHistory[order_typ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type],SMALL(IF(ISNUMBER(MATCH(orderHistory[customer],$D$9,0)),MATCH(ROW(orderHistory[customer]),ROW(orderHistory[customer])),""),ROWS($A$15:A32)+$B$3)),INDEX(orderHistory[order_type],SMALL(IF(ISNUMBER(MATCH(orderHistory[customer],$D$9,0)*MATCH(YEAR(orderHistory[invoice_date]),$D$15,0)),MATCH(ROW(orderHistory[customer]),ROW(orderHistory[customer])),""),ROWS($A$15:A32)+$B$3))),IF($D$15="",INDEX(orderHistory[order_type],SMALL(IF(ISNUMBER(MATCH(orderHistory[customer],$D$9,0)*MATCH(orderHistory[order_type],$D$13,0)),MATCH(ROW(orderHistory[customer]),ROW(orderHistory[customer])),""),ROWS($A$15:A32)+$B$3)),INDEX(orderHistory[order_typ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YEAR(orderHistory[invoice_date]),$D$15,0)),MATCH(ROW(orderHistory[customer]),ROW(orderHistory[customer])),""),ROWS($A$15:A32)+$B$3))),IF($D$15="",INDEX(orderHistory[order_type],SMALL(IF(ISNUMBER(MATCH(orderHistory[customer],$D$9,0)*MATCH(orderHistory[status],$D$11,0)*MATCH(orderHistory[order_type],$D$13,0)),MATCH(ROW(orderHistory[customer]),ROW(orderHistory[customer])),""),ROWS($A$15:A32)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O27" s="455" t="str">
        <f t="array" ref="O27">IFERROR(IF($D$9="",IF($D$11="",IF($D$13="",IF($D$15="",INDEX(orderHistory[order_date],SMALL(MATCH(ROW(orderHistory[customer]),ROW(orderHistory[customer])),ROWS($A$15:A32)+$B$3)),INDEX(orderHistory[order_date],SMALL(IF(ISNUMBER(MATCH(YEAR(orderHistory[invoice_date]),$D$15,0)),MATCH(ROW(orderHistory[customer]),ROW(orderHistory[customer])),""),ROWS($A$15:A32)+$B$3))),IF($D$15="",INDEX(orderHistory[order_date],SMALL(IF(ISNUMBER(MATCH(orderHistory[order_type],$D$13,0)),MATCH(ROW(orderHistory[customer]),ROW(orderHistory[customer])),""),ROWS($A$15:A32)+$B$3)),INDEX(orderHistory[order_date],SMALL(IF(ISNUMBER(MATCH(orderHistory[order_type],$D$13,0)*MATCH(YEAR(orderHistory[invoice_date]),$D$15,0)),MATCH(ROW(orderHistory[customer]),ROW(orderHistory[customer])),""),ROWS($A$15:A32)+$B$3)))),IF($D$13="",IF($D$15="",INDEX(orderHistory[order_date],SMALL(IF(ISNUMBER(MATCH(orderHistory[status],$D$11,0)),MATCH(ROW(orderHistory[customer]),ROW(orderHistory[customer])),""),ROWS($A$15:A32)+$B$3)),INDEX(orderHistory[order_date],SMALL(IF(ISNUMBER(MATCH(orderHistory[status],$D$11,0)*MATCH(YEAR(orderHistory[invoice_date]),$D$15,0)),MATCH(ROW(orderHistory[customer]),ROW(orderHistory[customer])),""),ROWS($A$15:A32)+$B$3))),IF($D$15="",INDEX(orderHistory[order_date],SMALL(IF(ISNUMBER(MATCH(orderHistory[status],$D$11,0)*MATCH(orderHistory[order_type],$D$13,0)),MATCH(ROW(orderHistory[customer]),ROW(orderHistory[customer])),""),ROWS($A$15:A32)+$B$3)),INDEX(orderHistory[order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date],SMALL(IF(ISNUMBER(MATCH(orderHistory[customer],$D$9,0)),MATCH(ROW(orderHistory[customer]),ROW(orderHistory[customer])),""),ROWS($A$15:A32)+$B$3)),INDEX(orderHistory[order_date],SMALL(IF(ISNUMBER(MATCH(orderHistory[customer],$D$9,0)*MATCH(YEAR(orderHistory[invoice_date]),$D$15,0)),MATCH(ROW(orderHistory[customer]),ROW(orderHistory[customer])),""),ROWS($A$15:A32)+$B$3))),IF($D$15="",INDEX(orderHistory[order_date],SMALL(IF(ISNUMBER(MATCH(orderHistory[customer],$D$9,0)*MATCH(orderHistory[order_type],$D$13,0)),MATCH(ROW(orderHistory[customer]),ROW(orderHistory[customer])),""),ROWS($A$15:A32)+$B$3)),INDEX(orderHistory[order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YEAR(orderHistory[invoice_date]),$D$15,0)),MATCH(ROW(orderHistory[customer]),ROW(orderHistory[customer])),""),ROWS($A$15:A32)+$B$3))),IF($D$15="",INDEX(orderHistory[order_date],SMALL(IF(ISNUMBER(MATCH(orderHistory[customer],$D$9,0)*MATCH(orderHistory[status],$D$11,0)*MATCH(orderHistory[order_type],$D$13,0)),MATCH(ROW(orderHistory[customer]),ROW(orderHistory[customer])),""),ROWS($A$15:A32)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P27" s="456" t="str">
        <f t="array" ref="P27">IFERROR(IF($D$9="",IF($D$11="",IF($D$13="",IF($D$15="",INDEX(orderHistory[invoice_no],SMALL(MATCH(ROW(orderHistory[customer]),ROW(orderHistory[customer])),ROWS($A$15:A32)+$B$3)),INDEX(orderHistory[invoice_no],SMALL(IF(ISNUMBER(MATCH(YEAR(orderHistory[invoice_date]),$D$15,0)),MATCH(ROW(orderHistory[customer]),ROW(orderHistory[customer])),""),ROWS($A$15:A32)+$B$3))),IF($D$15="",INDEX(orderHistory[invoice_no],SMALL(IF(ISNUMBER(MATCH(orderHistory[order_type],$D$13,0)),MATCH(ROW(orderHistory[customer]),ROW(orderHistory[customer])),""),ROWS($A$15:A32)+$B$3)),INDEX(orderHistory[invoice_no],SMALL(IF(ISNUMBER(MATCH(orderHistory[order_type],$D$13,0)*MATCH(YEAR(orderHistory[invoice_date]),$D$15,0)),MATCH(ROW(orderHistory[customer]),ROW(orderHistory[customer])),""),ROWS($A$15:A32)+$B$3)))),IF($D$13="",IF($D$15="",INDEX(orderHistory[invoice_no],SMALL(IF(ISNUMBER(MATCH(orderHistory[status],$D$11,0)),MATCH(ROW(orderHistory[customer]),ROW(orderHistory[customer])),""),ROWS($A$15:A32)+$B$3)),INDEX(orderHistory[invoice_no],SMALL(IF(ISNUMBER(MATCH(orderHistory[status],$D$11,0)*MATCH(YEAR(orderHistory[invoice_date]),$D$15,0)),MATCH(ROW(orderHistory[customer]),ROW(orderHistory[customer])),""),ROWS($A$15:A32)+$B$3))),IF($D$15="",INDEX(orderHistory[invoice_no],SMALL(IF(ISNUMBER(MATCH(orderHistory[status],$D$11,0)*MATCH(orderHistory[order_type],$D$13,0)),MATCH(ROW(orderHistory[customer]),ROW(orderHistory[customer])),""),ROWS($A$15:A32)+$B$3)),INDEX(orderHistory[invoice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no],SMALL(IF(ISNUMBER(MATCH(orderHistory[customer],$D$9,0)),MATCH(ROW(orderHistory[customer]),ROW(orderHistory[customer])),""),ROWS($A$15:A32)+$B$3)),INDEX(orderHistory[invoice_no],SMALL(IF(ISNUMBER(MATCH(orderHistory[customer],$D$9,0)*MATCH(YEAR(orderHistory[invoice_date]),$D$15,0)),MATCH(ROW(orderHistory[customer]),ROW(orderHistory[customer])),""),ROWS($A$15:A32)+$B$3))),IF($D$15="",INDEX(orderHistory[invoice_no],SMALL(IF(ISNUMBER(MATCH(orderHistory[customer],$D$9,0)*MATCH(orderHistory[order_type],$D$13,0)),MATCH(ROW(orderHistory[customer]),ROW(orderHistory[customer])),""),ROWS($A$15:A32)+$B$3)),INDEX(orderHistory[invoice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YEAR(orderHistory[invoice_date]),$D$15,0)),MATCH(ROW(orderHistory[customer]),ROW(orderHistory[customer])),""),ROWS($A$15:A32)+$B$3))),IF($D$15="",INDEX(orderHistory[invoice_no],SMALL(IF(ISNUMBER(MATCH(orderHistory[customer],$D$9,0)*MATCH(orderHistory[status],$D$11,0)*MATCH(orderHistory[order_type],$D$13,0)),MATCH(ROW(orderHistory[customer]),ROW(orderHistory[customer])),""),ROWS($A$15:A32)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Q27" s="457" t="str">
        <f t="array" ref="Q27">IFERROR(IF($D$9="",IF($D$11="",IF($D$13="",IF($D$15="",INDEX(orderHistory[invoice_date],SMALL(MATCH(ROW(orderHistory[customer]),ROW(orderHistory[customer])),ROWS($A$15:A32)+$B$3)),INDEX(orderHistory[invoice_date],SMALL(IF(ISNUMBER(MATCH(YEAR(orderHistory[invoice_date]),$D$15,0)),MATCH(ROW(orderHistory[customer]),ROW(orderHistory[customer])),""),ROWS($A$15:A32)+$B$3))),IF($D$15="",INDEX(orderHistory[invoice_date],SMALL(IF(ISNUMBER(MATCH(orderHistory[order_type],$D$13,0)),MATCH(ROW(orderHistory[customer]),ROW(orderHistory[customer])),""),ROWS($A$15:A32)+$B$3)),INDEX(orderHistory[invoice_date],SMALL(IF(ISNUMBER(MATCH(orderHistory[order_type],$D$13,0)*MATCH(YEAR(orderHistory[invoice_date]),$D$15,0)),MATCH(ROW(orderHistory[customer]),ROW(orderHistory[customer])),""),ROWS($A$15:A32)+$B$3)))),IF($D$13="",IF($D$15="",INDEX(orderHistory[invoice_date],SMALL(IF(ISNUMBER(MATCH(orderHistory[status],$D$11,0)),MATCH(ROW(orderHistory[customer]),ROW(orderHistory[customer])),""),ROWS($A$15:A32)+$B$3)),INDEX(orderHistory[invoice_date],SMALL(IF(ISNUMBER(MATCH(orderHistory[status],$D$11,0)*MATCH(YEAR(orderHistory[invoice_date]),$D$15,0)),MATCH(ROW(orderHistory[customer]),ROW(orderHistory[customer])),""),ROWS($A$15:A32)+$B$3))),IF($D$15="",INDEX(orderHistory[invoice_date],SMALL(IF(ISNUMBER(MATCH(orderHistory[status],$D$11,0)*MATCH(orderHistory[order_type],$D$13,0)),MATCH(ROW(orderHistory[customer]),ROW(orderHistory[customer])),""),ROWS($A$15:A32)+$B$3)),INDEX(orderHistory[invoice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date],SMALL(IF(ISNUMBER(MATCH(orderHistory[customer],$D$9,0)),MATCH(ROW(orderHistory[customer]),ROW(orderHistory[customer])),""),ROWS($A$15:A32)+$B$3)),INDEX(orderHistory[invoice_date],SMALL(IF(ISNUMBER(MATCH(orderHistory[customer],$D$9,0)*MATCH(YEAR(orderHistory[invoice_date]),$D$15,0)),MATCH(ROW(orderHistory[customer]),ROW(orderHistory[customer])),""),ROWS($A$15:A32)+$B$3))),IF($D$15="",INDEX(orderHistory[invoice_date],SMALL(IF(ISNUMBER(MATCH(orderHistory[customer],$D$9,0)*MATCH(orderHistory[order_type],$D$13,0)),MATCH(ROW(orderHistory[customer]),ROW(orderHistory[customer])),""),ROWS($A$15:A32)+$B$3)),INDEX(orderHistory[invoice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YEAR(orderHistory[invoice_date]),$D$15,0)),MATCH(ROW(orderHistory[customer]),ROW(orderHistory[customer])),""),ROWS($A$15:A32)+$B$3))),IF($D$15="",INDEX(orderHistory[invoice_date],SMALL(IF(ISNUMBER(MATCH(orderHistory[customer],$D$9,0)*MATCH(orderHistory[status],$D$11,0)*MATCH(orderHistory[order_type],$D$13,0)),MATCH(ROW(orderHistory[customer]),ROW(orderHistory[customer])),""),ROWS($A$15:A32)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R27" s="458" t="str">
        <f t="array" ref="R27">IFERROR(IF($D$9="",IF($D$11="",IF($D$13="",IF($D$15="",INDEX(orderHistory[inv_amount],SMALL(MATCH(ROW(orderHistory[customer]),ROW(orderHistory[customer])),ROWS($A$15:A32)+$B$3)),INDEX(orderHistory[inv_amount],SMALL(IF(ISNUMBER(MATCH(YEAR(orderHistory[invoice_date]),$D$15,0)),MATCH(ROW(orderHistory[customer]),ROW(orderHistory[customer])),""),ROWS($A$15:A32)+$B$3))),IF($D$15="",INDEX(orderHistory[inv_amount],SMALL(IF(ISNUMBER(MATCH(orderHistory[order_type],$D$13,0)),MATCH(ROW(orderHistory[customer]),ROW(orderHistory[customer])),""),ROWS($A$15:A32)+$B$3)),INDEX(orderHistory[inv_amount],SMALL(IF(ISNUMBER(MATCH(orderHistory[order_type],$D$13,0)*MATCH(YEAR(orderHistory[invoice_date]),$D$15,0)),MATCH(ROW(orderHistory[customer]),ROW(orderHistory[customer])),""),ROWS($A$15:A32)+$B$3)))),IF($D$13="",IF($D$15="",INDEX(orderHistory[inv_amount],SMALL(IF(ISNUMBER(MATCH(orderHistory[status],$D$11,0)),MATCH(ROW(orderHistory[customer]),ROW(orderHistory[customer])),""),ROWS($A$15:A32)+$B$3)),INDEX(orderHistory[inv_amount],SMALL(IF(ISNUMBER(MATCH(orderHistory[status],$D$11,0)*MATCH(YEAR(orderHistory[invoice_date]),$D$15,0)),MATCH(ROW(orderHistory[customer]),ROW(orderHistory[customer])),""),ROWS($A$15:A32)+$B$3))),IF($D$15="",INDEX(orderHistory[inv_amount],SMALL(IF(ISNUMBER(MATCH(orderHistory[status],$D$11,0)*MATCH(orderHistory[order_type],$D$13,0)),MATCH(ROW(orderHistory[customer]),ROW(orderHistory[customer])),""),ROWS($A$15:A32)+$B$3)),INDEX(orderHistory[inv_amount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_amount],SMALL(IF(ISNUMBER(MATCH(orderHistory[customer],$D$9,0)),MATCH(ROW(orderHistory[customer]),ROW(orderHistory[customer])),""),ROWS($A$15:A32)+$B$3)),INDEX(orderHistory[inv_amount],SMALL(IF(ISNUMBER(MATCH(orderHistory[customer],$D$9,0)*MATCH(YEAR(orderHistory[invoice_date]),$D$15,0)),MATCH(ROW(orderHistory[customer]),ROW(orderHistory[customer])),""),ROWS($A$15:A32)+$B$3))),IF($D$15="",INDEX(orderHistory[inv_amount],SMALL(IF(ISNUMBER(MATCH(orderHistory[customer],$D$9,0)*MATCH(orderHistory[order_type],$D$13,0)),MATCH(ROW(orderHistory[customer]),ROW(orderHistory[customer])),""),ROWS($A$15:A32)+$B$3)),INDEX(orderHistory[inv_amount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YEAR(orderHistory[inv_amount]),$D$15,0)),MATCH(ROW(orderHistory[customer]),ROW(orderHistory[customer])),""),ROWS($A$15:A32)+$B$3))),IF($D$15="",INDEX(orderHistory[inv_amount],SMALL(IF(ISNUMBER(MATCH(orderHistory[customer],$D$9,0)*MATCH(orderHistory[status],$D$11,0)*MATCH(orderHistory[order_type],$D$13,0)),MATCH(ROW(orderHistory[customer]),ROW(orderHistory[customer])),""),ROWS($A$15:A32)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S27" s="569" t="str">
        <f t="array" ref="S27">IFERROR(IF($D$9="",IF($D$11="",IF($D$13="",IF($D$15="",INDEX(orderHistory[lock_goods],SMALL(MATCH(ROW(orderHistory[customer]),ROW(orderHistory[customer])),ROWS($A$15:A32)+$B$3)),INDEX(orderHistory[lock_goods],SMALL(IF(ISNUMBER(MATCH(YEAR(orderHistory[invoice_date]),$D$15,0)),MATCH(ROW(orderHistory[customer]),ROW(orderHistory[customer])),""),ROWS($A$15:A32)+$B$3))),IF($D$15="",INDEX(orderHistory[lock_goods],SMALL(IF(ISNUMBER(MATCH(orderHistory[order_type],$D$13,0)),MATCH(ROW(orderHistory[customer]),ROW(orderHistory[customer])),""),ROWS($A$15:A32)+$B$3)),INDEX(orderHistory[lock_goods],SMALL(IF(ISNUMBER(MATCH(orderHistory[order_type],$D$13,0)*MATCH(YEAR(orderHistory[invoice_date]),$D$15,0)),MATCH(ROW(orderHistory[customer]),ROW(orderHistory[customer])),""),ROWS($A$15:A32)+$B$3)))),IF($D$13="",IF($D$15="",INDEX(orderHistory[lock_goods],SMALL(IF(ISNUMBER(MATCH(orderHistory[status],$D$11,0)),MATCH(ROW(orderHistory[customer]),ROW(orderHistory[customer])),""),ROWS($A$15:A32)+$B$3)),INDEX(orderHistory[lock_goods],SMALL(IF(ISNUMBER(MATCH(orderHistory[status],$D$11,0)*MATCH(YEAR(orderHistory[invoice_date]),$D$15,0)),MATCH(ROW(orderHistory[customer]),ROW(orderHistory[customer])),""),ROWS($A$15:A32)+$B$3))),IF($D$15="",INDEX(orderHistory[lock_goods],SMALL(IF(ISNUMBER(MATCH(orderHistory[status],$D$11,0)*MATCH(orderHistory[order_type],$D$13,0)),MATCH(ROW(orderHistory[customer]),ROW(orderHistory[customer])),""),ROWS($A$15:A32)+$B$3)),INDEX(orderHistory[lock_good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lock_goods],SMALL(IF(ISNUMBER(MATCH(orderHistory[customer],$D$9,0)),MATCH(ROW(orderHistory[customer]),ROW(orderHistory[customer])),""),ROWS($A$15:A32)+$B$3)),INDEX(orderHistory[lock_goods],SMALL(IF(ISNUMBER(MATCH(orderHistory[customer],$D$9,0)*MATCH(YEAR(orderHistory[invoice_date]),$D$15,0)),MATCH(ROW(orderHistory[customer]),ROW(orderHistory[customer])),""),ROWS($A$15:A32)+$B$3))),IF($D$15="",INDEX(orderHistory[lock_goods],SMALL(IF(ISNUMBER(MATCH(orderHistory[customer],$D$9,0)*MATCH(orderHistory[order_type],$D$13,0)),MATCH(ROW(orderHistory[customer]),ROW(orderHistory[customer])),""),ROWS($A$15:A32)+$B$3)),INDEX(orderHistory[lock_good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lock_goods],SMALL(IF(ISNUMBER(MATCH(orderHistory[customer],$D$9,0)*MATCH(orderHistory[status],$D$11,0)),MATCH(ROW(orderHistory[customer]),ROW(orderHistory[customer])),""),ROWS($A$15:A32)+$B$3)),INDEX(orderHistory[lock_goods],SMALL(IF(ISNUMBER(MATCH(orderHistory[customer],$D$9,0)*MATCH(orderHistory[status],$D$11,0)*MATCH(YEAR(orderHistory[payed]),$D$15,0)),MATCH(ROW(orderHistory[customer]),ROW(orderHistory[customer])),""),ROWS($A$15:A32)+$B$3))),IF($D$15="",INDEX(orderHistory[lock_goods],SMALL(IF(ISNUMBER(MATCH(orderHistory[customer],$D$9,0)*MATCH(orderHistory[status],$D$11,0)*MATCH(orderHistory[order_type],$D$13,0)),MATCH(ROW(orderHistory[customer]),ROW(orderHistory[customer])),""),ROWS($A$15:A32)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T27" s="459" t="str">
        <f t="array" ref="T27">IFERROR(IF($D$9="",IF($D$11="",IF($D$13="",IF($D$15="",INDEX(orderHistory[payed],SMALL(MATCH(ROW(orderHistory[customer]),ROW(orderHistory[customer])),ROWS($A$15:A32)+$B$3)),INDEX(orderHistory[payed],SMALL(IF(ISNUMBER(MATCH(YEAR(orderHistory[invoice_date]),$D$15,0)),MATCH(ROW(orderHistory[customer]),ROW(orderHistory[customer])),""),ROWS($A$15:A32)+$B$3))),IF($D$15="",INDEX(orderHistory[payed],SMALL(IF(ISNUMBER(MATCH(orderHistory[order_type],$D$13,0)),MATCH(ROW(orderHistory[customer]),ROW(orderHistory[customer])),""),ROWS($A$15:A32)+$B$3)),INDEX(orderHistory[payed],SMALL(IF(ISNUMBER(MATCH(orderHistory[order_type],$D$13,0)*MATCH(YEAR(orderHistory[invoice_date]),$D$15,0)),MATCH(ROW(orderHistory[customer]),ROW(orderHistory[customer])),""),ROWS($A$15:A32)+$B$3)))),IF($D$13="",IF($D$15="",INDEX(orderHistory[payed],SMALL(IF(ISNUMBER(MATCH(orderHistory[status],$D$11,0)),MATCH(ROW(orderHistory[customer]),ROW(orderHistory[customer])),""),ROWS($A$15:A32)+$B$3)),INDEX(orderHistory[payed],SMALL(IF(ISNUMBER(MATCH(orderHistory[status],$D$11,0)*MATCH(YEAR(orderHistory[invoice_date]),$D$15,0)),MATCH(ROW(orderHistory[customer]),ROW(orderHistory[customer])),""),ROWS($A$15:A32)+$B$3))),IF($D$15="",INDEX(orderHistory[payed],SMALL(IF(ISNUMBER(MATCH(orderHistory[status],$D$11,0)*MATCH(orderHistory[order_type],$D$13,0)),MATCH(ROW(orderHistory[customer]),ROW(orderHistory[customer])),""),ROWS($A$15:A32)+$B$3)),INDEX(orderHistory[paye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payed],SMALL(IF(ISNUMBER(MATCH(orderHistory[customer],$D$9,0)),MATCH(ROW(orderHistory[customer]),ROW(orderHistory[customer])),""),ROWS($A$15:A32)+$B$3)),INDEX(orderHistory[payed],SMALL(IF(ISNUMBER(MATCH(orderHistory[customer],$D$9,0)*MATCH(YEAR(orderHistory[invoice_date]),$D$15,0)),MATCH(ROW(orderHistory[customer]),ROW(orderHistory[customer])),""),ROWS($A$15:A32)+$B$3))),IF($D$15="",INDEX(orderHistory[payed],SMALL(IF(ISNUMBER(MATCH(orderHistory[customer],$D$9,0)*MATCH(orderHistory[order_type],$D$13,0)),MATCH(ROW(orderHistory[customer]),ROW(orderHistory[customer])),""),ROWS($A$15:A32)+$B$3)),INDEX(orderHistory[paye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YEAR(orderHistory[payed]),$D$15,0)),MATCH(ROW(orderHistory[customer]),ROW(orderHistory[customer])),""),ROWS($A$15:A32)+$B$3))),IF($D$15="",INDEX(orderHistory[payed],SMALL(IF(ISNUMBER(MATCH(orderHistory[customer],$D$9,0)*MATCH(orderHistory[status],$D$11,0)*MATCH(orderHistory[order_type],$D$13,0)),MATCH(ROW(orderHistory[customer]),ROW(orderHistory[customer])),""),ROWS($A$15:A32)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U27" s="454" t="str">
        <f t="array" ref="U27">IFERROR(IF($D$9="",IF($D$11="",IF($D$13="",IF($D$15="",INDEX(orderHistory[shipping_method],SMALL(MATCH(ROW(orderHistory[customer]),ROW(orderHistory[customer])),ROWS($A$15:A32)+$B$3)),INDEX(orderHistory[shipping_method],SMALL(IF(ISNUMBER(MATCH(YEAR(orderHistory[invoice_date]),$D$15,0)),MATCH(ROW(orderHistory[customer]),ROW(orderHistory[customer])),""),ROWS($A$15:A32)+$B$3))),IF($D$15="",INDEX(orderHistory[shipping_method],SMALL(IF(ISNUMBER(MATCH(orderHistory[order_type],$D$13,0)),MATCH(ROW(orderHistory[customer]),ROW(orderHistory[customer])),""),ROWS($A$15:A32)+$B$3)),INDEX(orderHistory[shipping_method],SMALL(IF(ISNUMBER(MATCH(orderHistory[order_type],$D$13,0)*MATCH(YEAR(orderHistory[invoice_date]),$D$15,0)),MATCH(ROW(orderHistory[customer]),ROW(orderHistory[customer])),""),ROWS($A$15:A32)+$B$3)))),IF($D$13="",IF($D$15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YEAR(orderHistory[invoice_date]),$D$15,0)),MATCH(ROW(orderHistory[customer]),ROW(orderHistory[customer])),""),ROWS($A$15:A32)+$B$3))),IF($D$15="",INDEX(orderHistory[shipping_method],SMALL(IF(ISNUMBER(MATCH(orderHistory[status],$D$11,0)*MATCH(orderHistory[order_type],$D$13,0)),MATCH(ROW(orderHistory[customer]),ROW(orderHistory[customer])),""),ROWS($A$15:A32)+$B$3)),INDEX(orderHistory[shipping_metho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YEAR(orderHistory[invoice_date]),$D$15,0)),MATCH(ROW(orderHistory[customer]),ROW(orderHistory[customer])),""),ROWS($A$15:A32)+$B$3))),IF($D$15="",INDEX(orderHistory[shipping_method],SMALL(IF(ISNUMBER(MATCH(orderHistory[customer],$D$9,0)*MATCH(orderHistory[order_type],$D$13,0)),MATCH(ROW(orderHistory[customer]),ROW(orderHistory[customer])),""),ROWS($A$15:A32)+$B$3)),INDEX(orderHistory[shipping_metho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YEAR(orderHistory[shipping_method]),$D$15,0)),MATCH(ROW(orderHistory[customer]),ROW(orderHistory[customer])),""),ROWS($A$15:A32)+$B$3))),IF($D$15="",INDEX(orderHistory[shipping_method],SMALL(IF(ISNUMBER(MATCH(orderHistory[customer],$D$9,0)*MATCH(orderHistory[status],$D$11,0)*MATCH(orderHistory[order_type],$D$13,0)),MATCH(ROW(orderHistory[customer]),ROW(orderHistory[customer])),""),ROWS($A$15:A32)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V27" s="460" t="str">
        <f t="array" ref="V27">IFERROR(IF($D$9="",IF($D$11="",IF($D$13="",IF($D$15="",INDEX(orderHistory[status],SMALL(MATCH(ROW(orderHistory[customer]),ROW(orderHistory[customer])),ROWS($A$15:A32)+$B$3)),INDEX(orderHistory[status],SMALL(IF(ISNUMBER(MATCH(YEAR(orderHistory[invoice_date]),$D$15,0)),MATCH(ROW(orderHistory[customer]),ROW(orderHistory[customer])),""),ROWS($A$15:A32)+$B$3))),IF($D$15="",INDEX(orderHistory[status],SMALL(IF(ISNUMBER(MATCH(orderHistory[order_type],$D$13,0)),MATCH(ROW(orderHistory[customer]),ROW(orderHistory[customer])),""),ROWS($A$15:A32)+$B$3)),INDEX(orderHistory[status],SMALL(IF(ISNUMBER(MATCH(orderHistory[order_type],$D$13,0)*MATCH(YEAR(orderHistory[invoice_date]),$D$15,0)),MATCH(ROW(orderHistory[customer]),ROW(orderHistory[customer])),""),ROWS($A$15:A32)+$B$3)))),IF($D$13="",IF($D$15="",INDEX(orderHistory[status],SMALL(IF(ISNUMBER(MATCH(orderHistory[status],$D$11,0)),MATCH(ROW(orderHistory[customer]),ROW(orderHistory[customer])),""),ROWS($A$15:A32)+$B$3)),INDEX(orderHistory[status],SMALL(IF(ISNUMBER(MATCH(orderHistory[status],$D$11,0)*MATCH(YEAR(orderHistory[invoice_date]),$D$15,0)),MATCH(ROW(orderHistory[customer]),ROW(orderHistory[customer])),""),ROWS($A$15:A32)+$B$3))),IF($D$15="",INDEX(orderHistory[status],SMALL(IF(ISNUMBER(MATCH(orderHistory[status],$D$11,0)*MATCH(orderHistory[order_type],$D$13,0)),MATCH(ROW(orderHistory[customer]),ROW(orderHistory[customer])),""),ROWS($A$15:A32)+$B$3)),INDEX(orderHistory[statu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tatus],SMALL(IF(ISNUMBER(MATCH(orderHistory[customer],$D$9,0)),MATCH(ROW(orderHistory[customer]),ROW(orderHistory[customer])),""),ROWS($A$15:A32)+$B$3)),INDEX(orderHistory[status],SMALL(IF(ISNUMBER(MATCH(orderHistory[customer],$D$9,0)*MATCH(YEAR(orderHistory[invoice_date]),$D$15,0)),MATCH(ROW(orderHistory[customer]),ROW(orderHistory[customer])),""),ROWS($A$15:A32)+$B$3))),IF($D$15="",INDEX(orderHistory[status],SMALL(IF(ISNUMBER(MATCH(orderHistory[customer],$D$9,0)*MATCH(orderHistory[order_type],$D$13,0)),MATCH(ROW(orderHistory[customer]),ROW(orderHistory[customer])),""),ROWS($A$15:A32)+$B$3)),INDEX(orderHistory[statu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YEAR(orderHistory[status]),$D$15,0)),MATCH(ROW(orderHistory[customer]),ROW(orderHistory[customer])),""),ROWS($A$15:A32)+$B$3))),IF($D$15="",INDEX(orderHistory[status],SMALL(IF(ISNUMBER(MATCH(orderHistory[customer],$D$9,0)*MATCH(orderHistory[status],$D$11,0)*MATCH(orderHistory[order_type],$D$13,0)),MATCH(ROW(orderHistory[customer]),ROW(orderHistory[customer])),""),ROWS($A$15:A32)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W27" s="75"/>
      <c r="AQ27" s="378"/>
      <c r="AR27" s="410"/>
      <c r="AS27" s="411"/>
      <c r="AT27" s="412"/>
      <c r="AU27" s="408"/>
      <c r="AV27" s="382"/>
      <c r="AW27" s="376"/>
      <c r="AX27" s="865"/>
      <c r="AY27" s="866"/>
      <c r="BB27" s="873"/>
      <c r="BC27" s="874"/>
      <c r="BD27" s="874"/>
      <c r="BE27" s="874"/>
      <c r="BF27" s="874"/>
      <c r="BG27" s="874"/>
      <c r="BH27" s="875"/>
      <c r="BJ27" s="339"/>
      <c r="BK27" s="366"/>
      <c r="BL27" s="367"/>
      <c r="BM27" s="368"/>
      <c r="BN27" s="367"/>
      <c r="BO27" s="368"/>
      <c r="BX27" s="436"/>
      <c r="BZ27" s="495"/>
      <c r="CA27" s="477" t="str">
        <f>IF(BZ27="","",INDEX(bhpc_data[description],MATCH(BZ27,bhpc_data[sku],0)))</f>
        <v/>
      </c>
      <c r="CB27" s="480"/>
      <c r="CC27" s="479"/>
      <c r="CD27" s="494"/>
      <c r="CE27" s="481"/>
      <c r="CF27" s="482"/>
      <c r="CG27" s="483" t="str">
        <f>IFERROR(ROUNDUP(CB27/INDEX(bhpc_data[units_per_carton],MATCH(BZ27,bhpc_data[sku],0)),0),"")</f>
        <v/>
      </c>
      <c r="CH27" s="484" t="str">
        <f>IFERROR(ROUNDUP(CD27/INDEX(bhpc_data[units_per_carton],MATCH(BZ27,bhpc_data[sku],0)),0),"")</f>
        <v/>
      </c>
      <c r="CI27" s="484" t="str">
        <f>IFERROR(ROUNDUP(CF27/INDEX(bhpc_data[units_per_carton],MATCH(BZ27,bhpc_data[sku])),0),"")</f>
        <v/>
      </c>
      <c r="CJ27" s="484" t="str">
        <f>IFERROR(((CB27+CD27+CF27)/INDEX(bhpc_data[units_per_carton],MATCH(BZ27,bhpc_data[sku],0)))*INDEX(bhpc_data[net_weight],MATCH(BZ27,bhpc_data[sku],0)),"")</f>
        <v/>
      </c>
      <c r="CK27" s="484" t="str">
        <f>IFERROR(((CB27+CD27+CF27)/INDEX(bhpc_data[units_per_carton],MATCH(BZ27,bhpc_data[sku],0)))*INDEX(bhpc_data[gross_weight],MATCH(BZ27,bhpc_data[sku],0)),"")</f>
        <v/>
      </c>
      <c r="CL27" s="485" t="str">
        <f>IFERROR((CB27+CD27+CF27)/INDEX(bhpc_data[units_per_carton],MATCH(BZ27,bhpc_data[sku],0))*INDEX(bhpc_data[lenght],MATCH(BZ27,bhpc_data[sku],0))*INDEX(bhpc_data[width],MATCH(BZ27,bhpc_data[sku],0))*INDEX(bhpc_data[height],MATCH(BZ27,bhpc_data[sku],0))/1000000000,"")</f>
        <v/>
      </c>
      <c r="CM27" s="486" t="str">
        <f>IFERROR(INDEX(bhpc_data[category],MATCH(BZ27,bhpc_data[sku],0)),"")</f>
        <v/>
      </c>
      <c r="CN27" s="486" t="str">
        <f>IFERROR(INDEX(bhpc_data[size1],MATCH(BZ27,bhpc_data[sku],0)),"")</f>
        <v/>
      </c>
      <c r="CO27" s="487" t="str">
        <f>IFERROR(INDEX(bhpc_data[hs_code],MATCH(BZ27,bhpc_data[sku],0)),"")</f>
        <v/>
      </c>
      <c r="CP27" s="482"/>
      <c r="CQ27" s="488" t="str">
        <f>IFERROR(IF(BZ27="","",IF($BX$15="SALE",INDEX(inventory[COSTO UNITARIO],MATCH(BZ27,inventory[ARTICOLO],0)),IF($BX$15="SAMPLING",INDEX(inventory[COSTO UNITARIO],MATCH(BZ27,inventory[ARTICOLO],0)),""))),"")</f>
        <v/>
      </c>
      <c r="CR27" s="488" t="str">
        <f t="shared" si="0"/>
        <v/>
      </c>
      <c r="CS27" s="489" t="str">
        <f t="shared" si="1"/>
        <v/>
      </c>
      <c r="CT27" s="573" t="str">
        <f t="shared" si="2"/>
        <v/>
      </c>
      <c r="CV27" s="119" t="s">
        <v>1163</v>
      </c>
      <c r="CW27" s="406"/>
      <c r="CX27" s="406"/>
      <c r="CY27" s="428"/>
      <c r="CZ27" s="406"/>
      <c r="DA27" s="406"/>
      <c r="DH27" s="245"/>
      <c r="EE27" s="541" t="str" cm="1">
        <f t="array" ref="EE27">IFERROR(IF($EC$9="",IF($EC$11="",IF($EC$13="",INDEX(bhpc_data[sku],SMALL(MATCH(ROW(bhpc_data[sku]),ROW(bhpc_data[sku])),ROWS($A$15:A32)+$B$3)),INDEX(bhpc_data[sku],SMALL(IF(ISNUMBER(MATCH(bhpc_data[size1],$EC$13,0)),MATCH(ROW(bhpc_data[sku]),ROW(bhpc_data[sku])),""),ROWS($A$15:A32)+$B$3))),IF($EC$13="",INDEX(bhpc_data[sku],SMALL(IF(ISNUMBER(MATCH(bhpc_data[sex],$EC$11,0)),MATCH(ROW(bhpc_data[sku]),ROW(bhpc_data[sku])),""),ROWS($A$15:A32)+$B$3)),INDEX(bhpc_data[sku],SMALL(IF(ISNUMBER(MATCH(bhpc_data[sex],$EC$11,0)*MATCH(bhpc_data[size1],$EC$13,0)),MATCH(ROW(bhpc_data[sku]),ROW(bhpc_data[sku])),""),ROWS($A$15:A32)+$B$3)))),IF($EC$11="",IF($EC$13="",INDEX(bhpc_data[sku],SMALL(IF(ISNUMBER(MATCH(bhpc_data[category],$EC$9,0)),MATCH(ROW(bhpc_data[sku]),ROW(bhpc_data[sku])),""),ROWS($A$15:A32)+$B$3)),INDEX(bhpc_data[sku],SMALL(IF(ISNUMBER(MATCH(bhpc_data[category],$EC$9,0)*MATCH(bhpc_data[size1],$EC$13,0)),MATCH(ROW(bhpc_data[sku]),ROW(bhpc_data[sku])),""),ROWS($A$15:A32)+$B$3))),IF($EC$13="",INDEX(bhpc_data[sku],SMALL(IF(ISNUMBER(MATCH(bhpc_data[category],$EC$9,0)*MATCH(bhpc_data[sex],$EC$11,0)),MATCH(ROW(bhpc_data[sku]),ROW(bhpc_data[sku])),""),ROWS($A$15:A32)+$B$3)),INDEX(bhpc_data[sku],SMALL(IF(ISNUMBER(MATCH(bhpc_data[category],$EC$9,0)*MATCH(bhpc_data[sex],$EC$11,0)*MATCH(bhpc_data[size1],$EC$13,0)),MATCH(ROW(bhpc_data[sku]),ROW(bhpc_data[sku])),""),ROWS($A$15:A32)+$B$3))))),"")</f>
        <v>GS7021</v>
      </c>
      <c r="EF27" s="542" t="str" cm="1">
        <f t="array" ref="EF27">IFERROR(IF($EC$9="",IF($EC$11="",IF($EC$13="",INDEX(bhpc_data[description],SMALL(MATCH(ROW(bhpc_data[sku]),ROW(bhpc_data[sku])),ROWS($A$15:A32)+$B$3)),INDEX(bhpc_data[description],SMALL(IF(ISNUMBER(MATCH(bhpc_data[size1],$EC$13,0)),MATCH(ROW(bhpc_data[sku]),ROW(bhpc_data[sku])),""),ROWS($A$15:A32)+$B$3))),IF($EC$13="",INDEX(bhpc_data[description],SMALL(IF(ISNUMBER(MATCH(bhpc_data[sex],$EC$11,0)),MATCH(ROW(bhpc_data[sku]),ROW(bhpc_data[sku])),""),ROWS($A$15:A32)+$B$3)),INDEX(bhpc_data[description],SMALL(IF(ISNUMBER(MATCH(bhpc_data[sex],$EC$11,0)*MATCH(bhpc_data[size1],$EC$13,0)),MATCH(ROW(bhpc_data[sku]),ROW(bhpc_data[sku])),""),ROWS($A$15:A32)+$B$3)))),IF($EC$11="",IF($EC$13="",INDEX(bhpc_data[description],SMALL(IF(ISNUMBER(MATCH(bhpc_data[category],$EC$9,0)),MATCH(ROW(bhpc_data[sku]),ROW(bhpc_data[sku])),""),ROWS($A$15:A32)+$B$3)),INDEX(bhpc_data[description],SMALL(IF(ISNUMBER(MATCH(bhpc_data[category],$EC$9,0)*MATCH(bhpc_data[size1],$EC$13,0)),MATCH(ROW(bhpc_data[sku]),ROW(bhpc_data[sku])),""),ROWS($A$15:A32)+$B$3))),IF($EC$13="",INDEX(bhpc_data[description],SMALL(IF(ISNUMBER(MATCH(bhpc_data[category],$EC$9,0)*MATCH(bhpc_data[sex],$EC$11,0)),MATCH(ROW(bhpc_data[sku]),ROW(bhpc_data[sku])),""),ROWS($A$15:A32)+$B$3)),INDEX(bhpc_data[description],SMALL(IF(ISNUMBER(MATCH(bhpc_data[category],$EC$9,0)*MATCH(bhpc_data[sex],$EC$11,0)*MATCH(bhpc_data[size1],$EC$13,0)),MATCH(ROW(bhpc_data[sku]),ROW(bhpc_data[sku])),""),ROWS($A$15:A32)+$B$3))))),"")</f>
        <v>BHPC GIFT SET MEN #9 EDT50ML+DEO175ML+ROLLON50ML</v>
      </c>
      <c r="EG27" s="543">
        <f>IFERROR(IF('BHPC MANAGER'!$EE27="","",INDEX(inventory[ESISTENZA],MATCH('BHPC MANAGER'!$EE27,inventory[ARTICOLO],0))),0)</f>
        <v>298</v>
      </c>
      <c r="EH27" s="544">
        <v>-3</v>
      </c>
      <c r="EI27" s="544">
        <f t="shared" si="3"/>
        <v>295</v>
      </c>
      <c r="EJ27" s="545">
        <v>-72</v>
      </c>
      <c r="EK27" s="546">
        <f t="shared" si="4"/>
        <v>223</v>
      </c>
      <c r="FF27" s="331"/>
      <c r="FG27" s="331"/>
      <c r="FH27" s="331"/>
      <c r="FI27" s="331"/>
      <c r="FJ27" s="331"/>
      <c r="FK27" s="331"/>
      <c r="FL27" s="331"/>
      <c r="FM27" s="331"/>
      <c r="FN27" s="331"/>
      <c r="FO27" s="331"/>
      <c r="FP27" s="331"/>
      <c r="FQ27" s="331"/>
      <c r="FR27" s="331"/>
      <c r="FS27" s="331"/>
      <c r="FT27" s="331"/>
      <c r="FU27" s="331"/>
      <c r="FV27" s="331"/>
      <c r="FW27" s="331"/>
      <c r="FX27" s="331"/>
      <c r="FY27" s="331"/>
      <c r="FZ27" s="331"/>
      <c r="GA27" s="331"/>
      <c r="GB27" s="331"/>
      <c r="GC27" s="331"/>
      <c r="GD27" s="331"/>
      <c r="GE27" s="331"/>
      <c r="GF27" s="331"/>
      <c r="GG27" s="331"/>
      <c r="GH27" s="331"/>
      <c r="GI27" s="331"/>
      <c r="GJ27" s="331"/>
      <c r="GK27" s="331"/>
      <c r="GL27" s="331"/>
      <c r="GM27" s="331"/>
      <c r="GN27" s="331"/>
      <c r="GO27" s="331"/>
      <c r="GP27" s="331"/>
      <c r="GQ27" s="331"/>
      <c r="GR27" s="331"/>
      <c r="GS27" s="331"/>
      <c r="GT27" s="331"/>
      <c r="GU27" s="331"/>
      <c r="GV27" s="331"/>
      <c r="GW27" s="331"/>
      <c r="GX27" s="331"/>
      <c r="GY27" s="331"/>
      <c r="GZ27" s="331"/>
      <c r="HA27" s="331"/>
      <c r="HB27" s="331"/>
      <c r="HC27" s="331"/>
      <c r="HD27" s="331"/>
      <c r="HE27" s="331"/>
      <c r="HF27" s="331"/>
      <c r="HG27" s="331"/>
      <c r="HH27" s="331"/>
      <c r="HI27" s="331"/>
      <c r="HJ27" s="331"/>
      <c r="HK27" s="331"/>
      <c r="HL27" s="331"/>
      <c r="HM27" s="331"/>
      <c r="HN27" s="331"/>
      <c r="HO27" s="331"/>
      <c r="HP27" s="331"/>
      <c r="HQ27" s="331"/>
      <c r="HR27" s="331"/>
      <c r="HS27" s="331"/>
      <c r="HT27" s="331"/>
    </row>
    <row r="28" spans="1:228" ht="15" customHeight="1" x14ac:dyDescent="0.35">
      <c r="F28" s="96"/>
      <c r="G28" s="889" t="str">
        <f>IFERROR(INDEX(clientData[logistic_address3],MATCH($B$6,clientData[cod_cliente],0)),"")</f>
        <v/>
      </c>
      <c r="H28" s="890"/>
      <c r="I28" s="891"/>
      <c r="J28" s="82"/>
      <c r="L28" s="452" t="str">
        <f t="array" ref="L28">IFERROR(IF($D$9="",IF($D$11="",IF($D$13="",IF($D$15="",INDEX(orderHistory[customer],SMALL(MATCH(ROW(orderHistory[customer]),ROW(orderHistory[customer])),ROWS($A$15:A33)+$B$3)),INDEX(orderHistory[customer],SMALL(IF(ISNUMBER(MATCH(YEAR(orderHistory[invoice_date]),$D$15,0)),MATCH(ROW(orderHistory[customer]),ROW(orderHistory[customer])),""),ROWS($A$15:A33)+$B$3))),IF($D$15="",INDEX(orderHistory[customer],SMALL(IF(ISNUMBER(MATCH(orderHistory[order_type],$D$13,0)),MATCH(ROW(orderHistory[customer]),ROW(orderHistory[customer])),""),ROWS($A$15:A33)+$B$3)),INDEX(orderHistory[customer],SMALL(IF(ISNUMBER(MATCH(orderHistory[order_type],$D$13,0)*MATCH(YEAR(orderHistory[invoice_date]),$D$15,0)),MATCH(ROW(orderHistory[customer]),ROW(orderHistory[customer])),""),ROWS($A$15:A33)+$B$3)))),IF($D$13="",IF($D$15="",INDEX(orderHistory[customer],SMALL(IF(ISNUMBER(MATCH(orderHistory[status],$D$11,0)),MATCH(ROW(orderHistory[customer]),ROW(orderHistory[customer])),""),ROWS($A$15:A33)+$B$3)),INDEX(orderHistory[customer],SMALL(IF(ISNUMBER(MATCH(orderHistory[status],$D$11,0)*MATCH(YEAR(orderHistory[invoice_date]),$D$15,0)),MATCH(ROW(orderHistory[customer]),ROW(orderHistory[customer])),""),ROWS($A$15:A33)+$B$3))),IF($D$15="",INDEX(orderHistory[customer],SMALL(IF(ISNUMBER(MATCH(orderHistory[status],$D$11,0)*MATCH(orderHistory[order_type],$D$13,0)),MATCH(ROW(orderHistory[customer]),ROW(orderHistory[customer])),""),ROWS($A$15:A33)+$B$3)),INDEX(orderHistory[customer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customer],SMALL(IF(ISNUMBER(MATCH(orderHistory[customer],$D$9,0)),MATCH(ROW(orderHistory[customer]),ROW(orderHistory[customer])),""),ROWS($A$15:A33)+$B$3)),INDEX(orderHistory[customer],SMALL(IF(ISNUMBER(MATCH(orderHistory[customer],$D$9,0)*MATCH(YEAR(orderHistory[invoice_date]),$D$15,0)),MATCH(ROW(orderHistory[customer]),ROW(orderHistory[customer])),""),ROWS($A$15:A33)+$B$3))),IF($D$15="",INDEX(orderHistory[customer],SMALL(IF(ISNUMBER(MATCH(orderHistory[customer],$D$9,0)*MATCH(orderHistory[order_type],$D$13,0)),MATCH(ROW(orderHistory[customer]),ROW(orderHistory[customer])),""),ROWS($A$15:A33)+$B$3)),INDEX(orderHistory[customer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YEAR(orderHistory[invoice_date]),$D$15,0)),MATCH(ROW(orderHistory[customer]),ROW(orderHistory[customer])),""),ROWS($A$15:A33)+$B$3))),IF($D$15="",INDEX(orderHistory[customer],SMALL(IF(ISNUMBER(MATCH(orderHistory[customer],$D$9,0)*MATCH(orderHistory[status],$D$11,0)*MATCH(orderHistory[order_type],$D$13,0)),MATCH(ROW(orderHistory[customer]),ROW(orderHistory[customer])),""),ROWS($A$15:A33)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M28" s="453" t="str">
        <f t="array" ref="M28">IFERROR(IF($D$9="",IF($D$11="",IF($D$13="",IF($D$15="",INDEX(orderHistory[order_no],SMALL(MATCH(ROW(orderHistory[customer]),ROW(orderHistory[customer])),ROWS($A$15:A33)+$B$3)),INDEX(orderHistory[order_no],SMALL(IF(ISNUMBER(MATCH(YEAR(orderHistory[invoice_date]),$D$15,0)),MATCH(ROW(orderHistory[customer]),ROW(orderHistory[customer])),""),ROWS($A$15:A33)+$B$3))),IF($D$15="",INDEX(orderHistory[order_no],SMALL(IF(ISNUMBER(MATCH(orderHistory[order_type],$D$13,0)),MATCH(ROW(orderHistory[customer]),ROW(orderHistory[customer])),""),ROWS($A$15:A33)+$B$3)),INDEX(orderHistory[order_no],SMALL(IF(ISNUMBER(MATCH(orderHistory[order_type],$D$13,0)*MATCH(YEAR(orderHistory[invoice_date]),$D$15,0)),MATCH(ROW(orderHistory[customer]),ROW(orderHistory[customer])),""),ROWS($A$15:A33)+$B$3)))),IF($D$13="",IF($D$15="",INDEX(orderHistory[order_no],SMALL(IF(ISNUMBER(MATCH(orderHistory[status],$D$11,0)),MATCH(ROW(orderHistory[customer]),ROW(orderHistory[customer])),""),ROWS($A$15:A33)+$B$3)),INDEX(orderHistory[order_no],SMALL(IF(ISNUMBER(MATCH(orderHistory[status],$D$11,0)*MATCH(YEAR(orderHistory[invoice_date]),$D$15,0)),MATCH(ROW(orderHistory[customer]),ROW(orderHistory[customer])),""),ROWS($A$15:A33)+$B$3))),IF($D$15="",INDEX(orderHistory[order_no],SMALL(IF(ISNUMBER(MATCH(orderHistory[status],$D$11,0)*MATCH(orderHistory[order_type],$D$13,0)),MATCH(ROW(orderHistory[customer]),ROW(orderHistory[customer])),""),ROWS($A$15:A33)+$B$3)),INDEX(orderHistory[order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no],SMALL(IF(ISNUMBER(MATCH(orderHistory[customer],$D$9,0)),MATCH(ROW(orderHistory[customer]),ROW(orderHistory[customer])),""),ROWS($A$15:A33)+$B$3)),INDEX(orderHistory[order_no],SMALL(IF(ISNUMBER(MATCH(orderHistory[customer],$D$9,0)*MATCH(YEAR(orderHistory[invoice_date]),$D$15,0)),MATCH(ROW(orderHistory[customer]),ROW(orderHistory[customer])),""),ROWS($A$15:A33)+$B$3))),IF($D$15="",INDEX(orderHistory[order_no],SMALL(IF(ISNUMBER(MATCH(orderHistory[customer],$D$9,0)*MATCH(orderHistory[order_type],$D$13,0)),MATCH(ROW(orderHistory[customer]),ROW(orderHistory[customer])),""),ROWS($A$15:A33)+$B$3)),INDEX(orderHistory[order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YEAR(orderHistory[invoice_date]),$D$15,0)),MATCH(ROW(orderHistory[customer]),ROW(orderHistory[customer])),""),ROWS($A$15:A33)+$B$3))),IF($D$15="",INDEX(orderHistory[order_no],SMALL(IF(ISNUMBER(MATCH(orderHistory[customer],$D$9,0)*MATCH(orderHistory[status],$D$11,0)*MATCH(orderHistory[order_type],$D$13,0)),MATCH(ROW(orderHistory[customer]),ROW(orderHistory[customer])),""),ROWS($A$15:A33)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N28" s="454" t="str">
        <f t="array" ref="N28">IFERROR(IF($D$9="",IF($D$11="",IF($D$13="",IF($D$15="",INDEX(orderHistory[order_type],SMALL(MATCH(ROW(orderHistory[customer]),ROW(orderHistory[customer])),ROWS($A$15:A33)+$B$3)),INDEX(orderHistory[order_type],SMALL(IF(ISNUMBER(MATCH(YEAR(orderHistory[invoice_date]),$D$15,0)),MATCH(ROW(orderHistory[customer]),ROW(orderHistory[customer])),""),ROWS($A$15:A33)+$B$3))),IF($D$15="",INDEX(orderHistory[order_type],SMALL(IF(ISNUMBER(MATCH(orderHistory[order_type],$D$13,0)),MATCH(ROW(orderHistory[customer]),ROW(orderHistory[customer])),""),ROWS($A$15:A33)+$B$3)),INDEX(orderHistory[order_type],SMALL(IF(ISNUMBER(MATCH(orderHistory[order_type],$D$13,0)*MATCH(YEAR(orderHistory[invoice_date]),$D$15,0)),MATCH(ROW(orderHistory[customer]),ROW(orderHistory[customer])),""),ROWS($A$15:A33)+$B$3)))),IF($D$13="",IF($D$15="",INDEX(orderHistory[order_type],SMALL(IF(ISNUMBER(MATCH(orderHistory[status],$D$11,0)),MATCH(ROW(orderHistory[customer]),ROW(orderHistory[customer])),""),ROWS($A$15:A33)+$B$3)),INDEX(orderHistory[order_type],SMALL(IF(ISNUMBER(MATCH(orderHistory[status],$D$11,0)*MATCH(YEAR(orderHistory[invoice_date]),$D$15,0)),MATCH(ROW(orderHistory[customer]),ROW(orderHistory[customer])),""),ROWS($A$15:A33)+$B$3))),IF($D$15="",INDEX(orderHistory[order_type],SMALL(IF(ISNUMBER(MATCH(orderHistory[status],$D$11,0)*MATCH(orderHistory[order_type],$D$13,0)),MATCH(ROW(orderHistory[customer]),ROW(orderHistory[customer])),""),ROWS($A$15:A33)+$B$3)),INDEX(orderHistory[order_typ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type],SMALL(IF(ISNUMBER(MATCH(orderHistory[customer],$D$9,0)),MATCH(ROW(orderHistory[customer]),ROW(orderHistory[customer])),""),ROWS($A$15:A33)+$B$3)),INDEX(orderHistory[order_type],SMALL(IF(ISNUMBER(MATCH(orderHistory[customer],$D$9,0)*MATCH(YEAR(orderHistory[invoice_date]),$D$15,0)),MATCH(ROW(orderHistory[customer]),ROW(orderHistory[customer])),""),ROWS($A$15:A33)+$B$3))),IF($D$15="",INDEX(orderHistory[order_type],SMALL(IF(ISNUMBER(MATCH(orderHistory[customer],$D$9,0)*MATCH(orderHistory[order_type],$D$13,0)),MATCH(ROW(orderHistory[customer]),ROW(orderHistory[customer])),""),ROWS($A$15:A33)+$B$3)),INDEX(orderHistory[order_typ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YEAR(orderHistory[invoice_date]),$D$15,0)),MATCH(ROW(orderHistory[customer]),ROW(orderHistory[customer])),""),ROWS($A$15:A33)+$B$3))),IF($D$15="",INDEX(orderHistory[order_type],SMALL(IF(ISNUMBER(MATCH(orderHistory[customer],$D$9,0)*MATCH(orderHistory[status],$D$11,0)*MATCH(orderHistory[order_type],$D$13,0)),MATCH(ROW(orderHistory[customer]),ROW(orderHistory[customer])),""),ROWS($A$15:A33)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O28" s="455" t="str">
        <f t="array" ref="O28">IFERROR(IF($D$9="",IF($D$11="",IF($D$13="",IF($D$15="",INDEX(orderHistory[order_date],SMALL(MATCH(ROW(orderHistory[customer]),ROW(orderHistory[customer])),ROWS($A$15:A33)+$B$3)),INDEX(orderHistory[order_date],SMALL(IF(ISNUMBER(MATCH(YEAR(orderHistory[invoice_date]),$D$15,0)),MATCH(ROW(orderHistory[customer]),ROW(orderHistory[customer])),""),ROWS($A$15:A33)+$B$3))),IF($D$15="",INDEX(orderHistory[order_date],SMALL(IF(ISNUMBER(MATCH(orderHistory[order_type],$D$13,0)),MATCH(ROW(orderHistory[customer]),ROW(orderHistory[customer])),""),ROWS($A$15:A33)+$B$3)),INDEX(orderHistory[order_date],SMALL(IF(ISNUMBER(MATCH(orderHistory[order_type],$D$13,0)*MATCH(YEAR(orderHistory[invoice_date]),$D$15,0)),MATCH(ROW(orderHistory[customer]),ROW(orderHistory[customer])),""),ROWS($A$15:A33)+$B$3)))),IF($D$13="",IF($D$15="",INDEX(orderHistory[order_date],SMALL(IF(ISNUMBER(MATCH(orderHistory[status],$D$11,0)),MATCH(ROW(orderHistory[customer]),ROW(orderHistory[customer])),""),ROWS($A$15:A33)+$B$3)),INDEX(orderHistory[order_date],SMALL(IF(ISNUMBER(MATCH(orderHistory[status],$D$11,0)*MATCH(YEAR(orderHistory[invoice_date]),$D$15,0)),MATCH(ROW(orderHistory[customer]),ROW(orderHistory[customer])),""),ROWS($A$15:A33)+$B$3))),IF($D$15="",INDEX(orderHistory[order_date],SMALL(IF(ISNUMBER(MATCH(orderHistory[status],$D$11,0)*MATCH(orderHistory[order_type],$D$13,0)),MATCH(ROW(orderHistory[customer]),ROW(orderHistory[customer])),""),ROWS($A$15:A33)+$B$3)),INDEX(orderHistory[order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date],SMALL(IF(ISNUMBER(MATCH(orderHistory[customer],$D$9,0)),MATCH(ROW(orderHistory[customer]),ROW(orderHistory[customer])),""),ROWS($A$15:A33)+$B$3)),INDEX(orderHistory[order_date],SMALL(IF(ISNUMBER(MATCH(orderHistory[customer],$D$9,0)*MATCH(YEAR(orderHistory[invoice_date]),$D$15,0)),MATCH(ROW(orderHistory[customer]),ROW(orderHistory[customer])),""),ROWS($A$15:A33)+$B$3))),IF($D$15="",INDEX(orderHistory[order_date],SMALL(IF(ISNUMBER(MATCH(orderHistory[customer],$D$9,0)*MATCH(orderHistory[order_type],$D$13,0)),MATCH(ROW(orderHistory[customer]),ROW(orderHistory[customer])),""),ROWS($A$15:A33)+$B$3)),INDEX(orderHistory[order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YEAR(orderHistory[invoice_date]),$D$15,0)),MATCH(ROW(orderHistory[customer]),ROW(orderHistory[customer])),""),ROWS($A$15:A33)+$B$3))),IF($D$15="",INDEX(orderHistory[order_date],SMALL(IF(ISNUMBER(MATCH(orderHistory[customer],$D$9,0)*MATCH(orderHistory[status],$D$11,0)*MATCH(orderHistory[order_type],$D$13,0)),MATCH(ROW(orderHistory[customer]),ROW(orderHistory[customer])),""),ROWS($A$15:A33)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P28" s="456" t="str">
        <f t="array" ref="P28">IFERROR(IF($D$9="",IF($D$11="",IF($D$13="",IF($D$15="",INDEX(orderHistory[invoice_no],SMALL(MATCH(ROW(orderHistory[customer]),ROW(orderHistory[customer])),ROWS($A$15:A33)+$B$3)),INDEX(orderHistory[invoice_no],SMALL(IF(ISNUMBER(MATCH(YEAR(orderHistory[invoice_date]),$D$15,0)),MATCH(ROW(orderHistory[customer]),ROW(orderHistory[customer])),""),ROWS($A$15:A33)+$B$3))),IF($D$15="",INDEX(orderHistory[invoice_no],SMALL(IF(ISNUMBER(MATCH(orderHistory[order_type],$D$13,0)),MATCH(ROW(orderHistory[customer]),ROW(orderHistory[customer])),""),ROWS($A$15:A33)+$B$3)),INDEX(orderHistory[invoice_no],SMALL(IF(ISNUMBER(MATCH(orderHistory[order_type],$D$13,0)*MATCH(YEAR(orderHistory[invoice_date]),$D$15,0)),MATCH(ROW(orderHistory[customer]),ROW(orderHistory[customer])),""),ROWS($A$15:A33)+$B$3)))),IF($D$13="",IF($D$15="",INDEX(orderHistory[invoice_no],SMALL(IF(ISNUMBER(MATCH(orderHistory[status],$D$11,0)),MATCH(ROW(orderHistory[customer]),ROW(orderHistory[customer])),""),ROWS($A$15:A33)+$B$3)),INDEX(orderHistory[invoice_no],SMALL(IF(ISNUMBER(MATCH(orderHistory[status],$D$11,0)*MATCH(YEAR(orderHistory[invoice_date]),$D$15,0)),MATCH(ROW(orderHistory[customer]),ROW(orderHistory[customer])),""),ROWS($A$15:A33)+$B$3))),IF($D$15="",INDEX(orderHistory[invoice_no],SMALL(IF(ISNUMBER(MATCH(orderHistory[status],$D$11,0)*MATCH(orderHistory[order_type],$D$13,0)),MATCH(ROW(orderHistory[customer]),ROW(orderHistory[customer])),""),ROWS($A$15:A33)+$B$3)),INDEX(orderHistory[invoice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no],SMALL(IF(ISNUMBER(MATCH(orderHistory[customer],$D$9,0)),MATCH(ROW(orderHistory[customer]),ROW(orderHistory[customer])),""),ROWS($A$15:A33)+$B$3)),INDEX(orderHistory[invoice_no],SMALL(IF(ISNUMBER(MATCH(orderHistory[customer],$D$9,0)*MATCH(YEAR(orderHistory[invoice_date]),$D$15,0)),MATCH(ROW(orderHistory[customer]),ROW(orderHistory[customer])),""),ROWS($A$15:A33)+$B$3))),IF($D$15="",INDEX(orderHistory[invoice_no],SMALL(IF(ISNUMBER(MATCH(orderHistory[customer],$D$9,0)*MATCH(orderHistory[order_type],$D$13,0)),MATCH(ROW(orderHistory[customer]),ROW(orderHistory[customer])),""),ROWS($A$15:A33)+$B$3)),INDEX(orderHistory[invoice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YEAR(orderHistory[invoice_date]),$D$15,0)),MATCH(ROW(orderHistory[customer]),ROW(orderHistory[customer])),""),ROWS($A$15:A33)+$B$3))),IF($D$15="",INDEX(orderHistory[invoice_no],SMALL(IF(ISNUMBER(MATCH(orderHistory[customer],$D$9,0)*MATCH(orderHistory[status],$D$11,0)*MATCH(orderHistory[order_type],$D$13,0)),MATCH(ROW(orderHistory[customer]),ROW(orderHistory[customer])),""),ROWS($A$15:A33)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Q28" s="457" t="str">
        <f t="array" ref="Q28">IFERROR(IF($D$9="",IF($D$11="",IF($D$13="",IF($D$15="",INDEX(orderHistory[invoice_date],SMALL(MATCH(ROW(orderHistory[customer]),ROW(orderHistory[customer])),ROWS($A$15:A33)+$B$3)),INDEX(orderHistory[invoice_date],SMALL(IF(ISNUMBER(MATCH(YEAR(orderHistory[invoice_date]),$D$15,0)),MATCH(ROW(orderHistory[customer]),ROW(orderHistory[customer])),""),ROWS($A$15:A33)+$B$3))),IF($D$15="",INDEX(orderHistory[invoice_date],SMALL(IF(ISNUMBER(MATCH(orderHistory[order_type],$D$13,0)),MATCH(ROW(orderHistory[customer]),ROW(orderHistory[customer])),""),ROWS($A$15:A33)+$B$3)),INDEX(orderHistory[invoice_date],SMALL(IF(ISNUMBER(MATCH(orderHistory[order_type],$D$13,0)*MATCH(YEAR(orderHistory[invoice_date]),$D$15,0)),MATCH(ROW(orderHistory[customer]),ROW(orderHistory[customer])),""),ROWS($A$15:A33)+$B$3)))),IF($D$13="",IF($D$15="",INDEX(orderHistory[invoice_date],SMALL(IF(ISNUMBER(MATCH(orderHistory[status],$D$11,0)),MATCH(ROW(orderHistory[customer]),ROW(orderHistory[customer])),""),ROWS($A$15:A33)+$B$3)),INDEX(orderHistory[invoice_date],SMALL(IF(ISNUMBER(MATCH(orderHistory[status],$D$11,0)*MATCH(YEAR(orderHistory[invoice_date]),$D$15,0)),MATCH(ROW(orderHistory[customer]),ROW(orderHistory[customer])),""),ROWS($A$15:A33)+$B$3))),IF($D$15="",INDEX(orderHistory[invoice_date],SMALL(IF(ISNUMBER(MATCH(orderHistory[status],$D$11,0)*MATCH(orderHistory[order_type],$D$13,0)),MATCH(ROW(orderHistory[customer]),ROW(orderHistory[customer])),""),ROWS($A$15:A33)+$B$3)),INDEX(orderHistory[invoice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date],SMALL(IF(ISNUMBER(MATCH(orderHistory[customer],$D$9,0)),MATCH(ROW(orderHistory[customer]),ROW(orderHistory[customer])),""),ROWS($A$15:A33)+$B$3)),INDEX(orderHistory[invoice_date],SMALL(IF(ISNUMBER(MATCH(orderHistory[customer],$D$9,0)*MATCH(YEAR(orderHistory[invoice_date]),$D$15,0)),MATCH(ROW(orderHistory[customer]),ROW(orderHistory[customer])),""),ROWS($A$15:A33)+$B$3))),IF($D$15="",INDEX(orderHistory[invoice_date],SMALL(IF(ISNUMBER(MATCH(orderHistory[customer],$D$9,0)*MATCH(orderHistory[order_type],$D$13,0)),MATCH(ROW(orderHistory[customer]),ROW(orderHistory[customer])),""),ROWS($A$15:A33)+$B$3)),INDEX(orderHistory[invoice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YEAR(orderHistory[invoice_date]),$D$15,0)),MATCH(ROW(orderHistory[customer]),ROW(orderHistory[customer])),""),ROWS($A$15:A33)+$B$3))),IF($D$15="",INDEX(orderHistory[invoice_date],SMALL(IF(ISNUMBER(MATCH(orderHistory[customer],$D$9,0)*MATCH(orderHistory[status],$D$11,0)*MATCH(orderHistory[order_type],$D$13,0)),MATCH(ROW(orderHistory[customer]),ROW(orderHistory[customer])),""),ROWS($A$15:A33)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R28" s="458" t="str">
        <f t="array" ref="R28">IFERROR(IF($D$9="",IF($D$11="",IF($D$13="",IF($D$15="",INDEX(orderHistory[inv_amount],SMALL(MATCH(ROW(orderHistory[customer]),ROW(orderHistory[customer])),ROWS($A$15:A33)+$B$3)),INDEX(orderHistory[inv_amount],SMALL(IF(ISNUMBER(MATCH(YEAR(orderHistory[invoice_date]),$D$15,0)),MATCH(ROW(orderHistory[customer]),ROW(orderHistory[customer])),""),ROWS($A$15:A33)+$B$3))),IF($D$15="",INDEX(orderHistory[inv_amount],SMALL(IF(ISNUMBER(MATCH(orderHistory[order_type],$D$13,0)),MATCH(ROW(orderHistory[customer]),ROW(orderHistory[customer])),""),ROWS($A$15:A33)+$B$3)),INDEX(orderHistory[inv_amount],SMALL(IF(ISNUMBER(MATCH(orderHistory[order_type],$D$13,0)*MATCH(YEAR(orderHistory[invoice_date]),$D$15,0)),MATCH(ROW(orderHistory[customer]),ROW(orderHistory[customer])),""),ROWS($A$15:A33)+$B$3)))),IF($D$13="",IF($D$15="",INDEX(orderHistory[inv_amount],SMALL(IF(ISNUMBER(MATCH(orderHistory[status],$D$11,0)),MATCH(ROW(orderHistory[customer]),ROW(orderHistory[customer])),""),ROWS($A$15:A33)+$B$3)),INDEX(orderHistory[inv_amount],SMALL(IF(ISNUMBER(MATCH(orderHistory[status],$D$11,0)*MATCH(YEAR(orderHistory[invoice_date]),$D$15,0)),MATCH(ROW(orderHistory[customer]),ROW(orderHistory[customer])),""),ROWS($A$15:A33)+$B$3))),IF($D$15="",INDEX(orderHistory[inv_amount],SMALL(IF(ISNUMBER(MATCH(orderHistory[status],$D$11,0)*MATCH(orderHistory[order_type],$D$13,0)),MATCH(ROW(orderHistory[customer]),ROW(orderHistory[customer])),""),ROWS($A$15:A33)+$B$3)),INDEX(orderHistory[inv_amount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_amount],SMALL(IF(ISNUMBER(MATCH(orderHistory[customer],$D$9,0)),MATCH(ROW(orderHistory[customer]),ROW(orderHistory[customer])),""),ROWS($A$15:A33)+$B$3)),INDEX(orderHistory[inv_amount],SMALL(IF(ISNUMBER(MATCH(orderHistory[customer],$D$9,0)*MATCH(YEAR(orderHistory[invoice_date]),$D$15,0)),MATCH(ROW(orderHistory[customer]),ROW(orderHistory[customer])),""),ROWS($A$15:A33)+$B$3))),IF($D$15="",INDEX(orderHistory[inv_amount],SMALL(IF(ISNUMBER(MATCH(orderHistory[customer],$D$9,0)*MATCH(orderHistory[order_type],$D$13,0)),MATCH(ROW(orderHistory[customer]),ROW(orderHistory[customer])),""),ROWS($A$15:A33)+$B$3)),INDEX(orderHistory[inv_amount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YEAR(orderHistory[inv_amount]),$D$15,0)),MATCH(ROW(orderHistory[customer]),ROW(orderHistory[customer])),""),ROWS($A$15:A33)+$B$3))),IF($D$15="",INDEX(orderHistory[inv_amount],SMALL(IF(ISNUMBER(MATCH(orderHistory[customer],$D$9,0)*MATCH(orderHistory[status],$D$11,0)*MATCH(orderHistory[order_type],$D$13,0)),MATCH(ROW(orderHistory[customer]),ROW(orderHistory[customer])),""),ROWS($A$15:A33)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S28" s="569" t="str">
        <f t="array" ref="S28">IFERROR(IF($D$9="",IF($D$11="",IF($D$13="",IF($D$15="",INDEX(orderHistory[lock_goods],SMALL(MATCH(ROW(orderHistory[customer]),ROW(orderHistory[customer])),ROWS($A$15:A33)+$B$3)),INDEX(orderHistory[lock_goods],SMALL(IF(ISNUMBER(MATCH(YEAR(orderHistory[invoice_date]),$D$15,0)),MATCH(ROW(orderHistory[customer]),ROW(orderHistory[customer])),""),ROWS($A$15:A33)+$B$3))),IF($D$15="",INDEX(orderHistory[lock_goods],SMALL(IF(ISNUMBER(MATCH(orderHistory[order_type],$D$13,0)),MATCH(ROW(orderHistory[customer]),ROW(orderHistory[customer])),""),ROWS($A$15:A33)+$B$3)),INDEX(orderHistory[lock_goods],SMALL(IF(ISNUMBER(MATCH(orderHistory[order_type],$D$13,0)*MATCH(YEAR(orderHistory[invoice_date]),$D$15,0)),MATCH(ROW(orderHistory[customer]),ROW(orderHistory[customer])),""),ROWS($A$15:A33)+$B$3)))),IF($D$13="",IF($D$15="",INDEX(orderHistory[lock_goods],SMALL(IF(ISNUMBER(MATCH(orderHistory[status],$D$11,0)),MATCH(ROW(orderHistory[customer]),ROW(orderHistory[customer])),""),ROWS($A$15:A33)+$B$3)),INDEX(orderHistory[lock_goods],SMALL(IF(ISNUMBER(MATCH(orderHistory[status],$D$11,0)*MATCH(YEAR(orderHistory[invoice_date]),$D$15,0)),MATCH(ROW(orderHistory[customer]),ROW(orderHistory[customer])),""),ROWS($A$15:A33)+$B$3))),IF($D$15="",INDEX(orderHistory[lock_goods],SMALL(IF(ISNUMBER(MATCH(orderHistory[status],$D$11,0)*MATCH(orderHistory[order_type],$D$13,0)),MATCH(ROW(orderHistory[customer]),ROW(orderHistory[customer])),""),ROWS($A$15:A33)+$B$3)),INDEX(orderHistory[lock_good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lock_goods],SMALL(IF(ISNUMBER(MATCH(orderHistory[customer],$D$9,0)),MATCH(ROW(orderHistory[customer]),ROW(orderHistory[customer])),""),ROWS($A$15:A33)+$B$3)),INDEX(orderHistory[lock_goods],SMALL(IF(ISNUMBER(MATCH(orderHistory[customer],$D$9,0)*MATCH(YEAR(orderHistory[invoice_date]),$D$15,0)),MATCH(ROW(orderHistory[customer]),ROW(orderHistory[customer])),""),ROWS($A$15:A33)+$B$3))),IF($D$15="",INDEX(orderHistory[lock_goods],SMALL(IF(ISNUMBER(MATCH(orderHistory[customer],$D$9,0)*MATCH(orderHistory[order_type],$D$13,0)),MATCH(ROW(orderHistory[customer]),ROW(orderHistory[customer])),""),ROWS($A$15:A33)+$B$3)),INDEX(orderHistory[lock_good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lock_goods],SMALL(IF(ISNUMBER(MATCH(orderHistory[customer],$D$9,0)*MATCH(orderHistory[status],$D$11,0)),MATCH(ROW(orderHistory[customer]),ROW(orderHistory[customer])),""),ROWS($A$15:A33)+$B$3)),INDEX(orderHistory[lock_goods],SMALL(IF(ISNUMBER(MATCH(orderHistory[customer],$D$9,0)*MATCH(orderHistory[status],$D$11,0)*MATCH(YEAR(orderHistory[payed]),$D$15,0)),MATCH(ROW(orderHistory[customer]),ROW(orderHistory[customer])),""),ROWS($A$15:A33)+$B$3))),IF($D$15="",INDEX(orderHistory[lock_goods],SMALL(IF(ISNUMBER(MATCH(orderHistory[customer],$D$9,0)*MATCH(orderHistory[status],$D$11,0)*MATCH(orderHistory[order_type],$D$13,0)),MATCH(ROW(orderHistory[customer]),ROW(orderHistory[customer])),""),ROWS($A$15:A33)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T28" s="459" t="str">
        <f t="array" ref="T28">IFERROR(IF($D$9="",IF($D$11="",IF($D$13="",IF($D$15="",INDEX(orderHistory[payed],SMALL(MATCH(ROW(orderHistory[customer]),ROW(orderHistory[customer])),ROWS($A$15:A33)+$B$3)),INDEX(orderHistory[payed],SMALL(IF(ISNUMBER(MATCH(YEAR(orderHistory[invoice_date]),$D$15,0)),MATCH(ROW(orderHistory[customer]),ROW(orderHistory[customer])),""),ROWS($A$15:A33)+$B$3))),IF($D$15="",INDEX(orderHistory[payed],SMALL(IF(ISNUMBER(MATCH(orderHistory[order_type],$D$13,0)),MATCH(ROW(orderHistory[customer]),ROW(orderHistory[customer])),""),ROWS($A$15:A33)+$B$3)),INDEX(orderHistory[payed],SMALL(IF(ISNUMBER(MATCH(orderHistory[order_type],$D$13,0)*MATCH(YEAR(orderHistory[invoice_date]),$D$15,0)),MATCH(ROW(orderHistory[customer]),ROW(orderHistory[customer])),""),ROWS($A$15:A33)+$B$3)))),IF($D$13="",IF($D$15="",INDEX(orderHistory[payed],SMALL(IF(ISNUMBER(MATCH(orderHistory[status],$D$11,0)),MATCH(ROW(orderHistory[customer]),ROW(orderHistory[customer])),""),ROWS($A$15:A33)+$B$3)),INDEX(orderHistory[payed],SMALL(IF(ISNUMBER(MATCH(orderHistory[status],$D$11,0)*MATCH(YEAR(orderHistory[invoice_date]),$D$15,0)),MATCH(ROW(orderHistory[customer]),ROW(orderHistory[customer])),""),ROWS($A$15:A33)+$B$3))),IF($D$15="",INDEX(orderHistory[payed],SMALL(IF(ISNUMBER(MATCH(orderHistory[status],$D$11,0)*MATCH(orderHistory[order_type],$D$13,0)),MATCH(ROW(orderHistory[customer]),ROW(orderHistory[customer])),""),ROWS($A$15:A33)+$B$3)),INDEX(orderHistory[paye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payed],SMALL(IF(ISNUMBER(MATCH(orderHistory[customer],$D$9,0)),MATCH(ROW(orderHistory[customer]),ROW(orderHistory[customer])),""),ROWS($A$15:A33)+$B$3)),INDEX(orderHistory[payed],SMALL(IF(ISNUMBER(MATCH(orderHistory[customer],$D$9,0)*MATCH(YEAR(orderHistory[invoice_date]),$D$15,0)),MATCH(ROW(orderHistory[customer]),ROW(orderHistory[customer])),""),ROWS($A$15:A33)+$B$3))),IF($D$15="",INDEX(orderHistory[payed],SMALL(IF(ISNUMBER(MATCH(orderHistory[customer],$D$9,0)*MATCH(orderHistory[order_type],$D$13,0)),MATCH(ROW(orderHistory[customer]),ROW(orderHistory[customer])),""),ROWS($A$15:A33)+$B$3)),INDEX(orderHistory[paye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YEAR(orderHistory[payed]),$D$15,0)),MATCH(ROW(orderHistory[customer]),ROW(orderHistory[customer])),""),ROWS($A$15:A33)+$B$3))),IF($D$15="",INDEX(orderHistory[payed],SMALL(IF(ISNUMBER(MATCH(orderHistory[customer],$D$9,0)*MATCH(orderHistory[status],$D$11,0)*MATCH(orderHistory[order_type],$D$13,0)),MATCH(ROW(orderHistory[customer]),ROW(orderHistory[customer])),""),ROWS($A$15:A33)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U28" s="454" t="str">
        <f t="array" ref="U28">IFERROR(IF($D$9="",IF($D$11="",IF($D$13="",IF($D$15="",INDEX(orderHistory[shipping_method],SMALL(MATCH(ROW(orderHistory[customer]),ROW(orderHistory[customer])),ROWS($A$15:A33)+$B$3)),INDEX(orderHistory[shipping_method],SMALL(IF(ISNUMBER(MATCH(YEAR(orderHistory[invoice_date]),$D$15,0)),MATCH(ROW(orderHistory[customer]),ROW(orderHistory[customer])),""),ROWS($A$15:A33)+$B$3))),IF($D$15="",INDEX(orderHistory[shipping_method],SMALL(IF(ISNUMBER(MATCH(orderHistory[order_type],$D$13,0)),MATCH(ROW(orderHistory[customer]),ROW(orderHistory[customer])),""),ROWS($A$15:A33)+$B$3)),INDEX(orderHistory[shipping_method],SMALL(IF(ISNUMBER(MATCH(orderHistory[order_type],$D$13,0)*MATCH(YEAR(orderHistory[invoice_date]),$D$15,0)),MATCH(ROW(orderHistory[customer]),ROW(orderHistory[customer])),""),ROWS($A$15:A33)+$B$3)))),IF($D$13="",IF($D$15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YEAR(orderHistory[invoice_date]),$D$15,0)),MATCH(ROW(orderHistory[customer]),ROW(orderHistory[customer])),""),ROWS($A$15:A33)+$B$3))),IF($D$15="",INDEX(orderHistory[shipping_method],SMALL(IF(ISNUMBER(MATCH(orderHistory[status],$D$11,0)*MATCH(orderHistory[order_type],$D$13,0)),MATCH(ROW(orderHistory[customer]),ROW(orderHistory[customer])),""),ROWS($A$15:A33)+$B$3)),INDEX(orderHistory[shipping_metho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YEAR(orderHistory[invoice_date]),$D$15,0)),MATCH(ROW(orderHistory[customer]),ROW(orderHistory[customer])),""),ROWS($A$15:A33)+$B$3))),IF($D$15="",INDEX(orderHistory[shipping_method],SMALL(IF(ISNUMBER(MATCH(orderHistory[customer],$D$9,0)*MATCH(orderHistory[order_type],$D$13,0)),MATCH(ROW(orderHistory[customer]),ROW(orderHistory[customer])),""),ROWS($A$15:A33)+$B$3)),INDEX(orderHistory[shipping_metho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YEAR(orderHistory[shipping_method]),$D$15,0)),MATCH(ROW(orderHistory[customer]),ROW(orderHistory[customer])),""),ROWS($A$15:A33)+$B$3))),IF($D$15="",INDEX(orderHistory[shipping_method],SMALL(IF(ISNUMBER(MATCH(orderHistory[customer],$D$9,0)*MATCH(orderHistory[status],$D$11,0)*MATCH(orderHistory[order_type],$D$13,0)),MATCH(ROW(orderHistory[customer]),ROW(orderHistory[customer])),""),ROWS($A$15:A33)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V28" s="460" t="str">
        <f t="array" ref="V28">IFERROR(IF($D$9="",IF($D$11="",IF($D$13="",IF($D$15="",INDEX(orderHistory[status],SMALL(MATCH(ROW(orderHistory[customer]),ROW(orderHistory[customer])),ROWS($A$15:A33)+$B$3)),INDEX(orderHistory[status],SMALL(IF(ISNUMBER(MATCH(YEAR(orderHistory[invoice_date]),$D$15,0)),MATCH(ROW(orderHistory[customer]),ROW(orderHistory[customer])),""),ROWS($A$15:A33)+$B$3))),IF($D$15="",INDEX(orderHistory[status],SMALL(IF(ISNUMBER(MATCH(orderHistory[order_type],$D$13,0)),MATCH(ROW(orderHistory[customer]),ROW(orderHistory[customer])),""),ROWS($A$15:A33)+$B$3)),INDEX(orderHistory[status],SMALL(IF(ISNUMBER(MATCH(orderHistory[order_type],$D$13,0)*MATCH(YEAR(orderHistory[invoice_date]),$D$15,0)),MATCH(ROW(orderHistory[customer]),ROW(orderHistory[customer])),""),ROWS($A$15:A33)+$B$3)))),IF($D$13="",IF($D$15="",INDEX(orderHistory[status],SMALL(IF(ISNUMBER(MATCH(orderHistory[status],$D$11,0)),MATCH(ROW(orderHistory[customer]),ROW(orderHistory[customer])),""),ROWS($A$15:A33)+$B$3)),INDEX(orderHistory[status],SMALL(IF(ISNUMBER(MATCH(orderHistory[status],$D$11,0)*MATCH(YEAR(orderHistory[invoice_date]),$D$15,0)),MATCH(ROW(orderHistory[customer]),ROW(orderHistory[customer])),""),ROWS($A$15:A33)+$B$3))),IF($D$15="",INDEX(orderHistory[status],SMALL(IF(ISNUMBER(MATCH(orderHistory[status],$D$11,0)*MATCH(orderHistory[order_type],$D$13,0)),MATCH(ROW(orderHistory[customer]),ROW(orderHistory[customer])),""),ROWS($A$15:A33)+$B$3)),INDEX(orderHistory[statu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tatus],SMALL(IF(ISNUMBER(MATCH(orderHistory[customer],$D$9,0)),MATCH(ROW(orderHistory[customer]),ROW(orderHistory[customer])),""),ROWS($A$15:A33)+$B$3)),INDEX(orderHistory[status],SMALL(IF(ISNUMBER(MATCH(orderHistory[customer],$D$9,0)*MATCH(YEAR(orderHistory[invoice_date]),$D$15,0)),MATCH(ROW(orderHistory[customer]),ROW(orderHistory[customer])),""),ROWS($A$15:A33)+$B$3))),IF($D$15="",INDEX(orderHistory[status],SMALL(IF(ISNUMBER(MATCH(orderHistory[customer],$D$9,0)*MATCH(orderHistory[order_type],$D$13,0)),MATCH(ROW(orderHistory[customer]),ROW(orderHistory[customer])),""),ROWS($A$15:A33)+$B$3)),INDEX(orderHistory[statu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YEAR(orderHistory[status]),$D$15,0)),MATCH(ROW(orderHistory[customer]),ROW(orderHistory[customer])),""),ROWS($A$15:A33)+$B$3))),IF($D$15="",INDEX(orderHistory[status],SMALL(IF(ISNUMBER(MATCH(orderHistory[customer],$D$9,0)*MATCH(orderHistory[status],$D$11,0)*MATCH(orderHistory[order_type],$D$13,0)),MATCH(ROW(orderHistory[customer]),ROW(orderHistory[customer])),""),ROWS($A$15:A33)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W28" s="75"/>
      <c r="AQ28" s="378"/>
      <c r="AR28" s="413"/>
      <c r="AS28" s="414"/>
      <c r="AT28" s="415"/>
      <c r="AU28" s="339"/>
      <c r="AW28" s="376"/>
      <c r="BB28" s="876"/>
      <c r="BC28" s="877"/>
      <c r="BD28" s="877"/>
      <c r="BE28" s="877"/>
      <c r="BF28" s="877"/>
      <c r="BG28" s="877"/>
      <c r="BH28" s="878"/>
      <c r="BJ28" s="339"/>
      <c r="BK28" s="366"/>
      <c r="BL28" s="367"/>
      <c r="BM28" s="368"/>
      <c r="BN28" s="367"/>
      <c r="BO28" s="368"/>
      <c r="BZ28" s="495"/>
      <c r="CA28" s="477" t="str">
        <f>IF(BZ28="","",INDEX(bhpc_data[description],MATCH(BZ28,bhpc_data[sku],0)))</f>
        <v/>
      </c>
      <c r="CB28" s="480"/>
      <c r="CC28" s="479"/>
      <c r="CD28" s="493"/>
      <c r="CE28" s="481"/>
      <c r="CF28" s="482"/>
      <c r="CG28" s="483" t="str">
        <f>IFERROR(ROUNDUP(CB28/INDEX(bhpc_data[units_per_carton],MATCH(BZ28,bhpc_data[sku],0)),0),"")</f>
        <v/>
      </c>
      <c r="CH28" s="484" t="str">
        <f>IFERROR(ROUNDUP(CD28/INDEX(bhpc_data[units_per_carton],MATCH(BZ28,bhpc_data[sku],0)),0),"")</f>
        <v/>
      </c>
      <c r="CI28" s="484" t="str">
        <f>IFERROR(ROUNDUP(CF28/INDEX(bhpc_data[units_per_carton],MATCH(BZ28,bhpc_data[sku])),0),"")</f>
        <v/>
      </c>
      <c r="CJ28" s="484" t="str">
        <f>IFERROR(((CB28+CD28+CF28)/INDEX(bhpc_data[units_per_carton],MATCH(BZ28,bhpc_data[sku],0)))*INDEX(bhpc_data[net_weight],MATCH(BZ28,bhpc_data[sku],0)),"")</f>
        <v/>
      </c>
      <c r="CK28" s="484" t="str">
        <f>IFERROR(((CB28+CD28+CF28)/INDEX(bhpc_data[units_per_carton],MATCH(BZ28,bhpc_data[sku],0)))*INDEX(bhpc_data[gross_weight],MATCH(BZ28,bhpc_data[sku],0)),"")</f>
        <v/>
      </c>
      <c r="CL28" s="485" t="str">
        <f>IFERROR((CB28+CD28+CF28)/INDEX(bhpc_data[units_per_carton],MATCH(BZ28,bhpc_data[sku],0))*INDEX(bhpc_data[lenght],MATCH(BZ28,bhpc_data[sku],0))*INDEX(bhpc_data[width],MATCH(BZ28,bhpc_data[sku],0))*INDEX(bhpc_data[height],MATCH(BZ28,bhpc_data[sku],0))/1000000000,"")</f>
        <v/>
      </c>
      <c r="CM28" s="486" t="str">
        <f>IFERROR(INDEX(bhpc_data[category],MATCH(BZ28,bhpc_data[sku],0)),"")</f>
        <v/>
      </c>
      <c r="CN28" s="486" t="str">
        <f>IFERROR(INDEX(bhpc_data[size1],MATCH(BZ28,bhpc_data[sku],0)),"")</f>
        <v/>
      </c>
      <c r="CO28" s="487" t="str">
        <f>IFERROR(INDEX(bhpc_data[hs_code],MATCH(BZ28,bhpc_data[sku],0)),"")</f>
        <v/>
      </c>
      <c r="CP28" s="482"/>
      <c r="CQ28" s="488" t="str">
        <f>IFERROR(IF(BZ28="","",IF($BX$15="SALE",INDEX(inventory[COSTO UNITARIO],MATCH(BZ28,inventory[ARTICOLO],0)),IF($BX$15="SAMPLING",INDEX(inventory[COSTO UNITARIO],MATCH(BZ28,inventory[ARTICOLO],0)),""))),"")</f>
        <v/>
      </c>
      <c r="CR28" s="488" t="str">
        <f t="shared" si="0"/>
        <v/>
      </c>
      <c r="CS28" s="489" t="str">
        <f t="shared" si="1"/>
        <v/>
      </c>
      <c r="CT28" s="573" t="str">
        <f t="shared" si="2"/>
        <v/>
      </c>
      <c r="CV28" s="85"/>
      <c r="CW28" s="81"/>
      <c r="CX28" s="81"/>
      <c r="CY28" s="89"/>
      <c r="CZ28" s="81"/>
      <c r="DA28" s="82"/>
      <c r="DH28" s="245"/>
      <c r="EE28" s="547" t="str" cm="1">
        <f t="array" ref="EE28">IFERROR(IF($EC$9="",IF($EC$11="",IF($EC$13="",INDEX(bhpc_data[sku],SMALL(MATCH(ROW(bhpc_data[sku]),ROW(bhpc_data[sku])),ROWS($A$15:A33)+$B$3)),INDEX(bhpc_data[sku],SMALL(IF(ISNUMBER(MATCH(bhpc_data[size1],$EC$13,0)),MATCH(ROW(bhpc_data[sku]),ROW(bhpc_data[sku])),""),ROWS($A$15:A33)+$B$3))),IF($EC$13="",INDEX(bhpc_data[sku],SMALL(IF(ISNUMBER(MATCH(bhpc_data[sex],$EC$11,0)),MATCH(ROW(bhpc_data[sku]),ROW(bhpc_data[sku])),""),ROWS($A$15:A33)+$B$3)),INDEX(bhpc_data[sku],SMALL(IF(ISNUMBER(MATCH(bhpc_data[sex],$EC$11,0)*MATCH(bhpc_data[size1],$EC$13,0)),MATCH(ROW(bhpc_data[sku]),ROW(bhpc_data[sku])),""),ROWS($A$15:A33)+$B$3)))),IF($EC$11="",IF($EC$13="",INDEX(bhpc_data[sku],SMALL(IF(ISNUMBER(MATCH(bhpc_data[category],$EC$9,0)),MATCH(ROW(bhpc_data[sku]),ROW(bhpc_data[sku])),""),ROWS($A$15:A33)+$B$3)),INDEX(bhpc_data[sku],SMALL(IF(ISNUMBER(MATCH(bhpc_data[category],$EC$9,0)*MATCH(bhpc_data[size1],$EC$13,0)),MATCH(ROW(bhpc_data[sku]),ROW(bhpc_data[sku])),""),ROWS($A$15:A33)+$B$3))),IF($EC$13="",INDEX(bhpc_data[sku],SMALL(IF(ISNUMBER(MATCH(bhpc_data[category],$EC$9,0)*MATCH(bhpc_data[sex],$EC$11,0)),MATCH(ROW(bhpc_data[sku]),ROW(bhpc_data[sku])),""),ROWS($A$15:A33)+$B$3)),INDEX(bhpc_data[sku],SMALL(IF(ISNUMBER(MATCH(bhpc_data[category],$EC$9,0)*MATCH(bhpc_data[sex],$EC$11,0)*MATCH(bhpc_data[size1],$EC$13,0)),MATCH(ROW(bhpc_data[sku]),ROW(bhpc_data[sku])),""),ROWS($A$15:A33)+$B$3))))),"")</f>
        <v>GS7022</v>
      </c>
      <c r="EF28" s="548" t="str" cm="1">
        <f t="array" ref="EF28">IFERROR(IF($EC$9="",IF($EC$11="",IF($EC$13="",INDEX(bhpc_data[description],SMALL(MATCH(ROW(bhpc_data[sku]),ROW(bhpc_data[sku])),ROWS($A$15:A33)+$B$3)),INDEX(bhpc_data[description],SMALL(IF(ISNUMBER(MATCH(bhpc_data[size1],$EC$13,0)),MATCH(ROW(bhpc_data[sku]),ROW(bhpc_data[sku])),""),ROWS($A$15:A33)+$B$3))),IF($EC$13="",INDEX(bhpc_data[description],SMALL(IF(ISNUMBER(MATCH(bhpc_data[sex],$EC$11,0)),MATCH(ROW(bhpc_data[sku]),ROW(bhpc_data[sku])),""),ROWS($A$15:A33)+$B$3)),INDEX(bhpc_data[description],SMALL(IF(ISNUMBER(MATCH(bhpc_data[sex],$EC$11,0)*MATCH(bhpc_data[size1],$EC$13,0)),MATCH(ROW(bhpc_data[sku]),ROW(bhpc_data[sku])),""),ROWS($A$15:A33)+$B$3)))),IF($EC$11="",IF($EC$13="",INDEX(bhpc_data[description],SMALL(IF(ISNUMBER(MATCH(bhpc_data[category],$EC$9,0)),MATCH(ROW(bhpc_data[sku]),ROW(bhpc_data[sku])),""),ROWS($A$15:A33)+$B$3)),INDEX(bhpc_data[description],SMALL(IF(ISNUMBER(MATCH(bhpc_data[category],$EC$9,0)*MATCH(bhpc_data[size1],$EC$13,0)),MATCH(ROW(bhpc_data[sku]),ROW(bhpc_data[sku])),""),ROWS($A$15:A33)+$B$3))),IF($EC$13="",INDEX(bhpc_data[description],SMALL(IF(ISNUMBER(MATCH(bhpc_data[category],$EC$9,0)*MATCH(bhpc_data[sex],$EC$11,0)),MATCH(ROW(bhpc_data[sku]),ROW(bhpc_data[sku])),""),ROWS($A$15:A33)+$B$3)),INDEX(bhpc_data[description],SMALL(IF(ISNUMBER(MATCH(bhpc_data[category],$EC$9,0)*MATCH(bhpc_data[sex],$EC$11,0)*MATCH(bhpc_data[size1],$EC$13,0)),MATCH(ROW(bhpc_data[sku]),ROW(bhpc_data[sku])),""),ROWS($A$15:A33)+$B$3))))),"")</f>
        <v>BHPC GIFT SET MEN #8 EDT50ML+DEO175ML+ROLLON50ML</v>
      </c>
      <c r="EG28" s="549">
        <f>IFERROR(IF('BHPC MANAGER'!$EE28="","",INDEX(inventory[ESISTENZA],MATCH('BHPC MANAGER'!$EE28,inventory[ARTICOLO],0))),0)</f>
        <v>310</v>
      </c>
      <c r="EH28" s="550">
        <v>-3</v>
      </c>
      <c r="EI28" s="550">
        <f t="shared" si="3"/>
        <v>307</v>
      </c>
      <c r="EJ28" s="551">
        <v>-72</v>
      </c>
      <c r="EK28" s="552">
        <f t="shared" si="4"/>
        <v>235</v>
      </c>
      <c r="FF28" s="331"/>
      <c r="FG28" s="331"/>
      <c r="FH28" s="331"/>
      <c r="FI28" s="331"/>
      <c r="FJ28" s="331"/>
      <c r="FK28" s="331"/>
      <c r="FL28" s="331"/>
      <c r="FM28" s="331"/>
      <c r="FN28" s="331"/>
      <c r="FO28" s="331"/>
      <c r="FP28" s="331"/>
      <c r="FQ28" s="331"/>
      <c r="FR28" s="331"/>
      <c r="FS28" s="331"/>
      <c r="FT28" s="331"/>
      <c r="FU28" s="331"/>
      <c r="FV28" s="331"/>
      <c r="FW28" s="331"/>
      <c r="FX28" s="331"/>
      <c r="FY28" s="331"/>
      <c r="FZ28" s="331"/>
      <c r="GA28" s="331"/>
      <c r="GB28" s="331"/>
      <c r="GC28" s="331"/>
      <c r="GD28" s="331"/>
      <c r="GE28" s="331"/>
      <c r="GF28" s="331"/>
      <c r="GG28" s="331"/>
      <c r="GH28" s="331"/>
      <c r="GI28" s="331"/>
      <c r="GJ28" s="331"/>
      <c r="GK28" s="331"/>
      <c r="GL28" s="331"/>
      <c r="GM28" s="331"/>
      <c r="GN28" s="331"/>
      <c r="GO28" s="331"/>
      <c r="GP28" s="331"/>
      <c r="GQ28" s="331"/>
      <c r="GR28" s="331"/>
      <c r="GS28" s="331"/>
      <c r="GT28" s="331"/>
      <c r="GU28" s="331"/>
      <c r="GV28" s="331"/>
      <c r="GW28" s="331"/>
      <c r="GX28" s="331"/>
      <c r="GY28" s="331"/>
      <c r="GZ28" s="331"/>
      <c r="HA28" s="331"/>
      <c r="HB28" s="331"/>
      <c r="HC28" s="331"/>
      <c r="HD28" s="331"/>
      <c r="HE28" s="331"/>
      <c r="HF28" s="331"/>
      <c r="HG28" s="331"/>
      <c r="HH28" s="331"/>
      <c r="HI28" s="331"/>
      <c r="HJ28" s="331"/>
      <c r="HK28" s="331"/>
      <c r="HL28" s="331"/>
      <c r="HM28" s="331"/>
      <c r="HN28" s="331"/>
      <c r="HO28" s="331"/>
      <c r="HP28" s="331"/>
      <c r="HQ28" s="331"/>
      <c r="HR28" s="331"/>
      <c r="HS28" s="331"/>
      <c r="HT28" s="331"/>
    </row>
    <row r="29" spans="1:228" ht="15" customHeight="1" x14ac:dyDescent="0.35">
      <c r="F29" s="96"/>
      <c r="G29" s="81" t="s">
        <v>1135</v>
      </c>
      <c r="H29" s="81"/>
      <c r="I29" s="81"/>
      <c r="J29" s="82"/>
      <c r="L29" s="452" t="str">
        <f t="array" ref="L29">IFERROR(IF($D$9="",IF($D$11="",IF($D$13="",IF($D$15="",INDEX(orderHistory[customer],SMALL(MATCH(ROW(orderHistory[customer]),ROW(orderHistory[customer])),ROWS($A$15:A34)+$B$3)),INDEX(orderHistory[customer],SMALL(IF(ISNUMBER(MATCH(YEAR(orderHistory[invoice_date]),$D$15,0)),MATCH(ROW(orderHistory[customer]),ROW(orderHistory[customer])),""),ROWS($A$15:A34)+$B$3))),IF($D$15="",INDEX(orderHistory[customer],SMALL(IF(ISNUMBER(MATCH(orderHistory[order_type],$D$13,0)),MATCH(ROW(orderHistory[customer]),ROW(orderHistory[customer])),""),ROWS($A$15:A34)+$B$3)),INDEX(orderHistory[customer],SMALL(IF(ISNUMBER(MATCH(orderHistory[order_type],$D$13,0)*MATCH(YEAR(orderHistory[invoice_date]),$D$15,0)),MATCH(ROW(orderHistory[customer]),ROW(orderHistory[customer])),""),ROWS($A$15:A34)+$B$3)))),IF($D$13="",IF($D$15="",INDEX(orderHistory[customer],SMALL(IF(ISNUMBER(MATCH(orderHistory[status],$D$11,0)),MATCH(ROW(orderHistory[customer]),ROW(orderHistory[customer])),""),ROWS($A$15:A34)+$B$3)),INDEX(orderHistory[customer],SMALL(IF(ISNUMBER(MATCH(orderHistory[status],$D$11,0)*MATCH(YEAR(orderHistory[invoice_date]),$D$15,0)),MATCH(ROW(orderHistory[customer]),ROW(orderHistory[customer])),""),ROWS($A$15:A34)+$B$3))),IF($D$15="",INDEX(orderHistory[customer],SMALL(IF(ISNUMBER(MATCH(orderHistory[status],$D$11,0)*MATCH(orderHistory[order_type],$D$13,0)),MATCH(ROW(orderHistory[customer]),ROW(orderHistory[customer])),""),ROWS($A$15:A34)+$B$3)),INDEX(orderHistory[customer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customer],SMALL(IF(ISNUMBER(MATCH(orderHistory[customer],$D$9,0)),MATCH(ROW(orderHistory[customer]),ROW(orderHistory[customer])),""),ROWS($A$15:A34)+$B$3)),INDEX(orderHistory[customer],SMALL(IF(ISNUMBER(MATCH(orderHistory[customer],$D$9,0)*MATCH(YEAR(orderHistory[invoice_date]),$D$15,0)),MATCH(ROW(orderHistory[customer]),ROW(orderHistory[customer])),""),ROWS($A$15:A34)+$B$3))),IF($D$15="",INDEX(orderHistory[customer],SMALL(IF(ISNUMBER(MATCH(orderHistory[customer],$D$9,0)*MATCH(orderHistory[order_type],$D$13,0)),MATCH(ROW(orderHistory[customer]),ROW(orderHistory[customer])),""),ROWS($A$15:A34)+$B$3)),INDEX(orderHistory[customer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YEAR(orderHistory[invoice_date]),$D$15,0)),MATCH(ROW(orderHistory[customer]),ROW(orderHistory[customer])),""),ROWS($A$15:A34)+$B$3))),IF($D$15="",INDEX(orderHistory[customer],SMALL(IF(ISNUMBER(MATCH(orderHistory[customer],$D$9,0)*MATCH(orderHistory[status],$D$11,0)*MATCH(orderHistory[order_type],$D$13,0)),MATCH(ROW(orderHistory[customer]),ROW(orderHistory[customer])),""),ROWS($A$15:A34)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M29" s="453" t="str">
        <f t="array" ref="M29">IFERROR(IF($D$9="",IF($D$11="",IF($D$13="",IF($D$15="",INDEX(orderHistory[order_no],SMALL(MATCH(ROW(orderHistory[customer]),ROW(orderHistory[customer])),ROWS($A$15:A34)+$B$3)),INDEX(orderHistory[order_no],SMALL(IF(ISNUMBER(MATCH(YEAR(orderHistory[invoice_date]),$D$15,0)),MATCH(ROW(orderHistory[customer]),ROW(orderHistory[customer])),""),ROWS($A$15:A34)+$B$3))),IF($D$15="",INDEX(orderHistory[order_no],SMALL(IF(ISNUMBER(MATCH(orderHistory[order_type],$D$13,0)),MATCH(ROW(orderHistory[customer]),ROW(orderHistory[customer])),""),ROWS($A$15:A34)+$B$3)),INDEX(orderHistory[order_no],SMALL(IF(ISNUMBER(MATCH(orderHistory[order_type],$D$13,0)*MATCH(YEAR(orderHistory[invoice_date]),$D$15,0)),MATCH(ROW(orderHistory[customer]),ROW(orderHistory[customer])),""),ROWS($A$15:A34)+$B$3)))),IF($D$13="",IF($D$15="",INDEX(orderHistory[order_no],SMALL(IF(ISNUMBER(MATCH(orderHistory[status],$D$11,0)),MATCH(ROW(orderHistory[customer]),ROW(orderHistory[customer])),""),ROWS($A$15:A34)+$B$3)),INDEX(orderHistory[order_no],SMALL(IF(ISNUMBER(MATCH(orderHistory[status],$D$11,0)*MATCH(YEAR(orderHistory[invoice_date]),$D$15,0)),MATCH(ROW(orderHistory[customer]),ROW(orderHistory[customer])),""),ROWS($A$15:A34)+$B$3))),IF($D$15="",INDEX(orderHistory[order_no],SMALL(IF(ISNUMBER(MATCH(orderHistory[status],$D$11,0)*MATCH(orderHistory[order_type],$D$13,0)),MATCH(ROW(orderHistory[customer]),ROW(orderHistory[customer])),""),ROWS($A$15:A34)+$B$3)),INDEX(orderHistory[order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no],SMALL(IF(ISNUMBER(MATCH(orderHistory[customer],$D$9,0)),MATCH(ROW(orderHistory[customer]),ROW(orderHistory[customer])),""),ROWS($A$15:A34)+$B$3)),INDEX(orderHistory[order_no],SMALL(IF(ISNUMBER(MATCH(orderHistory[customer],$D$9,0)*MATCH(YEAR(orderHistory[invoice_date]),$D$15,0)),MATCH(ROW(orderHistory[customer]),ROW(orderHistory[customer])),""),ROWS($A$15:A34)+$B$3))),IF($D$15="",INDEX(orderHistory[order_no],SMALL(IF(ISNUMBER(MATCH(orderHistory[customer],$D$9,0)*MATCH(orderHistory[order_type],$D$13,0)),MATCH(ROW(orderHistory[customer]),ROW(orderHistory[customer])),""),ROWS($A$15:A34)+$B$3)),INDEX(orderHistory[order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YEAR(orderHistory[invoice_date]),$D$15,0)),MATCH(ROW(orderHistory[customer]),ROW(orderHistory[customer])),""),ROWS($A$15:A34)+$B$3))),IF($D$15="",INDEX(orderHistory[order_no],SMALL(IF(ISNUMBER(MATCH(orderHistory[customer],$D$9,0)*MATCH(orderHistory[status],$D$11,0)*MATCH(orderHistory[order_type],$D$13,0)),MATCH(ROW(orderHistory[customer]),ROW(orderHistory[customer])),""),ROWS($A$15:A34)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N29" s="454" t="str">
        <f t="array" ref="N29">IFERROR(IF($D$9="",IF($D$11="",IF($D$13="",IF($D$15="",INDEX(orderHistory[order_type],SMALL(MATCH(ROW(orderHistory[customer]),ROW(orderHistory[customer])),ROWS($A$15:A34)+$B$3)),INDEX(orderHistory[order_type],SMALL(IF(ISNUMBER(MATCH(YEAR(orderHistory[invoice_date]),$D$15,0)),MATCH(ROW(orderHistory[customer]),ROW(orderHistory[customer])),""),ROWS($A$15:A34)+$B$3))),IF($D$15="",INDEX(orderHistory[order_type],SMALL(IF(ISNUMBER(MATCH(orderHistory[order_type],$D$13,0)),MATCH(ROW(orderHistory[customer]),ROW(orderHistory[customer])),""),ROWS($A$15:A34)+$B$3)),INDEX(orderHistory[order_type],SMALL(IF(ISNUMBER(MATCH(orderHistory[order_type],$D$13,0)*MATCH(YEAR(orderHistory[invoice_date]),$D$15,0)),MATCH(ROW(orderHistory[customer]),ROW(orderHistory[customer])),""),ROWS($A$15:A34)+$B$3)))),IF($D$13="",IF($D$15="",INDEX(orderHistory[order_type],SMALL(IF(ISNUMBER(MATCH(orderHistory[status],$D$11,0)),MATCH(ROW(orderHistory[customer]),ROW(orderHistory[customer])),""),ROWS($A$15:A34)+$B$3)),INDEX(orderHistory[order_type],SMALL(IF(ISNUMBER(MATCH(orderHistory[status],$D$11,0)*MATCH(YEAR(orderHistory[invoice_date]),$D$15,0)),MATCH(ROW(orderHistory[customer]),ROW(orderHistory[customer])),""),ROWS($A$15:A34)+$B$3))),IF($D$15="",INDEX(orderHistory[order_type],SMALL(IF(ISNUMBER(MATCH(orderHistory[status],$D$11,0)*MATCH(orderHistory[order_type],$D$13,0)),MATCH(ROW(orderHistory[customer]),ROW(orderHistory[customer])),""),ROWS($A$15:A34)+$B$3)),INDEX(orderHistory[order_typ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type],SMALL(IF(ISNUMBER(MATCH(orderHistory[customer],$D$9,0)),MATCH(ROW(orderHistory[customer]),ROW(orderHistory[customer])),""),ROWS($A$15:A34)+$B$3)),INDEX(orderHistory[order_type],SMALL(IF(ISNUMBER(MATCH(orderHistory[customer],$D$9,0)*MATCH(YEAR(orderHistory[invoice_date]),$D$15,0)),MATCH(ROW(orderHistory[customer]),ROW(orderHistory[customer])),""),ROWS($A$15:A34)+$B$3))),IF($D$15="",INDEX(orderHistory[order_type],SMALL(IF(ISNUMBER(MATCH(orderHistory[customer],$D$9,0)*MATCH(orderHistory[order_type],$D$13,0)),MATCH(ROW(orderHistory[customer]),ROW(orderHistory[customer])),""),ROWS($A$15:A34)+$B$3)),INDEX(orderHistory[order_typ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YEAR(orderHistory[invoice_date]),$D$15,0)),MATCH(ROW(orderHistory[customer]),ROW(orderHistory[customer])),""),ROWS($A$15:A34)+$B$3))),IF($D$15="",INDEX(orderHistory[order_type],SMALL(IF(ISNUMBER(MATCH(orderHistory[customer],$D$9,0)*MATCH(orderHistory[status],$D$11,0)*MATCH(orderHistory[order_type],$D$13,0)),MATCH(ROW(orderHistory[customer]),ROW(orderHistory[customer])),""),ROWS($A$15:A34)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O29" s="455" t="str">
        <f t="array" ref="O29">IFERROR(IF($D$9="",IF($D$11="",IF($D$13="",IF($D$15="",INDEX(orderHistory[order_date],SMALL(MATCH(ROW(orderHistory[customer]),ROW(orderHistory[customer])),ROWS($A$15:A34)+$B$3)),INDEX(orderHistory[order_date],SMALL(IF(ISNUMBER(MATCH(YEAR(orderHistory[invoice_date]),$D$15,0)),MATCH(ROW(orderHistory[customer]),ROW(orderHistory[customer])),""),ROWS($A$15:A34)+$B$3))),IF($D$15="",INDEX(orderHistory[order_date],SMALL(IF(ISNUMBER(MATCH(orderHistory[order_type],$D$13,0)),MATCH(ROW(orderHistory[customer]),ROW(orderHistory[customer])),""),ROWS($A$15:A34)+$B$3)),INDEX(orderHistory[order_date],SMALL(IF(ISNUMBER(MATCH(orderHistory[order_type],$D$13,0)*MATCH(YEAR(orderHistory[invoice_date]),$D$15,0)),MATCH(ROW(orderHistory[customer]),ROW(orderHistory[customer])),""),ROWS($A$15:A34)+$B$3)))),IF($D$13="",IF($D$15="",INDEX(orderHistory[order_date],SMALL(IF(ISNUMBER(MATCH(orderHistory[status],$D$11,0)),MATCH(ROW(orderHistory[customer]),ROW(orderHistory[customer])),""),ROWS($A$15:A34)+$B$3)),INDEX(orderHistory[order_date],SMALL(IF(ISNUMBER(MATCH(orderHistory[status],$D$11,0)*MATCH(YEAR(orderHistory[invoice_date]),$D$15,0)),MATCH(ROW(orderHistory[customer]),ROW(orderHistory[customer])),""),ROWS($A$15:A34)+$B$3))),IF($D$15="",INDEX(orderHistory[order_date],SMALL(IF(ISNUMBER(MATCH(orderHistory[status],$D$11,0)*MATCH(orderHistory[order_type],$D$13,0)),MATCH(ROW(orderHistory[customer]),ROW(orderHistory[customer])),""),ROWS($A$15:A34)+$B$3)),INDEX(orderHistory[order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date],SMALL(IF(ISNUMBER(MATCH(orderHistory[customer],$D$9,0)),MATCH(ROW(orderHistory[customer]),ROW(orderHistory[customer])),""),ROWS($A$15:A34)+$B$3)),INDEX(orderHistory[order_date],SMALL(IF(ISNUMBER(MATCH(orderHistory[customer],$D$9,0)*MATCH(YEAR(orderHistory[invoice_date]),$D$15,0)),MATCH(ROW(orderHistory[customer]),ROW(orderHistory[customer])),""),ROWS($A$15:A34)+$B$3))),IF($D$15="",INDEX(orderHistory[order_date],SMALL(IF(ISNUMBER(MATCH(orderHistory[customer],$D$9,0)*MATCH(orderHistory[order_type],$D$13,0)),MATCH(ROW(orderHistory[customer]),ROW(orderHistory[customer])),""),ROWS($A$15:A34)+$B$3)),INDEX(orderHistory[order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YEAR(orderHistory[invoice_date]),$D$15,0)),MATCH(ROW(orderHistory[customer]),ROW(orderHistory[customer])),""),ROWS($A$15:A34)+$B$3))),IF($D$15="",INDEX(orderHistory[order_date],SMALL(IF(ISNUMBER(MATCH(orderHistory[customer],$D$9,0)*MATCH(orderHistory[status],$D$11,0)*MATCH(orderHistory[order_type],$D$13,0)),MATCH(ROW(orderHistory[customer]),ROW(orderHistory[customer])),""),ROWS($A$15:A34)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P29" s="456" t="str">
        <f t="array" ref="P29">IFERROR(IF($D$9="",IF($D$11="",IF($D$13="",IF($D$15="",INDEX(orderHistory[invoice_no],SMALL(MATCH(ROW(orderHistory[customer]),ROW(orderHistory[customer])),ROWS($A$15:A34)+$B$3)),INDEX(orderHistory[invoice_no],SMALL(IF(ISNUMBER(MATCH(YEAR(orderHistory[invoice_date]),$D$15,0)),MATCH(ROW(orderHistory[customer]),ROW(orderHistory[customer])),""),ROWS($A$15:A34)+$B$3))),IF($D$15="",INDEX(orderHistory[invoice_no],SMALL(IF(ISNUMBER(MATCH(orderHistory[order_type],$D$13,0)),MATCH(ROW(orderHistory[customer]),ROW(orderHistory[customer])),""),ROWS($A$15:A34)+$B$3)),INDEX(orderHistory[invoice_no],SMALL(IF(ISNUMBER(MATCH(orderHistory[order_type],$D$13,0)*MATCH(YEAR(orderHistory[invoice_date]),$D$15,0)),MATCH(ROW(orderHistory[customer]),ROW(orderHistory[customer])),""),ROWS($A$15:A34)+$B$3)))),IF($D$13="",IF($D$15="",INDEX(orderHistory[invoice_no],SMALL(IF(ISNUMBER(MATCH(orderHistory[status],$D$11,0)),MATCH(ROW(orderHistory[customer]),ROW(orderHistory[customer])),""),ROWS($A$15:A34)+$B$3)),INDEX(orderHistory[invoice_no],SMALL(IF(ISNUMBER(MATCH(orderHistory[status],$D$11,0)*MATCH(YEAR(orderHistory[invoice_date]),$D$15,0)),MATCH(ROW(orderHistory[customer]),ROW(orderHistory[customer])),""),ROWS($A$15:A34)+$B$3))),IF($D$15="",INDEX(orderHistory[invoice_no],SMALL(IF(ISNUMBER(MATCH(orderHistory[status],$D$11,0)*MATCH(orderHistory[order_type],$D$13,0)),MATCH(ROW(orderHistory[customer]),ROW(orderHistory[customer])),""),ROWS($A$15:A34)+$B$3)),INDEX(orderHistory[invoice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no],SMALL(IF(ISNUMBER(MATCH(orderHistory[customer],$D$9,0)),MATCH(ROW(orderHistory[customer]),ROW(orderHistory[customer])),""),ROWS($A$15:A34)+$B$3)),INDEX(orderHistory[invoice_no],SMALL(IF(ISNUMBER(MATCH(orderHistory[customer],$D$9,0)*MATCH(YEAR(orderHistory[invoice_date]),$D$15,0)),MATCH(ROW(orderHistory[customer]),ROW(orderHistory[customer])),""),ROWS($A$15:A34)+$B$3))),IF($D$15="",INDEX(orderHistory[invoice_no],SMALL(IF(ISNUMBER(MATCH(orderHistory[customer],$D$9,0)*MATCH(orderHistory[order_type],$D$13,0)),MATCH(ROW(orderHistory[customer]),ROW(orderHistory[customer])),""),ROWS($A$15:A34)+$B$3)),INDEX(orderHistory[invoice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YEAR(orderHistory[invoice_date]),$D$15,0)),MATCH(ROW(orderHistory[customer]),ROW(orderHistory[customer])),""),ROWS($A$15:A34)+$B$3))),IF($D$15="",INDEX(orderHistory[invoice_no],SMALL(IF(ISNUMBER(MATCH(orderHistory[customer],$D$9,0)*MATCH(orderHistory[status],$D$11,0)*MATCH(orderHistory[order_type],$D$13,0)),MATCH(ROW(orderHistory[customer]),ROW(orderHistory[customer])),""),ROWS($A$15:A34)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Q29" s="457" t="str">
        <f t="array" ref="Q29">IFERROR(IF($D$9="",IF($D$11="",IF($D$13="",IF($D$15="",INDEX(orderHistory[invoice_date],SMALL(MATCH(ROW(orderHistory[customer]),ROW(orderHistory[customer])),ROWS($A$15:A34)+$B$3)),INDEX(orderHistory[invoice_date],SMALL(IF(ISNUMBER(MATCH(YEAR(orderHistory[invoice_date]),$D$15,0)),MATCH(ROW(orderHistory[customer]),ROW(orderHistory[customer])),""),ROWS($A$15:A34)+$B$3))),IF($D$15="",INDEX(orderHistory[invoice_date],SMALL(IF(ISNUMBER(MATCH(orderHistory[order_type],$D$13,0)),MATCH(ROW(orderHistory[customer]),ROW(orderHistory[customer])),""),ROWS($A$15:A34)+$B$3)),INDEX(orderHistory[invoice_date],SMALL(IF(ISNUMBER(MATCH(orderHistory[order_type],$D$13,0)*MATCH(YEAR(orderHistory[invoice_date]),$D$15,0)),MATCH(ROW(orderHistory[customer]),ROW(orderHistory[customer])),""),ROWS($A$15:A34)+$B$3)))),IF($D$13="",IF($D$15="",INDEX(orderHistory[invoice_date],SMALL(IF(ISNUMBER(MATCH(orderHistory[status],$D$11,0)),MATCH(ROW(orderHistory[customer]),ROW(orderHistory[customer])),""),ROWS($A$15:A34)+$B$3)),INDEX(orderHistory[invoice_date],SMALL(IF(ISNUMBER(MATCH(orderHistory[status],$D$11,0)*MATCH(YEAR(orderHistory[invoice_date]),$D$15,0)),MATCH(ROW(orderHistory[customer]),ROW(orderHistory[customer])),""),ROWS($A$15:A34)+$B$3))),IF($D$15="",INDEX(orderHistory[invoice_date],SMALL(IF(ISNUMBER(MATCH(orderHistory[status],$D$11,0)*MATCH(orderHistory[order_type],$D$13,0)),MATCH(ROW(orderHistory[customer]),ROW(orderHistory[customer])),""),ROWS($A$15:A34)+$B$3)),INDEX(orderHistory[invoice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date],SMALL(IF(ISNUMBER(MATCH(orderHistory[customer],$D$9,0)),MATCH(ROW(orderHistory[customer]),ROW(orderHistory[customer])),""),ROWS($A$15:A34)+$B$3)),INDEX(orderHistory[invoice_date],SMALL(IF(ISNUMBER(MATCH(orderHistory[customer],$D$9,0)*MATCH(YEAR(orderHistory[invoice_date]),$D$15,0)),MATCH(ROW(orderHistory[customer]),ROW(orderHistory[customer])),""),ROWS($A$15:A34)+$B$3))),IF($D$15="",INDEX(orderHistory[invoice_date],SMALL(IF(ISNUMBER(MATCH(orderHistory[customer],$D$9,0)*MATCH(orderHistory[order_type],$D$13,0)),MATCH(ROW(orderHistory[customer]),ROW(orderHistory[customer])),""),ROWS($A$15:A34)+$B$3)),INDEX(orderHistory[invoice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YEAR(orderHistory[invoice_date]),$D$15,0)),MATCH(ROW(orderHistory[customer]),ROW(orderHistory[customer])),""),ROWS($A$15:A34)+$B$3))),IF($D$15="",INDEX(orderHistory[invoice_date],SMALL(IF(ISNUMBER(MATCH(orderHistory[customer],$D$9,0)*MATCH(orderHistory[status],$D$11,0)*MATCH(orderHistory[order_type],$D$13,0)),MATCH(ROW(orderHistory[customer]),ROW(orderHistory[customer])),""),ROWS($A$15:A34)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R29" s="458" t="str">
        <f t="array" ref="R29">IFERROR(IF($D$9="",IF($D$11="",IF($D$13="",IF($D$15="",INDEX(orderHistory[inv_amount],SMALL(MATCH(ROW(orderHistory[customer]),ROW(orderHistory[customer])),ROWS($A$15:A34)+$B$3)),INDEX(orderHistory[inv_amount],SMALL(IF(ISNUMBER(MATCH(YEAR(orderHistory[invoice_date]),$D$15,0)),MATCH(ROW(orderHistory[customer]),ROW(orderHistory[customer])),""),ROWS($A$15:A34)+$B$3))),IF($D$15="",INDEX(orderHistory[inv_amount],SMALL(IF(ISNUMBER(MATCH(orderHistory[order_type],$D$13,0)),MATCH(ROW(orderHistory[customer]),ROW(orderHistory[customer])),""),ROWS($A$15:A34)+$B$3)),INDEX(orderHistory[inv_amount],SMALL(IF(ISNUMBER(MATCH(orderHistory[order_type],$D$13,0)*MATCH(YEAR(orderHistory[invoice_date]),$D$15,0)),MATCH(ROW(orderHistory[customer]),ROW(orderHistory[customer])),""),ROWS($A$15:A34)+$B$3)))),IF($D$13="",IF($D$15="",INDEX(orderHistory[inv_amount],SMALL(IF(ISNUMBER(MATCH(orderHistory[status],$D$11,0)),MATCH(ROW(orderHistory[customer]),ROW(orderHistory[customer])),""),ROWS($A$15:A34)+$B$3)),INDEX(orderHistory[inv_amount],SMALL(IF(ISNUMBER(MATCH(orderHistory[status],$D$11,0)*MATCH(YEAR(orderHistory[invoice_date]),$D$15,0)),MATCH(ROW(orderHistory[customer]),ROW(orderHistory[customer])),""),ROWS($A$15:A34)+$B$3))),IF($D$15="",INDEX(orderHistory[inv_amount],SMALL(IF(ISNUMBER(MATCH(orderHistory[status],$D$11,0)*MATCH(orderHistory[order_type],$D$13,0)),MATCH(ROW(orderHistory[customer]),ROW(orderHistory[customer])),""),ROWS($A$15:A34)+$B$3)),INDEX(orderHistory[inv_amount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_amount],SMALL(IF(ISNUMBER(MATCH(orderHistory[customer],$D$9,0)),MATCH(ROW(orderHistory[customer]),ROW(orderHistory[customer])),""),ROWS($A$15:A34)+$B$3)),INDEX(orderHistory[inv_amount],SMALL(IF(ISNUMBER(MATCH(orderHistory[customer],$D$9,0)*MATCH(YEAR(orderHistory[invoice_date]),$D$15,0)),MATCH(ROW(orderHistory[customer]),ROW(orderHistory[customer])),""),ROWS($A$15:A34)+$B$3))),IF($D$15="",INDEX(orderHistory[inv_amount],SMALL(IF(ISNUMBER(MATCH(orderHistory[customer],$D$9,0)*MATCH(orderHistory[order_type],$D$13,0)),MATCH(ROW(orderHistory[customer]),ROW(orderHistory[customer])),""),ROWS($A$15:A34)+$B$3)),INDEX(orderHistory[inv_amount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YEAR(orderHistory[inv_amount]),$D$15,0)),MATCH(ROW(orderHistory[customer]),ROW(orderHistory[customer])),""),ROWS($A$15:A34)+$B$3))),IF($D$15="",INDEX(orderHistory[inv_amount],SMALL(IF(ISNUMBER(MATCH(orderHistory[customer],$D$9,0)*MATCH(orderHistory[status],$D$11,0)*MATCH(orderHistory[order_type],$D$13,0)),MATCH(ROW(orderHistory[customer]),ROW(orderHistory[customer])),""),ROWS($A$15:A34)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S29" s="569" t="str">
        <f t="array" ref="S29">IFERROR(IF($D$9="",IF($D$11="",IF($D$13="",IF($D$15="",INDEX(orderHistory[lock_goods],SMALL(MATCH(ROW(orderHistory[customer]),ROW(orderHistory[customer])),ROWS($A$15:A34)+$B$3)),INDEX(orderHistory[lock_goods],SMALL(IF(ISNUMBER(MATCH(YEAR(orderHistory[invoice_date]),$D$15,0)),MATCH(ROW(orderHistory[customer]),ROW(orderHistory[customer])),""),ROWS($A$15:A34)+$B$3))),IF($D$15="",INDEX(orderHistory[lock_goods],SMALL(IF(ISNUMBER(MATCH(orderHistory[order_type],$D$13,0)),MATCH(ROW(orderHistory[customer]),ROW(orderHistory[customer])),""),ROWS($A$15:A34)+$B$3)),INDEX(orderHistory[lock_goods],SMALL(IF(ISNUMBER(MATCH(orderHistory[order_type],$D$13,0)*MATCH(YEAR(orderHistory[invoice_date]),$D$15,0)),MATCH(ROW(orderHistory[customer]),ROW(orderHistory[customer])),""),ROWS($A$15:A34)+$B$3)))),IF($D$13="",IF($D$15="",INDEX(orderHistory[lock_goods],SMALL(IF(ISNUMBER(MATCH(orderHistory[status],$D$11,0)),MATCH(ROW(orderHistory[customer]),ROW(orderHistory[customer])),""),ROWS($A$15:A34)+$B$3)),INDEX(orderHistory[lock_goods],SMALL(IF(ISNUMBER(MATCH(orderHistory[status],$D$11,0)*MATCH(YEAR(orderHistory[invoice_date]),$D$15,0)),MATCH(ROW(orderHistory[customer]),ROW(orderHistory[customer])),""),ROWS($A$15:A34)+$B$3))),IF($D$15="",INDEX(orderHistory[lock_goods],SMALL(IF(ISNUMBER(MATCH(orderHistory[status],$D$11,0)*MATCH(orderHistory[order_type],$D$13,0)),MATCH(ROW(orderHistory[customer]),ROW(orderHistory[customer])),""),ROWS($A$15:A34)+$B$3)),INDEX(orderHistory[lock_good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lock_goods],SMALL(IF(ISNUMBER(MATCH(orderHistory[customer],$D$9,0)),MATCH(ROW(orderHistory[customer]),ROW(orderHistory[customer])),""),ROWS($A$15:A34)+$B$3)),INDEX(orderHistory[lock_goods],SMALL(IF(ISNUMBER(MATCH(orderHistory[customer],$D$9,0)*MATCH(YEAR(orderHistory[invoice_date]),$D$15,0)),MATCH(ROW(orderHistory[customer]),ROW(orderHistory[customer])),""),ROWS($A$15:A34)+$B$3))),IF($D$15="",INDEX(orderHistory[lock_goods],SMALL(IF(ISNUMBER(MATCH(orderHistory[customer],$D$9,0)*MATCH(orderHistory[order_type],$D$13,0)),MATCH(ROW(orderHistory[customer]),ROW(orderHistory[customer])),""),ROWS($A$15:A34)+$B$3)),INDEX(orderHistory[lock_good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lock_goods],SMALL(IF(ISNUMBER(MATCH(orderHistory[customer],$D$9,0)*MATCH(orderHistory[status],$D$11,0)),MATCH(ROW(orderHistory[customer]),ROW(orderHistory[customer])),""),ROWS($A$15:A34)+$B$3)),INDEX(orderHistory[lock_goods],SMALL(IF(ISNUMBER(MATCH(orderHistory[customer],$D$9,0)*MATCH(orderHistory[status],$D$11,0)*MATCH(YEAR(orderHistory[payed]),$D$15,0)),MATCH(ROW(orderHistory[customer]),ROW(orderHistory[customer])),""),ROWS($A$15:A34)+$B$3))),IF($D$15="",INDEX(orderHistory[lock_goods],SMALL(IF(ISNUMBER(MATCH(orderHistory[customer],$D$9,0)*MATCH(orderHistory[status],$D$11,0)*MATCH(orderHistory[order_type],$D$13,0)),MATCH(ROW(orderHistory[customer]),ROW(orderHistory[customer])),""),ROWS($A$15:A34)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T29" s="459" t="str">
        <f t="array" ref="T29">IFERROR(IF($D$9="",IF($D$11="",IF($D$13="",IF($D$15="",INDEX(orderHistory[payed],SMALL(MATCH(ROW(orderHistory[customer]),ROW(orderHistory[customer])),ROWS($A$15:A34)+$B$3)),INDEX(orderHistory[payed],SMALL(IF(ISNUMBER(MATCH(YEAR(orderHistory[invoice_date]),$D$15,0)),MATCH(ROW(orderHistory[customer]),ROW(orderHistory[customer])),""),ROWS($A$15:A34)+$B$3))),IF($D$15="",INDEX(orderHistory[payed],SMALL(IF(ISNUMBER(MATCH(orderHistory[order_type],$D$13,0)),MATCH(ROW(orderHistory[customer]),ROW(orderHistory[customer])),""),ROWS($A$15:A34)+$B$3)),INDEX(orderHistory[payed],SMALL(IF(ISNUMBER(MATCH(orderHistory[order_type],$D$13,0)*MATCH(YEAR(orderHistory[invoice_date]),$D$15,0)),MATCH(ROW(orderHistory[customer]),ROW(orderHistory[customer])),""),ROWS($A$15:A34)+$B$3)))),IF($D$13="",IF($D$15="",INDEX(orderHistory[payed],SMALL(IF(ISNUMBER(MATCH(orderHistory[status],$D$11,0)),MATCH(ROW(orderHistory[customer]),ROW(orderHistory[customer])),""),ROWS($A$15:A34)+$B$3)),INDEX(orderHistory[payed],SMALL(IF(ISNUMBER(MATCH(orderHistory[status],$D$11,0)*MATCH(YEAR(orderHistory[invoice_date]),$D$15,0)),MATCH(ROW(orderHistory[customer]),ROW(orderHistory[customer])),""),ROWS($A$15:A34)+$B$3))),IF($D$15="",INDEX(orderHistory[payed],SMALL(IF(ISNUMBER(MATCH(orderHistory[status],$D$11,0)*MATCH(orderHistory[order_type],$D$13,0)),MATCH(ROW(orderHistory[customer]),ROW(orderHistory[customer])),""),ROWS($A$15:A34)+$B$3)),INDEX(orderHistory[paye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payed],SMALL(IF(ISNUMBER(MATCH(orderHistory[customer],$D$9,0)),MATCH(ROW(orderHistory[customer]),ROW(orderHistory[customer])),""),ROWS($A$15:A34)+$B$3)),INDEX(orderHistory[payed],SMALL(IF(ISNUMBER(MATCH(orderHistory[customer],$D$9,0)*MATCH(YEAR(orderHistory[invoice_date]),$D$15,0)),MATCH(ROW(orderHistory[customer]),ROW(orderHistory[customer])),""),ROWS($A$15:A34)+$B$3))),IF($D$15="",INDEX(orderHistory[payed],SMALL(IF(ISNUMBER(MATCH(orderHistory[customer],$D$9,0)*MATCH(orderHistory[order_type],$D$13,0)),MATCH(ROW(orderHistory[customer]),ROW(orderHistory[customer])),""),ROWS($A$15:A34)+$B$3)),INDEX(orderHistory[paye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YEAR(orderHistory[payed]),$D$15,0)),MATCH(ROW(orderHistory[customer]),ROW(orderHistory[customer])),""),ROWS($A$15:A34)+$B$3))),IF($D$15="",INDEX(orderHistory[payed],SMALL(IF(ISNUMBER(MATCH(orderHistory[customer],$D$9,0)*MATCH(orderHistory[status],$D$11,0)*MATCH(orderHistory[order_type],$D$13,0)),MATCH(ROW(orderHistory[customer]),ROW(orderHistory[customer])),""),ROWS($A$15:A34)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U29" s="454" t="str">
        <f t="array" ref="U29">IFERROR(IF($D$9="",IF($D$11="",IF($D$13="",IF($D$15="",INDEX(orderHistory[shipping_method],SMALL(MATCH(ROW(orderHistory[customer]),ROW(orderHistory[customer])),ROWS($A$15:A34)+$B$3)),INDEX(orderHistory[shipping_method],SMALL(IF(ISNUMBER(MATCH(YEAR(orderHistory[invoice_date]),$D$15,0)),MATCH(ROW(orderHistory[customer]),ROW(orderHistory[customer])),""),ROWS($A$15:A34)+$B$3))),IF($D$15="",INDEX(orderHistory[shipping_method],SMALL(IF(ISNUMBER(MATCH(orderHistory[order_type],$D$13,0)),MATCH(ROW(orderHistory[customer]),ROW(orderHistory[customer])),""),ROWS($A$15:A34)+$B$3)),INDEX(orderHistory[shipping_method],SMALL(IF(ISNUMBER(MATCH(orderHistory[order_type],$D$13,0)*MATCH(YEAR(orderHistory[invoice_date]),$D$15,0)),MATCH(ROW(orderHistory[customer]),ROW(orderHistory[customer])),""),ROWS($A$15:A34)+$B$3)))),IF($D$13="",IF($D$15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YEAR(orderHistory[invoice_date]),$D$15,0)),MATCH(ROW(orderHistory[customer]),ROW(orderHistory[customer])),""),ROWS($A$15:A34)+$B$3))),IF($D$15="",INDEX(orderHistory[shipping_method],SMALL(IF(ISNUMBER(MATCH(orderHistory[status],$D$11,0)*MATCH(orderHistory[order_type],$D$13,0)),MATCH(ROW(orderHistory[customer]),ROW(orderHistory[customer])),""),ROWS($A$15:A34)+$B$3)),INDEX(orderHistory[shipping_metho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YEAR(orderHistory[invoice_date]),$D$15,0)),MATCH(ROW(orderHistory[customer]),ROW(orderHistory[customer])),""),ROWS($A$15:A34)+$B$3))),IF($D$15="",INDEX(orderHistory[shipping_method],SMALL(IF(ISNUMBER(MATCH(orderHistory[customer],$D$9,0)*MATCH(orderHistory[order_type],$D$13,0)),MATCH(ROW(orderHistory[customer]),ROW(orderHistory[customer])),""),ROWS($A$15:A34)+$B$3)),INDEX(orderHistory[shipping_metho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YEAR(orderHistory[shipping_method]),$D$15,0)),MATCH(ROW(orderHistory[customer]),ROW(orderHistory[customer])),""),ROWS($A$15:A34)+$B$3))),IF($D$15="",INDEX(orderHistory[shipping_method],SMALL(IF(ISNUMBER(MATCH(orderHistory[customer],$D$9,0)*MATCH(orderHistory[status],$D$11,0)*MATCH(orderHistory[order_type],$D$13,0)),MATCH(ROW(orderHistory[customer]),ROW(orderHistory[customer])),""),ROWS($A$15:A34)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V29" s="460" t="str">
        <f t="array" ref="V29">IFERROR(IF($D$9="",IF($D$11="",IF($D$13="",IF($D$15="",INDEX(orderHistory[status],SMALL(MATCH(ROW(orderHistory[customer]),ROW(orderHistory[customer])),ROWS($A$15:A34)+$B$3)),INDEX(orderHistory[status],SMALL(IF(ISNUMBER(MATCH(YEAR(orderHistory[invoice_date]),$D$15,0)),MATCH(ROW(orderHistory[customer]),ROW(orderHistory[customer])),""),ROWS($A$15:A34)+$B$3))),IF($D$15="",INDEX(orderHistory[status],SMALL(IF(ISNUMBER(MATCH(orderHistory[order_type],$D$13,0)),MATCH(ROW(orderHistory[customer]),ROW(orderHistory[customer])),""),ROWS($A$15:A34)+$B$3)),INDEX(orderHistory[status],SMALL(IF(ISNUMBER(MATCH(orderHistory[order_type],$D$13,0)*MATCH(YEAR(orderHistory[invoice_date]),$D$15,0)),MATCH(ROW(orderHistory[customer]),ROW(orderHistory[customer])),""),ROWS($A$15:A34)+$B$3)))),IF($D$13="",IF($D$15="",INDEX(orderHistory[status],SMALL(IF(ISNUMBER(MATCH(orderHistory[status],$D$11,0)),MATCH(ROW(orderHistory[customer]),ROW(orderHistory[customer])),""),ROWS($A$15:A34)+$B$3)),INDEX(orderHistory[status],SMALL(IF(ISNUMBER(MATCH(orderHistory[status],$D$11,0)*MATCH(YEAR(orderHistory[invoice_date]),$D$15,0)),MATCH(ROW(orderHistory[customer]),ROW(orderHistory[customer])),""),ROWS($A$15:A34)+$B$3))),IF($D$15="",INDEX(orderHistory[status],SMALL(IF(ISNUMBER(MATCH(orderHistory[status],$D$11,0)*MATCH(orderHistory[order_type],$D$13,0)),MATCH(ROW(orderHistory[customer]),ROW(orderHistory[customer])),""),ROWS($A$15:A34)+$B$3)),INDEX(orderHistory[statu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tatus],SMALL(IF(ISNUMBER(MATCH(orderHistory[customer],$D$9,0)),MATCH(ROW(orderHistory[customer]),ROW(orderHistory[customer])),""),ROWS($A$15:A34)+$B$3)),INDEX(orderHistory[status],SMALL(IF(ISNUMBER(MATCH(orderHistory[customer],$D$9,0)*MATCH(YEAR(orderHistory[invoice_date]),$D$15,0)),MATCH(ROW(orderHistory[customer]),ROW(orderHistory[customer])),""),ROWS($A$15:A34)+$B$3))),IF($D$15="",INDEX(orderHistory[status],SMALL(IF(ISNUMBER(MATCH(orderHistory[customer],$D$9,0)*MATCH(orderHistory[order_type],$D$13,0)),MATCH(ROW(orderHistory[customer]),ROW(orderHistory[customer])),""),ROWS($A$15:A34)+$B$3)),INDEX(orderHistory[statu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YEAR(orderHistory[status]),$D$15,0)),MATCH(ROW(orderHistory[customer]),ROW(orderHistory[customer])),""),ROWS($A$15:A34)+$B$3))),IF($D$15="",INDEX(orderHistory[status],SMALL(IF(ISNUMBER(MATCH(orderHistory[customer],$D$9,0)*MATCH(orderHistory[status],$D$11,0)*MATCH(orderHistory[order_type],$D$13,0)),MATCH(ROW(orderHistory[customer]),ROW(orderHistory[customer])),""),ROWS($A$15:A34)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W29" s="75"/>
      <c r="AQ29" s="378"/>
      <c r="AR29" s="413"/>
      <c r="AS29" s="416"/>
      <c r="AT29" s="417"/>
      <c r="AU29" s="339"/>
      <c r="AW29" s="376"/>
      <c r="AX29" s="865"/>
      <c r="AY29" s="866"/>
      <c r="BB29" s="876"/>
      <c r="BC29" s="877"/>
      <c r="BD29" s="877"/>
      <c r="BE29" s="877"/>
      <c r="BF29" s="877"/>
      <c r="BG29" s="877"/>
      <c r="BH29" s="878"/>
      <c r="BJ29" s="339"/>
      <c r="BK29" s="366"/>
      <c r="BL29" s="367"/>
      <c r="BM29" s="368"/>
      <c r="BN29" s="367"/>
      <c r="BO29" s="368"/>
      <c r="BZ29" s="495"/>
      <c r="CA29" s="477" t="str">
        <f>IF(BZ29="","",INDEX(bhpc_data[description],MATCH(BZ29,bhpc_data[sku],0)))</f>
        <v/>
      </c>
      <c r="CB29" s="478"/>
      <c r="CC29" s="490"/>
      <c r="CD29" s="494"/>
      <c r="CE29" s="481"/>
      <c r="CF29" s="482"/>
      <c r="CG29" s="483" t="str">
        <f>IFERROR(ROUNDUP(CB29/INDEX(bhpc_data[units_per_carton],MATCH(BZ29,bhpc_data[sku],0)),0),"")</f>
        <v/>
      </c>
      <c r="CH29" s="484" t="str">
        <f>IFERROR(ROUNDUP(CD29/INDEX(bhpc_data[units_per_carton],MATCH(BZ29,bhpc_data[sku],0)),0),"")</f>
        <v/>
      </c>
      <c r="CI29" s="484" t="str">
        <f>IFERROR(ROUNDUP(CF29/INDEX(bhpc_data[units_per_carton],MATCH(BZ29,bhpc_data[sku])),0),"")</f>
        <v/>
      </c>
      <c r="CJ29" s="484" t="str">
        <f>IFERROR(((CB29+CD29+CF29)/INDEX(bhpc_data[units_per_carton],MATCH(BZ29,bhpc_data[sku],0)))*INDEX(bhpc_data[net_weight],MATCH(BZ29,bhpc_data[sku],0)),"")</f>
        <v/>
      </c>
      <c r="CK29" s="484" t="str">
        <f>IFERROR(((CB29+CD29+CF29)/INDEX(bhpc_data[units_per_carton],MATCH(BZ29,bhpc_data[sku],0)))*INDEX(bhpc_data[gross_weight],MATCH(BZ29,bhpc_data[sku],0)),"")</f>
        <v/>
      </c>
      <c r="CL29" s="485" t="str">
        <f>IFERROR((CB29+CD29+CF29)/INDEX(bhpc_data[units_per_carton],MATCH(BZ29,bhpc_data[sku],0))*INDEX(bhpc_data[lenght],MATCH(BZ29,bhpc_data[sku],0))*INDEX(bhpc_data[width],MATCH(BZ29,bhpc_data[sku],0))*INDEX(bhpc_data[height],MATCH(BZ29,bhpc_data[sku],0))/1000000000,"")</f>
        <v/>
      </c>
      <c r="CM29" s="486" t="str">
        <f>IFERROR(INDEX(bhpc_data[category],MATCH(BZ29,bhpc_data[sku],0)),"")</f>
        <v/>
      </c>
      <c r="CN29" s="486" t="str">
        <f>IFERROR(INDEX(bhpc_data[size1],MATCH(BZ29,bhpc_data[sku],0)),"")</f>
        <v/>
      </c>
      <c r="CO29" s="487" t="str">
        <f>IFERROR(INDEX(bhpc_data[hs_code],MATCH(BZ29,bhpc_data[sku],0)),"")</f>
        <v/>
      </c>
      <c r="CP29" s="482"/>
      <c r="CQ29" s="492" t="str">
        <f>IFERROR(IF(BZ29="","",IF($BX$15="SALE",INDEX(inventory[COSTO UNITARIO],MATCH(BZ29,inventory[ARTICOLO],0)),IF($BX$15="SAMPLING",INDEX(inventory[COSTO UNITARIO],MATCH(BZ29,inventory[ARTICOLO],0)),""))),"")</f>
        <v/>
      </c>
      <c r="CR29" s="492" t="str">
        <f t="shared" si="0"/>
        <v/>
      </c>
      <c r="CS29" s="489" t="str">
        <f t="shared" si="1"/>
        <v/>
      </c>
      <c r="CT29" s="573" t="str">
        <f t="shared" si="2"/>
        <v/>
      </c>
      <c r="CV29" s="85"/>
      <c r="CW29" s="89" t="s">
        <v>1152</v>
      </c>
      <c r="CX29" s="560" t="e">
        <f>IF(INDEX(orderHistory[status],MATCH($BX$11,orderHistory[order_no],0))=0,"",INDEX(orderHistory[status],MATCH($BX$11,orderHistory[order_no],0)))</f>
        <v>#N/A</v>
      </c>
      <c r="CY29" s="117"/>
      <c r="CZ29" s="117"/>
      <c r="DA29" s="82"/>
      <c r="DH29" s="245"/>
      <c r="EE29" s="541" t="str" cm="1">
        <f t="array" ref="EE29">IFERROR(IF($EC$9="",IF($EC$11="",IF($EC$13="",INDEX(bhpc_data[sku],SMALL(MATCH(ROW(bhpc_data[sku]),ROW(bhpc_data[sku])),ROWS($A$15:A34)+$B$3)),INDEX(bhpc_data[sku],SMALL(IF(ISNUMBER(MATCH(bhpc_data[size1],$EC$13,0)),MATCH(ROW(bhpc_data[sku]),ROW(bhpc_data[sku])),""),ROWS($A$15:A34)+$B$3))),IF($EC$13="",INDEX(bhpc_data[sku],SMALL(IF(ISNUMBER(MATCH(bhpc_data[sex],$EC$11,0)),MATCH(ROW(bhpc_data[sku]),ROW(bhpc_data[sku])),""),ROWS($A$15:A34)+$B$3)),INDEX(bhpc_data[sku],SMALL(IF(ISNUMBER(MATCH(bhpc_data[sex],$EC$11,0)*MATCH(bhpc_data[size1],$EC$13,0)),MATCH(ROW(bhpc_data[sku]),ROW(bhpc_data[sku])),""),ROWS($A$15:A34)+$B$3)))),IF($EC$11="",IF($EC$13="",INDEX(bhpc_data[sku],SMALL(IF(ISNUMBER(MATCH(bhpc_data[category],$EC$9,0)),MATCH(ROW(bhpc_data[sku]),ROW(bhpc_data[sku])),""),ROWS($A$15:A34)+$B$3)),INDEX(bhpc_data[sku],SMALL(IF(ISNUMBER(MATCH(bhpc_data[category],$EC$9,0)*MATCH(bhpc_data[size1],$EC$13,0)),MATCH(ROW(bhpc_data[sku]),ROW(bhpc_data[sku])),""),ROWS($A$15:A34)+$B$3))),IF($EC$13="",INDEX(bhpc_data[sku],SMALL(IF(ISNUMBER(MATCH(bhpc_data[category],$EC$9,0)*MATCH(bhpc_data[sex],$EC$11,0)),MATCH(ROW(bhpc_data[sku]),ROW(bhpc_data[sku])),""),ROWS($A$15:A34)+$B$3)),INDEX(bhpc_data[sku],SMALL(IF(ISNUMBER(MATCH(bhpc_data[category],$EC$9,0)*MATCH(bhpc_data[sex],$EC$11,0)*MATCH(bhpc_data[size1],$EC$13,0)),MATCH(ROW(bhpc_data[sku]),ROW(bhpc_data[sku])),""),ROWS($A$15:A34)+$B$3))))),"")</f>
        <v>GS7023</v>
      </c>
      <c r="EF29" s="542" t="str" cm="1">
        <f t="array" ref="EF29">IFERROR(IF($EC$9="",IF($EC$11="",IF($EC$13="",INDEX(bhpc_data[description],SMALL(MATCH(ROW(bhpc_data[sku]),ROW(bhpc_data[sku])),ROWS($A$15:A34)+$B$3)),INDEX(bhpc_data[description],SMALL(IF(ISNUMBER(MATCH(bhpc_data[size1],$EC$13,0)),MATCH(ROW(bhpc_data[sku]),ROW(bhpc_data[sku])),""),ROWS($A$15:A34)+$B$3))),IF($EC$13="",INDEX(bhpc_data[description],SMALL(IF(ISNUMBER(MATCH(bhpc_data[sex],$EC$11,0)),MATCH(ROW(bhpc_data[sku]),ROW(bhpc_data[sku])),""),ROWS($A$15:A34)+$B$3)),INDEX(bhpc_data[description],SMALL(IF(ISNUMBER(MATCH(bhpc_data[sex],$EC$11,0)*MATCH(bhpc_data[size1],$EC$13,0)),MATCH(ROW(bhpc_data[sku]),ROW(bhpc_data[sku])),""),ROWS($A$15:A34)+$B$3)))),IF($EC$11="",IF($EC$13="",INDEX(bhpc_data[description],SMALL(IF(ISNUMBER(MATCH(bhpc_data[category],$EC$9,0)),MATCH(ROW(bhpc_data[sku]),ROW(bhpc_data[sku])),""),ROWS($A$15:A34)+$B$3)),INDEX(bhpc_data[description],SMALL(IF(ISNUMBER(MATCH(bhpc_data[category],$EC$9,0)*MATCH(bhpc_data[size1],$EC$13,0)),MATCH(ROW(bhpc_data[sku]),ROW(bhpc_data[sku])),""),ROWS($A$15:A34)+$B$3))),IF($EC$13="",INDEX(bhpc_data[description],SMALL(IF(ISNUMBER(MATCH(bhpc_data[category],$EC$9,0)*MATCH(bhpc_data[sex],$EC$11,0)),MATCH(ROW(bhpc_data[sku]),ROW(bhpc_data[sku])),""),ROWS($A$15:A34)+$B$3)),INDEX(bhpc_data[description],SMALL(IF(ISNUMBER(MATCH(bhpc_data[category],$EC$9,0)*MATCH(bhpc_data[sex],$EC$11,0)*MATCH(bhpc_data[size1],$EC$13,0)),MATCH(ROW(bhpc_data[sku]),ROW(bhpc_data[sku])),""),ROWS($A$15:A34)+$B$3))))),"")</f>
        <v>BHPC GIFT SET MEN #2 EDT50ML+DEO175ML+ROLLON50ML</v>
      </c>
      <c r="EG29" s="543">
        <f>IFERROR(IF('BHPC MANAGER'!$EE29="","",INDEX(inventory[ESISTENZA],MATCH('BHPC MANAGER'!$EE29,inventory[ARTICOLO],0))),0)</f>
        <v>12</v>
      </c>
      <c r="EH29" s="544">
        <v>-3</v>
      </c>
      <c r="EI29" s="544">
        <f t="shared" si="3"/>
        <v>9</v>
      </c>
      <c r="EJ29" s="545">
        <v>-72</v>
      </c>
      <c r="EK29" s="546">
        <f t="shared" si="4"/>
        <v>-63</v>
      </c>
      <c r="FF29" s="331"/>
      <c r="FG29" s="331"/>
      <c r="FH29" s="331"/>
      <c r="FI29" s="331"/>
      <c r="FJ29" s="331"/>
      <c r="FK29" s="331"/>
      <c r="FL29" s="331"/>
      <c r="FM29" s="331"/>
      <c r="FN29" s="331"/>
      <c r="FO29" s="331"/>
      <c r="FP29" s="331"/>
      <c r="FQ29" s="331"/>
      <c r="FR29" s="331"/>
      <c r="FS29" s="331"/>
      <c r="FT29" s="331"/>
      <c r="FU29" s="331"/>
      <c r="FV29" s="331"/>
      <c r="FW29" s="331"/>
      <c r="FX29" s="331"/>
      <c r="FY29" s="331"/>
      <c r="FZ29" s="331"/>
      <c r="GA29" s="331"/>
      <c r="GB29" s="331"/>
      <c r="GC29" s="331"/>
      <c r="GD29" s="331"/>
      <c r="GE29" s="331"/>
      <c r="GF29" s="331"/>
      <c r="GG29" s="331"/>
      <c r="GH29" s="331"/>
      <c r="GI29" s="331"/>
      <c r="GJ29" s="331"/>
      <c r="GK29" s="331"/>
      <c r="GL29" s="331"/>
      <c r="GM29" s="331"/>
      <c r="GN29" s="331"/>
      <c r="GO29" s="331"/>
      <c r="GP29" s="331"/>
      <c r="GQ29" s="331"/>
      <c r="GR29" s="331"/>
      <c r="GS29" s="331"/>
      <c r="GT29" s="331"/>
      <c r="GU29" s="331"/>
      <c r="GV29" s="331"/>
      <c r="GW29" s="331"/>
      <c r="GX29" s="331"/>
      <c r="GY29" s="331"/>
      <c r="GZ29" s="331"/>
      <c r="HA29" s="331"/>
      <c r="HB29" s="331"/>
      <c r="HC29" s="331"/>
      <c r="HD29" s="331"/>
      <c r="HE29" s="331"/>
      <c r="HF29" s="331"/>
      <c r="HG29" s="331"/>
      <c r="HH29" s="331"/>
      <c r="HI29" s="331"/>
      <c r="HJ29" s="331"/>
      <c r="HK29" s="331"/>
      <c r="HL29" s="331"/>
      <c r="HM29" s="331"/>
      <c r="HN29" s="331"/>
      <c r="HO29" s="331"/>
      <c r="HP29" s="331"/>
      <c r="HQ29" s="331"/>
      <c r="HR29" s="331"/>
      <c r="HS29" s="331"/>
      <c r="HT29" s="331"/>
    </row>
    <row r="30" spans="1:228" ht="15" customHeight="1" x14ac:dyDescent="0.35">
      <c r="F30" s="96"/>
      <c r="G30" s="847" t="str">
        <f>IFERROR(INDEX(orderHistory[order_notes],MATCH(B4,orderHistory[order_no],0)),"")</f>
        <v/>
      </c>
      <c r="H30" s="848"/>
      <c r="I30" s="849"/>
      <c r="J30" s="82"/>
      <c r="L30" s="452" t="str">
        <f t="array" ref="L30">IFERROR(IF($D$9="",IF($D$11="",IF($D$13="",IF($D$15="",INDEX(orderHistory[customer],SMALL(MATCH(ROW(orderHistory[customer]),ROW(orderHistory[customer])),ROWS($A$15:A35)+$B$3)),INDEX(orderHistory[customer],SMALL(IF(ISNUMBER(MATCH(YEAR(orderHistory[invoice_date]),$D$15,0)),MATCH(ROW(orderHistory[customer]),ROW(orderHistory[customer])),""),ROWS($A$15:A35)+$B$3))),IF($D$15="",INDEX(orderHistory[customer],SMALL(IF(ISNUMBER(MATCH(orderHistory[order_type],$D$13,0)),MATCH(ROW(orderHistory[customer]),ROW(orderHistory[customer])),""),ROWS($A$15:A35)+$B$3)),INDEX(orderHistory[customer],SMALL(IF(ISNUMBER(MATCH(orderHistory[order_type],$D$13,0)*MATCH(YEAR(orderHistory[invoice_date]),$D$15,0)),MATCH(ROW(orderHistory[customer]),ROW(orderHistory[customer])),""),ROWS($A$15:A35)+$B$3)))),IF($D$13="",IF($D$15="",INDEX(orderHistory[customer],SMALL(IF(ISNUMBER(MATCH(orderHistory[status],$D$11,0)),MATCH(ROW(orderHistory[customer]),ROW(orderHistory[customer])),""),ROWS($A$15:A35)+$B$3)),INDEX(orderHistory[customer],SMALL(IF(ISNUMBER(MATCH(orderHistory[status],$D$11,0)*MATCH(YEAR(orderHistory[invoice_date]),$D$15,0)),MATCH(ROW(orderHistory[customer]),ROW(orderHistory[customer])),""),ROWS($A$15:A35)+$B$3))),IF($D$15="",INDEX(orderHistory[customer],SMALL(IF(ISNUMBER(MATCH(orderHistory[status],$D$11,0)*MATCH(orderHistory[order_type],$D$13,0)),MATCH(ROW(orderHistory[customer]),ROW(orderHistory[customer])),""),ROWS($A$15:A35)+$B$3)),INDEX(orderHistory[customer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customer],SMALL(IF(ISNUMBER(MATCH(orderHistory[customer],$D$9,0)),MATCH(ROW(orderHistory[customer]),ROW(orderHistory[customer])),""),ROWS($A$15:A35)+$B$3)),INDEX(orderHistory[customer],SMALL(IF(ISNUMBER(MATCH(orderHistory[customer],$D$9,0)*MATCH(YEAR(orderHistory[invoice_date]),$D$15,0)),MATCH(ROW(orderHistory[customer]),ROW(orderHistory[customer])),""),ROWS($A$15:A35)+$B$3))),IF($D$15="",INDEX(orderHistory[customer],SMALL(IF(ISNUMBER(MATCH(orderHistory[customer],$D$9,0)*MATCH(orderHistory[order_type],$D$13,0)),MATCH(ROW(orderHistory[customer]),ROW(orderHistory[customer])),""),ROWS($A$15:A35)+$B$3)),INDEX(orderHistory[customer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YEAR(orderHistory[invoice_date]),$D$15,0)),MATCH(ROW(orderHistory[customer]),ROW(orderHistory[customer])),""),ROWS($A$15:A35)+$B$3))),IF($D$15="",INDEX(orderHistory[customer],SMALL(IF(ISNUMBER(MATCH(orderHistory[customer],$D$9,0)*MATCH(orderHistory[status],$D$11,0)*MATCH(orderHistory[order_type],$D$13,0)),MATCH(ROW(orderHistory[customer]),ROW(orderHistory[customer])),""),ROWS($A$15:A35)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M30" s="453" t="str">
        <f t="array" ref="M30">IFERROR(IF($D$9="",IF($D$11="",IF($D$13="",IF($D$15="",INDEX(orderHistory[order_no],SMALL(MATCH(ROW(orderHistory[customer]),ROW(orderHistory[customer])),ROWS($A$15:A35)+$B$3)),INDEX(orderHistory[order_no],SMALL(IF(ISNUMBER(MATCH(YEAR(orderHistory[invoice_date]),$D$15,0)),MATCH(ROW(orderHistory[customer]),ROW(orderHistory[customer])),""),ROWS($A$15:A35)+$B$3))),IF($D$15="",INDEX(orderHistory[order_no],SMALL(IF(ISNUMBER(MATCH(orderHistory[order_type],$D$13,0)),MATCH(ROW(orderHistory[customer]),ROW(orderHistory[customer])),""),ROWS($A$15:A35)+$B$3)),INDEX(orderHistory[order_no],SMALL(IF(ISNUMBER(MATCH(orderHistory[order_type],$D$13,0)*MATCH(YEAR(orderHistory[invoice_date]),$D$15,0)),MATCH(ROW(orderHistory[customer]),ROW(orderHistory[customer])),""),ROWS($A$15:A35)+$B$3)))),IF($D$13="",IF($D$15="",INDEX(orderHistory[order_no],SMALL(IF(ISNUMBER(MATCH(orderHistory[status],$D$11,0)),MATCH(ROW(orderHistory[customer]),ROW(orderHistory[customer])),""),ROWS($A$15:A35)+$B$3)),INDEX(orderHistory[order_no],SMALL(IF(ISNUMBER(MATCH(orderHistory[status],$D$11,0)*MATCH(YEAR(orderHistory[invoice_date]),$D$15,0)),MATCH(ROW(orderHistory[customer]),ROW(orderHistory[customer])),""),ROWS($A$15:A35)+$B$3))),IF($D$15="",INDEX(orderHistory[order_no],SMALL(IF(ISNUMBER(MATCH(orderHistory[status],$D$11,0)*MATCH(orderHistory[order_type],$D$13,0)),MATCH(ROW(orderHistory[customer]),ROW(orderHistory[customer])),""),ROWS($A$15:A35)+$B$3)),INDEX(orderHistory[order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no],SMALL(IF(ISNUMBER(MATCH(orderHistory[customer],$D$9,0)),MATCH(ROW(orderHistory[customer]),ROW(orderHistory[customer])),""),ROWS($A$15:A35)+$B$3)),INDEX(orderHistory[order_no],SMALL(IF(ISNUMBER(MATCH(orderHistory[customer],$D$9,0)*MATCH(YEAR(orderHistory[invoice_date]),$D$15,0)),MATCH(ROW(orderHistory[customer]),ROW(orderHistory[customer])),""),ROWS($A$15:A35)+$B$3))),IF($D$15="",INDEX(orderHistory[order_no],SMALL(IF(ISNUMBER(MATCH(orderHistory[customer],$D$9,0)*MATCH(orderHistory[order_type],$D$13,0)),MATCH(ROW(orderHistory[customer]),ROW(orderHistory[customer])),""),ROWS($A$15:A35)+$B$3)),INDEX(orderHistory[order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YEAR(orderHistory[invoice_date]),$D$15,0)),MATCH(ROW(orderHistory[customer]),ROW(orderHistory[customer])),""),ROWS($A$15:A35)+$B$3))),IF($D$15="",INDEX(orderHistory[order_no],SMALL(IF(ISNUMBER(MATCH(orderHistory[customer],$D$9,0)*MATCH(orderHistory[status],$D$11,0)*MATCH(orderHistory[order_type],$D$13,0)),MATCH(ROW(orderHistory[customer]),ROW(orderHistory[customer])),""),ROWS($A$15:A35)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N30" s="454" t="str">
        <f t="array" ref="N30">IFERROR(IF($D$9="",IF($D$11="",IF($D$13="",IF($D$15="",INDEX(orderHistory[order_type],SMALL(MATCH(ROW(orderHistory[customer]),ROW(orderHistory[customer])),ROWS($A$15:A35)+$B$3)),INDEX(orderHistory[order_type],SMALL(IF(ISNUMBER(MATCH(YEAR(orderHistory[invoice_date]),$D$15,0)),MATCH(ROW(orderHistory[customer]),ROW(orderHistory[customer])),""),ROWS($A$15:A35)+$B$3))),IF($D$15="",INDEX(orderHistory[order_type],SMALL(IF(ISNUMBER(MATCH(orderHistory[order_type],$D$13,0)),MATCH(ROW(orderHistory[customer]),ROW(orderHistory[customer])),""),ROWS($A$15:A35)+$B$3)),INDEX(orderHistory[order_type],SMALL(IF(ISNUMBER(MATCH(orderHistory[order_type],$D$13,0)*MATCH(YEAR(orderHistory[invoice_date]),$D$15,0)),MATCH(ROW(orderHistory[customer]),ROW(orderHistory[customer])),""),ROWS($A$15:A35)+$B$3)))),IF($D$13="",IF($D$15="",INDEX(orderHistory[order_type],SMALL(IF(ISNUMBER(MATCH(orderHistory[status],$D$11,0)),MATCH(ROW(orderHistory[customer]),ROW(orderHistory[customer])),""),ROWS($A$15:A35)+$B$3)),INDEX(orderHistory[order_type],SMALL(IF(ISNUMBER(MATCH(orderHistory[status],$D$11,0)*MATCH(YEAR(orderHistory[invoice_date]),$D$15,0)),MATCH(ROW(orderHistory[customer]),ROW(orderHistory[customer])),""),ROWS($A$15:A35)+$B$3))),IF($D$15="",INDEX(orderHistory[order_type],SMALL(IF(ISNUMBER(MATCH(orderHistory[status],$D$11,0)*MATCH(orderHistory[order_type],$D$13,0)),MATCH(ROW(orderHistory[customer]),ROW(orderHistory[customer])),""),ROWS($A$15:A35)+$B$3)),INDEX(orderHistory[order_typ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type],SMALL(IF(ISNUMBER(MATCH(orderHistory[customer],$D$9,0)),MATCH(ROW(orderHistory[customer]),ROW(orderHistory[customer])),""),ROWS($A$15:A35)+$B$3)),INDEX(orderHistory[order_type],SMALL(IF(ISNUMBER(MATCH(orderHistory[customer],$D$9,0)*MATCH(YEAR(orderHistory[invoice_date]),$D$15,0)),MATCH(ROW(orderHistory[customer]),ROW(orderHistory[customer])),""),ROWS($A$15:A35)+$B$3))),IF($D$15="",INDEX(orderHistory[order_type],SMALL(IF(ISNUMBER(MATCH(orderHistory[customer],$D$9,0)*MATCH(orderHistory[order_type],$D$13,0)),MATCH(ROW(orderHistory[customer]),ROW(orderHistory[customer])),""),ROWS($A$15:A35)+$B$3)),INDEX(orderHistory[order_typ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YEAR(orderHistory[invoice_date]),$D$15,0)),MATCH(ROW(orderHistory[customer]),ROW(orderHistory[customer])),""),ROWS($A$15:A35)+$B$3))),IF($D$15="",INDEX(orderHistory[order_type],SMALL(IF(ISNUMBER(MATCH(orderHistory[customer],$D$9,0)*MATCH(orderHistory[status],$D$11,0)*MATCH(orderHistory[order_type],$D$13,0)),MATCH(ROW(orderHistory[customer]),ROW(orderHistory[customer])),""),ROWS($A$15:A35)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O30" s="455" t="str">
        <f t="array" ref="O30">IFERROR(IF($D$9="",IF($D$11="",IF($D$13="",IF($D$15="",INDEX(orderHistory[order_date],SMALL(MATCH(ROW(orderHistory[customer]),ROW(orderHistory[customer])),ROWS($A$15:A35)+$B$3)),INDEX(orderHistory[order_date],SMALL(IF(ISNUMBER(MATCH(YEAR(orderHistory[invoice_date]),$D$15,0)),MATCH(ROW(orderHistory[customer]),ROW(orderHistory[customer])),""),ROWS($A$15:A35)+$B$3))),IF($D$15="",INDEX(orderHistory[order_date],SMALL(IF(ISNUMBER(MATCH(orderHistory[order_type],$D$13,0)),MATCH(ROW(orderHistory[customer]),ROW(orderHistory[customer])),""),ROWS($A$15:A35)+$B$3)),INDEX(orderHistory[order_date],SMALL(IF(ISNUMBER(MATCH(orderHistory[order_type],$D$13,0)*MATCH(YEAR(orderHistory[invoice_date]),$D$15,0)),MATCH(ROW(orderHistory[customer]),ROW(orderHistory[customer])),""),ROWS($A$15:A35)+$B$3)))),IF($D$13="",IF($D$15="",INDEX(orderHistory[order_date],SMALL(IF(ISNUMBER(MATCH(orderHistory[status],$D$11,0)),MATCH(ROW(orderHistory[customer]),ROW(orderHistory[customer])),""),ROWS($A$15:A35)+$B$3)),INDEX(orderHistory[order_date],SMALL(IF(ISNUMBER(MATCH(orderHistory[status],$D$11,0)*MATCH(YEAR(orderHistory[invoice_date]),$D$15,0)),MATCH(ROW(orderHistory[customer]),ROW(orderHistory[customer])),""),ROWS($A$15:A35)+$B$3))),IF($D$15="",INDEX(orderHistory[order_date],SMALL(IF(ISNUMBER(MATCH(orderHistory[status],$D$11,0)*MATCH(orderHistory[order_type],$D$13,0)),MATCH(ROW(orderHistory[customer]),ROW(orderHistory[customer])),""),ROWS($A$15:A35)+$B$3)),INDEX(orderHistory[order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date],SMALL(IF(ISNUMBER(MATCH(orderHistory[customer],$D$9,0)),MATCH(ROW(orderHistory[customer]),ROW(orderHistory[customer])),""),ROWS($A$15:A35)+$B$3)),INDEX(orderHistory[order_date],SMALL(IF(ISNUMBER(MATCH(orderHistory[customer],$D$9,0)*MATCH(YEAR(orderHistory[invoice_date]),$D$15,0)),MATCH(ROW(orderHistory[customer]),ROW(orderHistory[customer])),""),ROWS($A$15:A35)+$B$3))),IF($D$15="",INDEX(orderHistory[order_date],SMALL(IF(ISNUMBER(MATCH(orderHistory[customer],$D$9,0)*MATCH(orderHistory[order_type],$D$13,0)),MATCH(ROW(orderHistory[customer]),ROW(orderHistory[customer])),""),ROWS($A$15:A35)+$B$3)),INDEX(orderHistory[order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YEAR(orderHistory[invoice_date]),$D$15,0)),MATCH(ROW(orderHistory[customer]),ROW(orderHistory[customer])),""),ROWS($A$15:A35)+$B$3))),IF($D$15="",INDEX(orderHistory[order_date],SMALL(IF(ISNUMBER(MATCH(orderHistory[customer],$D$9,0)*MATCH(orderHistory[status],$D$11,0)*MATCH(orderHistory[order_type],$D$13,0)),MATCH(ROW(orderHistory[customer]),ROW(orderHistory[customer])),""),ROWS($A$15:A35)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P30" s="456" t="str">
        <f t="array" ref="P30">IFERROR(IF($D$9="",IF($D$11="",IF($D$13="",IF($D$15="",INDEX(orderHistory[invoice_no],SMALL(MATCH(ROW(orderHistory[customer]),ROW(orderHistory[customer])),ROWS($A$15:A35)+$B$3)),INDEX(orderHistory[invoice_no],SMALL(IF(ISNUMBER(MATCH(YEAR(orderHistory[invoice_date]),$D$15,0)),MATCH(ROW(orderHistory[customer]),ROW(orderHistory[customer])),""),ROWS($A$15:A35)+$B$3))),IF($D$15="",INDEX(orderHistory[invoice_no],SMALL(IF(ISNUMBER(MATCH(orderHistory[order_type],$D$13,0)),MATCH(ROW(orderHistory[customer]),ROW(orderHistory[customer])),""),ROWS($A$15:A35)+$B$3)),INDEX(orderHistory[invoice_no],SMALL(IF(ISNUMBER(MATCH(orderHistory[order_type],$D$13,0)*MATCH(YEAR(orderHistory[invoice_date]),$D$15,0)),MATCH(ROW(orderHistory[customer]),ROW(orderHistory[customer])),""),ROWS($A$15:A35)+$B$3)))),IF($D$13="",IF($D$15="",INDEX(orderHistory[invoice_no],SMALL(IF(ISNUMBER(MATCH(orderHistory[status],$D$11,0)),MATCH(ROW(orderHistory[customer]),ROW(orderHistory[customer])),""),ROWS($A$15:A35)+$B$3)),INDEX(orderHistory[invoice_no],SMALL(IF(ISNUMBER(MATCH(orderHistory[status],$D$11,0)*MATCH(YEAR(orderHistory[invoice_date]),$D$15,0)),MATCH(ROW(orderHistory[customer]),ROW(orderHistory[customer])),""),ROWS($A$15:A35)+$B$3))),IF($D$15="",INDEX(orderHistory[invoice_no],SMALL(IF(ISNUMBER(MATCH(orderHistory[status],$D$11,0)*MATCH(orderHistory[order_type],$D$13,0)),MATCH(ROW(orderHistory[customer]),ROW(orderHistory[customer])),""),ROWS($A$15:A35)+$B$3)),INDEX(orderHistory[invoice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no],SMALL(IF(ISNUMBER(MATCH(orderHistory[customer],$D$9,0)),MATCH(ROW(orderHistory[customer]),ROW(orderHistory[customer])),""),ROWS($A$15:A35)+$B$3)),INDEX(orderHistory[invoice_no],SMALL(IF(ISNUMBER(MATCH(orderHistory[customer],$D$9,0)*MATCH(YEAR(orderHistory[invoice_date]),$D$15,0)),MATCH(ROW(orderHistory[customer]),ROW(orderHistory[customer])),""),ROWS($A$15:A35)+$B$3))),IF($D$15="",INDEX(orderHistory[invoice_no],SMALL(IF(ISNUMBER(MATCH(orderHistory[customer],$D$9,0)*MATCH(orderHistory[order_type],$D$13,0)),MATCH(ROW(orderHistory[customer]),ROW(orderHistory[customer])),""),ROWS($A$15:A35)+$B$3)),INDEX(orderHistory[invoice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YEAR(orderHistory[invoice_date]),$D$15,0)),MATCH(ROW(orderHistory[customer]),ROW(orderHistory[customer])),""),ROWS($A$15:A35)+$B$3))),IF($D$15="",INDEX(orderHistory[invoice_no],SMALL(IF(ISNUMBER(MATCH(orderHistory[customer],$D$9,0)*MATCH(orderHistory[status],$D$11,0)*MATCH(orderHistory[order_type],$D$13,0)),MATCH(ROW(orderHistory[customer]),ROW(orderHistory[customer])),""),ROWS($A$15:A35)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Q30" s="457" t="str">
        <f t="array" ref="Q30">IFERROR(IF($D$9="",IF($D$11="",IF($D$13="",IF($D$15="",INDEX(orderHistory[invoice_date],SMALL(MATCH(ROW(orderHistory[customer]),ROW(orderHistory[customer])),ROWS($A$15:A35)+$B$3)),INDEX(orderHistory[invoice_date],SMALL(IF(ISNUMBER(MATCH(YEAR(orderHistory[invoice_date]),$D$15,0)),MATCH(ROW(orderHistory[customer]),ROW(orderHistory[customer])),""),ROWS($A$15:A35)+$B$3))),IF($D$15="",INDEX(orderHistory[invoice_date],SMALL(IF(ISNUMBER(MATCH(orderHistory[order_type],$D$13,0)),MATCH(ROW(orderHistory[customer]),ROW(orderHistory[customer])),""),ROWS($A$15:A35)+$B$3)),INDEX(orderHistory[invoice_date],SMALL(IF(ISNUMBER(MATCH(orderHistory[order_type],$D$13,0)*MATCH(YEAR(orderHistory[invoice_date]),$D$15,0)),MATCH(ROW(orderHistory[customer]),ROW(orderHistory[customer])),""),ROWS($A$15:A35)+$B$3)))),IF($D$13="",IF($D$15="",INDEX(orderHistory[invoice_date],SMALL(IF(ISNUMBER(MATCH(orderHistory[status],$D$11,0)),MATCH(ROW(orderHistory[customer]),ROW(orderHistory[customer])),""),ROWS($A$15:A35)+$B$3)),INDEX(orderHistory[invoice_date],SMALL(IF(ISNUMBER(MATCH(orderHistory[status],$D$11,0)*MATCH(YEAR(orderHistory[invoice_date]),$D$15,0)),MATCH(ROW(orderHistory[customer]),ROW(orderHistory[customer])),""),ROWS($A$15:A35)+$B$3))),IF($D$15="",INDEX(orderHistory[invoice_date],SMALL(IF(ISNUMBER(MATCH(orderHistory[status],$D$11,0)*MATCH(orderHistory[order_type],$D$13,0)),MATCH(ROW(orderHistory[customer]),ROW(orderHistory[customer])),""),ROWS($A$15:A35)+$B$3)),INDEX(orderHistory[invoice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date],SMALL(IF(ISNUMBER(MATCH(orderHistory[customer],$D$9,0)),MATCH(ROW(orderHistory[customer]),ROW(orderHistory[customer])),""),ROWS($A$15:A35)+$B$3)),INDEX(orderHistory[invoice_date],SMALL(IF(ISNUMBER(MATCH(orderHistory[customer],$D$9,0)*MATCH(YEAR(orderHistory[invoice_date]),$D$15,0)),MATCH(ROW(orderHistory[customer]),ROW(orderHistory[customer])),""),ROWS($A$15:A35)+$B$3))),IF($D$15="",INDEX(orderHistory[invoice_date],SMALL(IF(ISNUMBER(MATCH(orderHistory[customer],$D$9,0)*MATCH(orderHistory[order_type],$D$13,0)),MATCH(ROW(orderHistory[customer]),ROW(orderHistory[customer])),""),ROWS($A$15:A35)+$B$3)),INDEX(orderHistory[invoice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YEAR(orderHistory[invoice_date]),$D$15,0)),MATCH(ROW(orderHistory[customer]),ROW(orderHistory[customer])),""),ROWS($A$15:A35)+$B$3))),IF($D$15="",INDEX(orderHistory[invoice_date],SMALL(IF(ISNUMBER(MATCH(orderHistory[customer],$D$9,0)*MATCH(orderHistory[status],$D$11,0)*MATCH(orderHistory[order_type],$D$13,0)),MATCH(ROW(orderHistory[customer]),ROW(orderHistory[customer])),""),ROWS($A$15:A35)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R30" s="458" t="str">
        <f t="array" ref="R30">IFERROR(IF($D$9="",IF($D$11="",IF($D$13="",IF($D$15="",INDEX(orderHistory[inv_amount],SMALL(MATCH(ROW(orderHistory[customer]),ROW(orderHistory[customer])),ROWS($A$15:A35)+$B$3)),INDEX(orderHistory[inv_amount],SMALL(IF(ISNUMBER(MATCH(YEAR(orderHistory[invoice_date]),$D$15,0)),MATCH(ROW(orderHistory[customer]),ROW(orderHistory[customer])),""),ROWS($A$15:A35)+$B$3))),IF($D$15="",INDEX(orderHistory[inv_amount],SMALL(IF(ISNUMBER(MATCH(orderHistory[order_type],$D$13,0)),MATCH(ROW(orderHistory[customer]),ROW(orderHistory[customer])),""),ROWS($A$15:A35)+$B$3)),INDEX(orderHistory[inv_amount],SMALL(IF(ISNUMBER(MATCH(orderHistory[order_type],$D$13,0)*MATCH(YEAR(orderHistory[invoice_date]),$D$15,0)),MATCH(ROW(orderHistory[customer]),ROW(orderHistory[customer])),""),ROWS($A$15:A35)+$B$3)))),IF($D$13="",IF($D$15="",INDEX(orderHistory[inv_amount],SMALL(IF(ISNUMBER(MATCH(orderHistory[status],$D$11,0)),MATCH(ROW(orderHistory[customer]),ROW(orderHistory[customer])),""),ROWS($A$15:A35)+$B$3)),INDEX(orderHistory[inv_amount],SMALL(IF(ISNUMBER(MATCH(orderHistory[status],$D$11,0)*MATCH(YEAR(orderHistory[invoice_date]),$D$15,0)),MATCH(ROW(orderHistory[customer]),ROW(orderHistory[customer])),""),ROWS($A$15:A35)+$B$3))),IF($D$15="",INDEX(orderHistory[inv_amount],SMALL(IF(ISNUMBER(MATCH(orderHistory[status],$D$11,0)*MATCH(orderHistory[order_type],$D$13,0)),MATCH(ROW(orderHistory[customer]),ROW(orderHistory[customer])),""),ROWS($A$15:A35)+$B$3)),INDEX(orderHistory[inv_amount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_amount],SMALL(IF(ISNUMBER(MATCH(orderHistory[customer],$D$9,0)),MATCH(ROW(orderHistory[customer]),ROW(orderHistory[customer])),""),ROWS($A$15:A35)+$B$3)),INDEX(orderHistory[inv_amount],SMALL(IF(ISNUMBER(MATCH(orderHistory[customer],$D$9,0)*MATCH(YEAR(orderHistory[invoice_date]),$D$15,0)),MATCH(ROW(orderHistory[customer]),ROW(orderHistory[customer])),""),ROWS($A$15:A35)+$B$3))),IF($D$15="",INDEX(orderHistory[inv_amount],SMALL(IF(ISNUMBER(MATCH(orderHistory[customer],$D$9,0)*MATCH(orderHistory[order_type],$D$13,0)),MATCH(ROW(orderHistory[customer]),ROW(orderHistory[customer])),""),ROWS($A$15:A35)+$B$3)),INDEX(orderHistory[inv_amount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YEAR(orderHistory[inv_amount]),$D$15,0)),MATCH(ROW(orderHistory[customer]),ROW(orderHistory[customer])),""),ROWS($A$15:A35)+$B$3))),IF($D$15="",INDEX(orderHistory[inv_amount],SMALL(IF(ISNUMBER(MATCH(orderHistory[customer],$D$9,0)*MATCH(orderHistory[status],$D$11,0)*MATCH(orderHistory[order_type],$D$13,0)),MATCH(ROW(orderHistory[customer]),ROW(orderHistory[customer])),""),ROWS($A$15:A35)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S30" s="569" t="str">
        <f t="array" ref="S30">IFERROR(IF($D$9="",IF($D$11="",IF($D$13="",IF($D$15="",INDEX(orderHistory[lock_goods],SMALL(MATCH(ROW(orderHistory[customer]),ROW(orderHistory[customer])),ROWS($A$15:A35)+$B$3)),INDEX(orderHistory[lock_goods],SMALL(IF(ISNUMBER(MATCH(YEAR(orderHistory[invoice_date]),$D$15,0)),MATCH(ROW(orderHistory[customer]),ROW(orderHistory[customer])),""),ROWS($A$15:A35)+$B$3))),IF($D$15="",INDEX(orderHistory[lock_goods],SMALL(IF(ISNUMBER(MATCH(orderHistory[order_type],$D$13,0)),MATCH(ROW(orderHistory[customer]),ROW(orderHistory[customer])),""),ROWS($A$15:A35)+$B$3)),INDEX(orderHistory[lock_goods],SMALL(IF(ISNUMBER(MATCH(orderHistory[order_type],$D$13,0)*MATCH(YEAR(orderHistory[invoice_date]),$D$15,0)),MATCH(ROW(orderHistory[customer]),ROW(orderHistory[customer])),""),ROWS($A$15:A35)+$B$3)))),IF($D$13="",IF($D$15="",INDEX(orderHistory[lock_goods],SMALL(IF(ISNUMBER(MATCH(orderHistory[status],$D$11,0)),MATCH(ROW(orderHistory[customer]),ROW(orderHistory[customer])),""),ROWS($A$15:A35)+$B$3)),INDEX(orderHistory[lock_goods],SMALL(IF(ISNUMBER(MATCH(orderHistory[status],$D$11,0)*MATCH(YEAR(orderHistory[invoice_date]),$D$15,0)),MATCH(ROW(orderHistory[customer]),ROW(orderHistory[customer])),""),ROWS($A$15:A35)+$B$3))),IF($D$15="",INDEX(orderHistory[lock_goods],SMALL(IF(ISNUMBER(MATCH(orderHistory[status],$D$11,0)*MATCH(orderHistory[order_type],$D$13,0)),MATCH(ROW(orderHistory[customer]),ROW(orderHistory[customer])),""),ROWS($A$15:A35)+$B$3)),INDEX(orderHistory[lock_good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lock_goods],SMALL(IF(ISNUMBER(MATCH(orderHistory[customer],$D$9,0)),MATCH(ROW(orderHistory[customer]),ROW(orderHistory[customer])),""),ROWS($A$15:A35)+$B$3)),INDEX(orderHistory[lock_goods],SMALL(IF(ISNUMBER(MATCH(orderHistory[customer],$D$9,0)*MATCH(YEAR(orderHistory[invoice_date]),$D$15,0)),MATCH(ROW(orderHistory[customer]),ROW(orderHistory[customer])),""),ROWS($A$15:A35)+$B$3))),IF($D$15="",INDEX(orderHistory[lock_goods],SMALL(IF(ISNUMBER(MATCH(orderHistory[customer],$D$9,0)*MATCH(orderHistory[order_type],$D$13,0)),MATCH(ROW(orderHistory[customer]),ROW(orderHistory[customer])),""),ROWS($A$15:A35)+$B$3)),INDEX(orderHistory[lock_good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lock_goods],SMALL(IF(ISNUMBER(MATCH(orderHistory[customer],$D$9,0)*MATCH(orderHistory[status],$D$11,0)),MATCH(ROW(orderHistory[customer]),ROW(orderHistory[customer])),""),ROWS($A$15:A35)+$B$3)),INDEX(orderHistory[lock_goods],SMALL(IF(ISNUMBER(MATCH(orderHistory[customer],$D$9,0)*MATCH(orderHistory[status],$D$11,0)*MATCH(YEAR(orderHistory[payed]),$D$15,0)),MATCH(ROW(orderHistory[customer]),ROW(orderHistory[customer])),""),ROWS($A$15:A35)+$B$3))),IF($D$15="",INDEX(orderHistory[lock_goods],SMALL(IF(ISNUMBER(MATCH(orderHistory[customer],$D$9,0)*MATCH(orderHistory[status],$D$11,0)*MATCH(orderHistory[order_type],$D$13,0)),MATCH(ROW(orderHistory[customer]),ROW(orderHistory[customer])),""),ROWS($A$15:A35)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T30" s="459" t="str">
        <f t="array" ref="T30">IFERROR(IF($D$9="",IF($D$11="",IF($D$13="",IF($D$15="",INDEX(orderHistory[payed],SMALL(MATCH(ROW(orderHistory[customer]),ROW(orderHistory[customer])),ROWS($A$15:A35)+$B$3)),INDEX(orderHistory[payed],SMALL(IF(ISNUMBER(MATCH(YEAR(orderHistory[invoice_date]),$D$15,0)),MATCH(ROW(orderHistory[customer]),ROW(orderHistory[customer])),""),ROWS($A$15:A35)+$B$3))),IF($D$15="",INDEX(orderHistory[payed],SMALL(IF(ISNUMBER(MATCH(orderHistory[order_type],$D$13,0)),MATCH(ROW(orderHistory[customer]),ROW(orderHistory[customer])),""),ROWS($A$15:A35)+$B$3)),INDEX(orderHistory[payed],SMALL(IF(ISNUMBER(MATCH(orderHistory[order_type],$D$13,0)*MATCH(YEAR(orderHistory[invoice_date]),$D$15,0)),MATCH(ROW(orderHistory[customer]),ROW(orderHistory[customer])),""),ROWS($A$15:A35)+$B$3)))),IF($D$13="",IF($D$15="",INDEX(orderHistory[payed],SMALL(IF(ISNUMBER(MATCH(orderHistory[status],$D$11,0)),MATCH(ROW(orderHistory[customer]),ROW(orderHistory[customer])),""),ROWS($A$15:A35)+$B$3)),INDEX(orderHistory[payed],SMALL(IF(ISNUMBER(MATCH(orderHistory[status],$D$11,0)*MATCH(YEAR(orderHistory[invoice_date]),$D$15,0)),MATCH(ROW(orderHistory[customer]),ROW(orderHistory[customer])),""),ROWS($A$15:A35)+$B$3))),IF($D$15="",INDEX(orderHistory[payed],SMALL(IF(ISNUMBER(MATCH(orderHistory[status],$D$11,0)*MATCH(orderHistory[order_type],$D$13,0)),MATCH(ROW(orderHistory[customer]),ROW(orderHistory[customer])),""),ROWS($A$15:A35)+$B$3)),INDEX(orderHistory[paye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payed],SMALL(IF(ISNUMBER(MATCH(orderHistory[customer],$D$9,0)),MATCH(ROW(orderHistory[customer]),ROW(orderHistory[customer])),""),ROWS($A$15:A35)+$B$3)),INDEX(orderHistory[payed],SMALL(IF(ISNUMBER(MATCH(orderHistory[customer],$D$9,0)*MATCH(YEAR(orderHistory[invoice_date]),$D$15,0)),MATCH(ROW(orderHistory[customer]),ROW(orderHistory[customer])),""),ROWS($A$15:A35)+$B$3))),IF($D$15="",INDEX(orderHistory[payed],SMALL(IF(ISNUMBER(MATCH(orderHistory[customer],$D$9,0)*MATCH(orderHistory[order_type],$D$13,0)),MATCH(ROW(orderHistory[customer]),ROW(orderHistory[customer])),""),ROWS($A$15:A35)+$B$3)),INDEX(orderHistory[paye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YEAR(orderHistory[payed]),$D$15,0)),MATCH(ROW(orderHistory[customer]),ROW(orderHistory[customer])),""),ROWS($A$15:A35)+$B$3))),IF($D$15="",INDEX(orderHistory[payed],SMALL(IF(ISNUMBER(MATCH(orderHistory[customer],$D$9,0)*MATCH(orderHistory[status],$D$11,0)*MATCH(orderHistory[order_type],$D$13,0)),MATCH(ROW(orderHistory[customer]),ROW(orderHistory[customer])),""),ROWS($A$15:A35)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U30" s="454" t="str">
        <f t="array" ref="U30">IFERROR(IF($D$9="",IF($D$11="",IF($D$13="",IF($D$15="",INDEX(orderHistory[shipping_method],SMALL(MATCH(ROW(orderHistory[customer]),ROW(orderHistory[customer])),ROWS($A$15:A35)+$B$3)),INDEX(orderHistory[shipping_method],SMALL(IF(ISNUMBER(MATCH(YEAR(orderHistory[invoice_date]),$D$15,0)),MATCH(ROW(orderHistory[customer]),ROW(orderHistory[customer])),""),ROWS($A$15:A35)+$B$3))),IF($D$15="",INDEX(orderHistory[shipping_method],SMALL(IF(ISNUMBER(MATCH(orderHistory[order_type],$D$13,0)),MATCH(ROW(orderHistory[customer]),ROW(orderHistory[customer])),""),ROWS($A$15:A35)+$B$3)),INDEX(orderHistory[shipping_method],SMALL(IF(ISNUMBER(MATCH(orderHistory[order_type],$D$13,0)*MATCH(YEAR(orderHistory[invoice_date]),$D$15,0)),MATCH(ROW(orderHistory[customer]),ROW(orderHistory[customer])),""),ROWS($A$15:A35)+$B$3)))),IF($D$13="",IF($D$15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YEAR(orderHistory[invoice_date]),$D$15,0)),MATCH(ROW(orderHistory[customer]),ROW(orderHistory[customer])),""),ROWS($A$15:A35)+$B$3))),IF($D$15="",INDEX(orderHistory[shipping_method],SMALL(IF(ISNUMBER(MATCH(orderHistory[status],$D$11,0)*MATCH(orderHistory[order_type],$D$13,0)),MATCH(ROW(orderHistory[customer]),ROW(orderHistory[customer])),""),ROWS($A$15:A35)+$B$3)),INDEX(orderHistory[shipping_metho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YEAR(orderHistory[invoice_date]),$D$15,0)),MATCH(ROW(orderHistory[customer]),ROW(orderHistory[customer])),""),ROWS($A$15:A35)+$B$3))),IF($D$15="",INDEX(orderHistory[shipping_method],SMALL(IF(ISNUMBER(MATCH(orderHistory[customer],$D$9,0)*MATCH(orderHistory[order_type],$D$13,0)),MATCH(ROW(orderHistory[customer]),ROW(orderHistory[customer])),""),ROWS($A$15:A35)+$B$3)),INDEX(orderHistory[shipping_metho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YEAR(orderHistory[shipping_method]),$D$15,0)),MATCH(ROW(orderHistory[customer]),ROW(orderHistory[customer])),""),ROWS($A$15:A35)+$B$3))),IF($D$15="",INDEX(orderHistory[shipping_method],SMALL(IF(ISNUMBER(MATCH(orderHistory[customer],$D$9,0)*MATCH(orderHistory[status],$D$11,0)*MATCH(orderHistory[order_type],$D$13,0)),MATCH(ROW(orderHistory[customer]),ROW(orderHistory[customer])),""),ROWS($A$15:A35)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V30" s="460" t="str">
        <f t="array" ref="V30">IFERROR(IF($D$9="",IF($D$11="",IF($D$13="",IF($D$15="",INDEX(orderHistory[status],SMALL(MATCH(ROW(orderHistory[customer]),ROW(orderHistory[customer])),ROWS($A$15:A35)+$B$3)),INDEX(orderHistory[status],SMALL(IF(ISNUMBER(MATCH(YEAR(orderHistory[invoice_date]),$D$15,0)),MATCH(ROW(orderHistory[customer]),ROW(orderHistory[customer])),""),ROWS($A$15:A35)+$B$3))),IF($D$15="",INDEX(orderHistory[status],SMALL(IF(ISNUMBER(MATCH(orderHistory[order_type],$D$13,0)),MATCH(ROW(orderHistory[customer]),ROW(orderHistory[customer])),""),ROWS($A$15:A35)+$B$3)),INDEX(orderHistory[status],SMALL(IF(ISNUMBER(MATCH(orderHistory[order_type],$D$13,0)*MATCH(YEAR(orderHistory[invoice_date]),$D$15,0)),MATCH(ROW(orderHistory[customer]),ROW(orderHistory[customer])),""),ROWS($A$15:A35)+$B$3)))),IF($D$13="",IF($D$15="",INDEX(orderHistory[status],SMALL(IF(ISNUMBER(MATCH(orderHistory[status],$D$11,0)),MATCH(ROW(orderHistory[customer]),ROW(orderHistory[customer])),""),ROWS($A$15:A35)+$B$3)),INDEX(orderHistory[status],SMALL(IF(ISNUMBER(MATCH(orderHistory[status],$D$11,0)*MATCH(YEAR(orderHistory[invoice_date]),$D$15,0)),MATCH(ROW(orderHistory[customer]),ROW(orderHistory[customer])),""),ROWS($A$15:A35)+$B$3))),IF($D$15="",INDEX(orderHistory[status],SMALL(IF(ISNUMBER(MATCH(orderHistory[status],$D$11,0)*MATCH(orderHistory[order_type],$D$13,0)),MATCH(ROW(orderHistory[customer]),ROW(orderHistory[customer])),""),ROWS($A$15:A35)+$B$3)),INDEX(orderHistory[statu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tatus],SMALL(IF(ISNUMBER(MATCH(orderHistory[customer],$D$9,0)),MATCH(ROW(orderHistory[customer]),ROW(orderHistory[customer])),""),ROWS($A$15:A35)+$B$3)),INDEX(orderHistory[status],SMALL(IF(ISNUMBER(MATCH(orderHistory[customer],$D$9,0)*MATCH(YEAR(orderHistory[invoice_date]),$D$15,0)),MATCH(ROW(orderHistory[customer]),ROW(orderHistory[customer])),""),ROWS($A$15:A35)+$B$3))),IF($D$15="",INDEX(orderHistory[status],SMALL(IF(ISNUMBER(MATCH(orderHistory[customer],$D$9,0)*MATCH(orderHistory[order_type],$D$13,0)),MATCH(ROW(orderHistory[customer]),ROW(orderHistory[customer])),""),ROWS($A$15:A35)+$B$3)),INDEX(orderHistory[statu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YEAR(orderHistory[status]),$D$15,0)),MATCH(ROW(orderHistory[customer]),ROW(orderHistory[customer])),""),ROWS($A$15:A35)+$B$3))),IF($D$15="",INDEX(orderHistory[status],SMALL(IF(ISNUMBER(MATCH(orderHistory[customer],$D$9,0)*MATCH(orderHistory[status],$D$11,0)*MATCH(orderHistory[order_type],$D$13,0)),MATCH(ROW(orderHistory[customer]),ROW(orderHistory[customer])),""),ROWS($A$15:A35)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W30" s="75"/>
      <c r="AQ30" s="378"/>
      <c r="AR30" s="418"/>
      <c r="AS30" s="419"/>
      <c r="AT30" s="420"/>
      <c r="AU30" s="339"/>
      <c r="AW30" s="376"/>
      <c r="BB30" s="879"/>
      <c r="BC30" s="880"/>
      <c r="BD30" s="880"/>
      <c r="BE30" s="880"/>
      <c r="BF30" s="880"/>
      <c r="BG30" s="880"/>
      <c r="BH30" s="881"/>
      <c r="BJ30" s="339"/>
      <c r="BK30" s="366"/>
      <c r="BL30" s="367"/>
      <c r="BM30" s="368"/>
      <c r="BN30" s="367"/>
      <c r="BO30" s="368"/>
      <c r="BZ30" s="495"/>
      <c r="CA30" s="477" t="str">
        <f>IF(BZ30="","",INDEX(bhpc_data[description],MATCH(BZ30,bhpc_data[sku],0)))</f>
        <v/>
      </c>
      <c r="CB30" s="480"/>
      <c r="CC30" s="479"/>
      <c r="CD30" s="493"/>
      <c r="CE30" s="481"/>
      <c r="CF30" s="482"/>
      <c r="CG30" s="483" t="str">
        <f>IFERROR(ROUNDUP(CB30/INDEX(bhpc_data[units_per_carton],MATCH(BZ30,bhpc_data[sku],0)),0),"")</f>
        <v/>
      </c>
      <c r="CH30" s="484" t="str">
        <f>IFERROR(ROUNDUP(CD30/INDEX(bhpc_data[units_per_carton],MATCH(BZ30,bhpc_data[sku],0)),0),"")</f>
        <v/>
      </c>
      <c r="CI30" s="484" t="str">
        <f>IFERROR(ROUNDUP(CF30/INDEX(bhpc_data[units_per_carton],MATCH(BZ30,bhpc_data[sku])),0),"")</f>
        <v/>
      </c>
      <c r="CJ30" s="484" t="str">
        <f>IFERROR(((CB30+CD30+CF30)/INDEX(bhpc_data[units_per_carton],MATCH(BZ30,bhpc_data[sku],0)))*INDEX(bhpc_data[net_weight],MATCH(BZ30,bhpc_data[sku],0)),"")</f>
        <v/>
      </c>
      <c r="CK30" s="484" t="str">
        <f>IFERROR(((CB30+CD30+CF30)/INDEX(bhpc_data[units_per_carton],MATCH(BZ30,bhpc_data[sku],0)))*INDEX(bhpc_data[gross_weight],MATCH(BZ30,bhpc_data[sku],0)),"")</f>
        <v/>
      </c>
      <c r="CL30" s="485" t="str">
        <f>IFERROR((CB30+CD30+CF30)/INDEX(bhpc_data[units_per_carton],MATCH(BZ30,bhpc_data[sku],0))*INDEX(bhpc_data[lenght],MATCH(BZ30,bhpc_data[sku],0))*INDEX(bhpc_data[width],MATCH(BZ30,bhpc_data[sku],0))*INDEX(bhpc_data[height],MATCH(BZ30,bhpc_data[sku],0))/1000000000,"")</f>
        <v/>
      </c>
      <c r="CM30" s="486" t="str">
        <f>IFERROR(INDEX(bhpc_data[category],MATCH(BZ30,bhpc_data[sku],0)),"")</f>
        <v/>
      </c>
      <c r="CN30" s="486" t="str">
        <f>IFERROR(INDEX(bhpc_data[size1],MATCH(BZ30,bhpc_data[sku],0)),"")</f>
        <v/>
      </c>
      <c r="CO30" s="487" t="str">
        <f>IFERROR(INDEX(bhpc_data[hs_code],MATCH(BZ30,bhpc_data[sku],0)),"")</f>
        <v/>
      </c>
      <c r="CP30" s="482"/>
      <c r="CQ30" s="488" t="str">
        <f>IFERROR(IF(BZ30="","",IF($BX$15="SALE",INDEX(inventory[COSTO UNITARIO],MATCH(BZ30,inventory[ARTICOLO],0)),IF($BX$15="SAMPLING",INDEX(inventory[COSTO UNITARIO],MATCH(BZ30,inventory[ARTICOLO],0)),""))),"")</f>
        <v/>
      </c>
      <c r="CR30" s="488" t="str">
        <f t="shared" si="0"/>
        <v/>
      </c>
      <c r="CS30" s="489" t="str">
        <f t="shared" si="1"/>
        <v/>
      </c>
      <c r="CT30" s="573" t="str">
        <f t="shared" si="2"/>
        <v/>
      </c>
      <c r="CV30" s="85"/>
      <c r="CW30" s="533" t="s">
        <v>1164</v>
      </c>
      <c r="CX30" s="559" t="e">
        <f>IF(INDEX(orderHistory[produced],MATCH($BX$11,orderHistory[order_no],0))=0,"",INDEX(orderHistory[produced],MATCH($BX$11,orderHistory[order_no],0)))</f>
        <v>#N/A</v>
      </c>
      <c r="CY30" s="117"/>
      <c r="CZ30" s="117"/>
      <c r="DA30" s="82"/>
      <c r="DH30" s="245"/>
      <c r="EE30" s="547" t="str" cm="1">
        <f t="array" ref="EE30">IFERROR(IF($EC$9="",IF($EC$11="",IF($EC$13="",INDEX(bhpc_data[sku],SMALL(MATCH(ROW(bhpc_data[sku]),ROW(bhpc_data[sku])),ROWS($A$15:A35)+$B$3)),INDEX(bhpc_data[sku],SMALL(IF(ISNUMBER(MATCH(bhpc_data[size1],$EC$13,0)),MATCH(ROW(bhpc_data[sku]),ROW(bhpc_data[sku])),""),ROWS($A$15:A35)+$B$3))),IF($EC$13="",INDEX(bhpc_data[sku],SMALL(IF(ISNUMBER(MATCH(bhpc_data[sex],$EC$11,0)),MATCH(ROW(bhpc_data[sku]),ROW(bhpc_data[sku])),""),ROWS($A$15:A35)+$B$3)),INDEX(bhpc_data[sku],SMALL(IF(ISNUMBER(MATCH(bhpc_data[sex],$EC$11,0)*MATCH(bhpc_data[size1],$EC$13,0)),MATCH(ROW(bhpc_data[sku]),ROW(bhpc_data[sku])),""),ROWS($A$15:A35)+$B$3)))),IF($EC$11="",IF($EC$13="",INDEX(bhpc_data[sku],SMALL(IF(ISNUMBER(MATCH(bhpc_data[category],$EC$9,0)),MATCH(ROW(bhpc_data[sku]),ROW(bhpc_data[sku])),""),ROWS($A$15:A35)+$B$3)),INDEX(bhpc_data[sku],SMALL(IF(ISNUMBER(MATCH(bhpc_data[category],$EC$9,0)*MATCH(bhpc_data[size1],$EC$13,0)),MATCH(ROW(bhpc_data[sku]),ROW(bhpc_data[sku])),""),ROWS($A$15:A35)+$B$3))),IF($EC$13="",INDEX(bhpc_data[sku],SMALL(IF(ISNUMBER(MATCH(bhpc_data[category],$EC$9,0)*MATCH(bhpc_data[sex],$EC$11,0)),MATCH(ROW(bhpc_data[sku]),ROW(bhpc_data[sku])),""),ROWS($A$15:A35)+$B$3)),INDEX(bhpc_data[sku],SMALL(IF(ISNUMBER(MATCH(bhpc_data[category],$EC$9,0)*MATCH(bhpc_data[sex],$EC$11,0)*MATCH(bhpc_data[size1],$EC$13,0)),MATCH(ROW(bhpc_data[sku]),ROW(bhpc_data[sku])),""),ROWS($A$15:A35)+$B$3))))),"")</f>
        <v>GS7024</v>
      </c>
      <c r="EF30" s="548" t="str" cm="1">
        <f t="array" ref="EF30">IFERROR(IF($EC$9="",IF($EC$11="",IF($EC$13="",INDEX(bhpc_data[description],SMALL(MATCH(ROW(bhpc_data[sku]),ROW(bhpc_data[sku])),ROWS($A$15:A35)+$B$3)),INDEX(bhpc_data[description],SMALL(IF(ISNUMBER(MATCH(bhpc_data[size1],$EC$13,0)),MATCH(ROW(bhpc_data[sku]),ROW(bhpc_data[sku])),""),ROWS($A$15:A35)+$B$3))),IF($EC$13="",INDEX(bhpc_data[description],SMALL(IF(ISNUMBER(MATCH(bhpc_data[sex],$EC$11,0)),MATCH(ROW(bhpc_data[sku]),ROW(bhpc_data[sku])),""),ROWS($A$15:A35)+$B$3)),INDEX(bhpc_data[description],SMALL(IF(ISNUMBER(MATCH(bhpc_data[sex],$EC$11,0)*MATCH(bhpc_data[size1],$EC$13,0)),MATCH(ROW(bhpc_data[sku]),ROW(bhpc_data[sku])),""),ROWS($A$15:A35)+$B$3)))),IF($EC$11="",IF($EC$13="",INDEX(bhpc_data[description],SMALL(IF(ISNUMBER(MATCH(bhpc_data[category],$EC$9,0)),MATCH(ROW(bhpc_data[sku]),ROW(bhpc_data[sku])),""),ROWS($A$15:A35)+$B$3)),INDEX(bhpc_data[description],SMALL(IF(ISNUMBER(MATCH(bhpc_data[category],$EC$9,0)*MATCH(bhpc_data[size1],$EC$13,0)),MATCH(ROW(bhpc_data[sku]),ROW(bhpc_data[sku])),""),ROWS($A$15:A35)+$B$3))),IF($EC$13="",INDEX(bhpc_data[description],SMALL(IF(ISNUMBER(MATCH(bhpc_data[category],$EC$9,0)*MATCH(bhpc_data[sex],$EC$11,0)),MATCH(ROW(bhpc_data[sku]),ROW(bhpc_data[sku])),""),ROWS($A$15:A35)+$B$3)),INDEX(bhpc_data[description],SMALL(IF(ISNUMBER(MATCH(bhpc_data[category],$EC$9,0)*MATCH(bhpc_data[sex],$EC$11,0)*MATCH(bhpc_data[size1],$EC$13,0)),MATCH(ROW(bhpc_data[sku]),ROW(bhpc_data[sku])),""),ROWS($A$15:A35)+$B$3))))),"")</f>
        <v>BHPC GIFT SET WOMEN #1 EDP50ML+DEO150ML+ROLLON50ML</v>
      </c>
      <c r="EG30" s="549">
        <f>IFERROR(IF('BHPC MANAGER'!$EE30="","",INDEX(inventory[ESISTENZA],MATCH('BHPC MANAGER'!$EE30,inventory[ARTICOLO],0))),0)</f>
        <v>12</v>
      </c>
      <c r="EH30" s="550">
        <v>-1</v>
      </c>
      <c r="EI30" s="550">
        <f t="shared" si="3"/>
        <v>11</v>
      </c>
      <c r="EJ30" s="551">
        <v>0</v>
      </c>
      <c r="EK30" s="552">
        <f t="shared" si="4"/>
        <v>11</v>
      </c>
      <c r="FF30" s="331"/>
      <c r="FG30" s="331"/>
      <c r="FH30" s="331"/>
      <c r="FI30" s="331"/>
      <c r="FJ30" s="331"/>
      <c r="FK30" s="331"/>
      <c r="FL30" s="331"/>
      <c r="FM30" s="331"/>
      <c r="FN30" s="331"/>
      <c r="FO30" s="331"/>
      <c r="FP30" s="331"/>
      <c r="FQ30" s="331"/>
      <c r="FR30" s="331"/>
      <c r="FS30" s="331"/>
      <c r="FT30" s="331"/>
      <c r="FU30" s="331"/>
      <c r="FV30" s="331"/>
      <c r="FW30" s="331"/>
      <c r="FX30" s="331"/>
      <c r="FY30" s="331"/>
      <c r="FZ30" s="331"/>
      <c r="GA30" s="331"/>
      <c r="GB30" s="331"/>
      <c r="GC30" s="331"/>
      <c r="GD30" s="331"/>
      <c r="GE30" s="331"/>
      <c r="GF30" s="331"/>
      <c r="GG30" s="331"/>
      <c r="GH30" s="331"/>
      <c r="GI30" s="331"/>
      <c r="GJ30" s="331"/>
      <c r="GK30" s="331"/>
      <c r="GL30" s="331"/>
      <c r="GM30" s="331"/>
      <c r="GN30" s="331"/>
      <c r="GO30" s="331"/>
      <c r="GP30" s="331"/>
      <c r="GQ30" s="331"/>
      <c r="GR30" s="331"/>
      <c r="GS30" s="331"/>
      <c r="GT30" s="331"/>
      <c r="GU30" s="331"/>
      <c r="GV30" s="331"/>
      <c r="GW30" s="331"/>
      <c r="GX30" s="331"/>
      <c r="GY30" s="331"/>
      <c r="GZ30" s="331"/>
      <c r="HA30" s="331"/>
      <c r="HB30" s="331"/>
      <c r="HC30" s="331"/>
      <c r="HD30" s="331"/>
      <c r="HE30" s="331"/>
      <c r="HF30" s="331"/>
      <c r="HG30" s="331"/>
      <c r="HH30" s="331"/>
      <c r="HI30" s="331"/>
      <c r="HJ30" s="331"/>
      <c r="HK30" s="331"/>
      <c r="HL30" s="331"/>
      <c r="HM30" s="331"/>
      <c r="HN30" s="331"/>
      <c r="HO30" s="331"/>
      <c r="HP30" s="331"/>
      <c r="HQ30" s="331"/>
      <c r="HR30" s="331"/>
      <c r="HS30" s="331"/>
      <c r="HT30" s="331"/>
    </row>
    <row r="31" spans="1:228" ht="15" customHeight="1" x14ac:dyDescent="0.35">
      <c r="F31" s="96"/>
      <c r="G31" s="850"/>
      <c r="H31" s="851"/>
      <c r="I31" s="852"/>
      <c r="J31" s="82"/>
      <c r="L31" s="452" t="str">
        <f t="array" ref="L31">IFERROR(IF($D$9="",IF($D$11="",IF($D$13="",IF($D$15="",INDEX(orderHistory[customer],SMALL(MATCH(ROW(orderHistory[customer]),ROW(orderHistory[customer])),ROWS($A$15:A36)+$B$3)),INDEX(orderHistory[customer],SMALL(IF(ISNUMBER(MATCH(YEAR(orderHistory[invoice_date]),$D$15,0)),MATCH(ROW(orderHistory[customer]),ROW(orderHistory[customer])),""),ROWS($A$15:A36)+$B$3))),IF($D$15="",INDEX(orderHistory[customer],SMALL(IF(ISNUMBER(MATCH(orderHistory[order_type],$D$13,0)),MATCH(ROW(orderHistory[customer]),ROW(orderHistory[customer])),""),ROWS($A$15:A36)+$B$3)),INDEX(orderHistory[customer],SMALL(IF(ISNUMBER(MATCH(orderHistory[order_type],$D$13,0)*MATCH(YEAR(orderHistory[invoice_date]),$D$15,0)),MATCH(ROW(orderHistory[customer]),ROW(orderHistory[customer])),""),ROWS($A$15:A36)+$B$3)))),IF($D$13="",IF($D$15="",INDEX(orderHistory[customer],SMALL(IF(ISNUMBER(MATCH(orderHistory[status],$D$11,0)),MATCH(ROW(orderHistory[customer]),ROW(orderHistory[customer])),""),ROWS($A$15:A36)+$B$3)),INDEX(orderHistory[customer],SMALL(IF(ISNUMBER(MATCH(orderHistory[status],$D$11,0)*MATCH(YEAR(orderHistory[invoice_date]),$D$15,0)),MATCH(ROW(orderHistory[customer]),ROW(orderHistory[customer])),""),ROWS($A$15:A36)+$B$3))),IF($D$15="",INDEX(orderHistory[customer],SMALL(IF(ISNUMBER(MATCH(orderHistory[status],$D$11,0)*MATCH(orderHistory[order_type],$D$13,0)),MATCH(ROW(orderHistory[customer]),ROW(orderHistory[customer])),""),ROWS($A$15:A36)+$B$3)),INDEX(orderHistory[customer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customer],SMALL(IF(ISNUMBER(MATCH(orderHistory[customer],$D$9,0)),MATCH(ROW(orderHistory[customer]),ROW(orderHistory[customer])),""),ROWS($A$15:A36)+$B$3)),INDEX(orderHistory[customer],SMALL(IF(ISNUMBER(MATCH(orderHistory[customer],$D$9,0)*MATCH(YEAR(orderHistory[invoice_date]),$D$15,0)),MATCH(ROW(orderHistory[customer]),ROW(orderHistory[customer])),""),ROWS($A$15:A36)+$B$3))),IF($D$15="",INDEX(orderHistory[customer],SMALL(IF(ISNUMBER(MATCH(orderHistory[customer],$D$9,0)*MATCH(orderHistory[order_type],$D$13,0)),MATCH(ROW(orderHistory[customer]),ROW(orderHistory[customer])),""),ROWS($A$15:A36)+$B$3)),INDEX(orderHistory[customer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YEAR(orderHistory[invoice_date]),$D$15,0)),MATCH(ROW(orderHistory[customer]),ROW(orderHistory[customer])),""),ROWS($A$15:A36)+$B$3))),IF($D$15="",INDEX(orderHistory[customer],SMALL(IF(ISNUMBER(MATCH(orderHistory[customer],$D$9,0)*MATCH(orderHistory[status],$D$11,0)*MATCH(orderHistory[order_type],$D$13,0)),MATCH(ROW(orderHistory[customer]),ROW(orderHistory[customer])),""),ROWS($A$15:A36)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M31" s="453" t="str">
        <f t="array" ref="M31">IFERROR(IF($D$9="",IF($D$11="",IF($D$13="",IF($D$15="",INDEX(orderHistory[order_no],SMALL(MATCH(ROW(orderHistory[customer]),ROW(orderHistory[customer])),ROWS($A$15:A36)+$B$3)),INDEX(orderHistory[order_no],SMALL(IF(ISNUMBER(MATCH(YEAR(orderHistory[invoice_date]),$D$15,0)),MATCH(ROW(orderHistory[customer]),ROW(orderHistory[customer])),""),ROWS($A$15:A36)+$B$3))),IF($D$15="",INDEX(orderHistory[order_no],SMALL(IF(ISNUMBER(MATCH(orderHistory[order_type],$D$13,0)),MATCH(ROW(orderHistory[customer]),ROW(orderHistory[customer])),""),ROWS($A$15:A36)+$B$3)),INDEX(orderHistory[order_no],SMALL(IF(ISNUMBER(MATCH(orderHistory[order_type],$D$13,0)*MATCH(YEAR(orderHistory[invoice_date]),$D$15,0)),MATCH(ROW(orderHistory[customer]),ROW(orderHistory[customer])),""),ROWS($A$15:A36)+$B$3)))),IF($D$13="",IF($D$15="",INDEX(orderHistory[order_no],SMALL(IF(ISNUMBER(MATCH(orderHistory[status],$D$11,0)),MATCH(ROW(orderHistory[customer]),ROW(orderHistory[customer])),""),ROWS($A$15:A36)+$B$3)),INDEX(orderHistory[order_no],SMALL(IF(ISNUMBER(MATCH(orderHistory[status],$D$11,0)*MATCH(YEAR(orderHistory[invoice_date]),$D$15,0)),MATCH(ROW(orderHistory[customer]),ROW(orderHistory[customer])),""),ROWS($A$15:A36)+$B$3))),IF($D$15="",INDEX(orderHistory[order_no],SMALL(IF(ISNUMBER(MATCH(orderHistory[status],$D$11,0)*MATCH(orderHistory[order_type],$D$13,0)),MATCH(ROW(orderHistory[customer]),ROW(orderHistory[customer])),""),ROWS($A$15:A36)+$B$3)),INDEX(orderHistory[order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no],SMALL(IF(ISNUMBER(MATCH(orderHistory[customer],$D$9,0)),MATCH(ROW(orderHistory[customer]),ROW(orderHistory[customer])),""),ROWS($A$15:A36)+$B$3)),INDEX(orderHistory[order_no],SMALL(IF(ISNUMBER(MATCH(orderHistory[customer],$D$9,0)*MATCH(YEAR(orderHistory[invoice_date]),$D$15,0)),MATCH(ROW(orderHistory[customer]),ROW(orderHistory[customer])),""),ROWS($A$15:A36)+$B$3))),IF($D$15="",INDEX(orderHistory[order_no],SMALL(IF(ISNUMBER(MATCH(orderHistory[customer],$D$9,0)*MATCH(orderHistory[order_type],$D$13,0)),MATCH(ROW(orderHistory[customer]),ROW(orderHistory[customer])),""),ROWS($A$15:A36)+$B$3)),INDEX(orderHistory[order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YEAR(orderHistory[invoice_date]),$D$15,0)),MATCH(ROW(orderHistory[customer]),ROW(orderHistory[customer])),""),ROWS($A$15:A36)+$B$3))),IF($D$15="",INDEX(orderHistory[order_no],SMALL(IF(ISNUMBER(MATCH(orderHistory[customer],$D$9,0)*MATCH(orderHistory[status],$D$11,0)*MATCH(orderHistory[order_type],$D$13,0)),MATCH(ROW(orderHistory[customer]),ROW(orderHistory[customer])),""),ROWS($A$15:A36)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N31" s="454" t="str">
        <f t="array" ref="N31">IFERROR(IF($D$9="",IF($D$11="",IF($D$13="",IF($D$15="",INDEX(orderHistory[order_type],SMALL(MATCH(ROW(orderHistory[customer]),ROW(orderHistory[customer])),ROWS($A$15:A36)+$B$3)),INDEX(orderHistory[order_type],SMALL(IF(ISNUMBER(MATCH(YEAR(orderHistory[invoice_date]),$D$15,0)),MATCH(ROW(orderHistory[customer]),ROW(orderHistory[customer])),""),ROWS($A$15:A36)+$B$3))),IF($D$15="",INDEX(orderHistory[order_type],SMALL(IF(ISNUMBER(MATCH(orderHistory[order_type],$D$13,0)),MATCH(ROW(orderHistory[customer]),ROW(orderHistory[customer])),""),ROWS($A$15:A36)+$B$3)),INDEX(orderHistory[order_type],SMALL(IF(ISNUMBER(MATCH(orderHistory[order_type],$D$13,0)*MATCH(YEAR(orderHistory[invoice_date]),$D$15,0)),MATCH(ROW(orderHistory[customer]),ROW(orderHistory[customer])),""),ROWS($A$15:A36)+$B$3)))),IF($D$13="",IF($D$15="",INDEX(orderHistory[order_type],SMALL(IF(ISNUMBER(MATCH(orderHistory[status],$D$11,0)),MATCH(ROW(orderHistory[customer]),ROW(orderHistory[customer])),""),ROWS($A$15:A36)+$B$3)),INDEX(orderHistory[order_type],SMALL(IF(ISNUMBER(MATCH(orderHistory[status],$D$11,0)*MATCH(YEAR(orderHistory[invoice_date]),$D$15,0)),MATCH(ROW(orderHistory[customer]),ROW(orderHistory[customer])),""),ROWS($A$15:A36)+$B$3))),IF($D$15="",INDEX(orderHistory[order_type],SMALL(IF(ISNUMBER(MATCH(orderHistory[status],$D$11,0)*MATCH(orderHistory[order_type],$D$13,0)),MATCH(ROW(orderHistory[customer]),ROW(orderHistory[customer])),""),ROWS($A$15:A36)+$B$3)),INDEX(orderHistory[order_typ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type],SMALL(IF(ISNUMBER(MATCH(orderHistory[customer],$D$9,0)),MATCH(ROW(orderHistory[customer]),ROW(orderHistory[customer])),""),ROWS($A$15:A36)+$B$3)),INDEX(orderHistory[order_type],SMALL(IF(ISNUMBER(MATCH(orderHistory[customer],$D$9,0)*MATCH(YEAR(orderHistory[invoice_date]),$D$15,0)),MATCH(ROW(orderHistory[customer]),ROW(orderHistory[customer])),""),ROWS($A$15:A36)+$B$3))),IF($D$15="",INDEX(orderHistory[order_type],SMALL(IF(ISNUMBER(MATCH(orderHistory[customer],$D$9,0)*MATCH(orderHistory[order_type],$D$13,0)),MATCH(ROW(orderHistory[customer]),ROW(orderHistory[customer])),""),ROWS($A$15:A36)+$B$3)),INDEX(orderHistory[order_typ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YEAR(orderHistory[invoice_date]),$D$15,0)),MATCH(ROW(orderHistory[customer]),ROW(orderHistory[customer])),""),ROWS($A$15:A36)+$B$3))),IF($D$15="",INDEX(orderHistory[order_type],SMALL(IF(ISNUMBER(MATCH(orderHistory[customer],$D$9,0)*MATCH(orderHistory[status],$D$11,0)*MATCH(orderHistory[order_type],$D$13,0)),MATCH(ROW(orderHistory[customer]),ROW(orderHistory[customer])),""),ROWS($A$15:A36)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O31" s="455" t="str">
        <f t="array" ref="O31">IFERROR(IF($D$9="",IF($D$11="",IF($D$13="",IF($D$15="",INDEX(orderHistory[order_date],SMALL(MATCH(ROW(orderHistory[customer]),ROW(orderHistory[customer])),ROWS($A$15:A36)+$B$3)),INDEX(orderHistory[order_date],SMALL(IF(ISNUMBER(MATCH(YEAR(orderHistory[invoice_date]),$D$15,0)),MATCH(ROW(orderHistory[customer]),ROW(orderHistory[customer])),""),ROWS($A$15:A36)+$B$3))),IF($D$15="",INDEX(orderHistory[order_date],SMALL(IF(ISNUMBER(MATCH(orderHistory[order_type],$D$13,0)),MATCH(ROW(orderHistory[customer]),ROW(orderHistory[customer])),""),ROWS($A$15:A36)+$B$3)),INDEX(orderHistory[order_date],SMALL(IF(ISNUMBER(MATCH(orderHistory[order_type],$D$13,0)*MATCH(YEAR(orderHistory[invoice_date]),$D$15,0)),MATCH(ROW(orderHistory[customer]),ROW(orderHistory[customer])),""),ROWS($A$15:A36)+$B$3)))),IF($D$13="",IF($D$15="",INDEX(orderHistory[order_date],SMALL(IF(ISNUMBER(MATCH(orderHistory[status],$D$11,0)),MATCH(ROW(orderHistory[customer]),ROW(orderHistory[customer])),""),ROWS($A$15:A36)+$B$3)),INDEX(orderHistory[order_date],SMALL(IF(ISNUMBER(MATCH(orderHistory[status],$D$11,0)*MATCH(YEAR(orderHistory[invoice_date]),$D$15,0)),MATCH(ROW(orderHistory[customer]),ROW(orderHistory[customer])),""),ROWS($A$15:A36)+$B$3))),IF($D$15="",INDEX(orderHistory[order_date],SMALL(IF(ISNUMBER(MATCH(orderHistory[status],$D$11,0)*MATCH(orderHistory[order_type],$D$13,0)),MATCH(ROW(orderHistory[customer]),ROW(orderHistory[customer])),""),ROWS($A$15:A36)+$B$3)),INDEX(orderHistory[order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date],SMALL(IF(ISNUMBER(MATCH(orderHistory[customer],$D$9,0)),MATCH(ROW(orderHistory[customer]),ROW(orderHistory[customer])),""),ROWS($A$15:A36)+$B$3)),INDEX(orderHistory[order_date],SMALL(IF(ISNUMBER(MATCH(orderHistory[customer],$D$9,0)*MATCH(YEAR(orderHistory[invoice_date]),$D$15,0)),MATCH(ROW(orderHistory[customer]),ROW(orderHistory[customer])),""),ROWS($A$15:A36)+$B$3))),IF($D$15="",INDEX(orderHistory[order_date],SMALL(IF(ISNUMBER(MATCH(orderHistory[customer],$D$9,0)*MATCH(orderHistory[order_type],$D$13,0)),MATCH(ROW(orderHistory[customer]),ROW(orderHistory[customer])),""),ROWS($A$15:A36)+$B$3)),INDEX(orderHistory[order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YEAR(orderHistory[invoice_date]),$D$15,0)),MATCH(ROW(orderHistory[customer]),ROW(orderHistory[customer])),""),ROWS($A$15:A36)+$B$3))),IF($D$15="",INDEX(orderHistory[order_date],SMALL(IF(ISNUMBER(MATCH(orderHistory[customer],$D$9,0)*MATCH(orderHistory[status],$D$11,0)*MATCH(orderHistory[order_type],$D$13,0)),MATCH(ROW(orderHistory[customer]),ROW(orderHistory[customer])),""),ROWS($A$15:A36)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P31" s="456" t="str">
        <f t="array" ref="P31">IFERROR(IF($D$9="",IF($D$11="",IF($D$13="",IF($D$15="",INDEX(orderHistory[invoice_no],SMALL(MATCH(ROW(orderHistory[customer]),ROW(orderHistory[customer])),ROWS($A$15:A36)+$B$3)),INDEX(orderHistory[invoice_no],SMALL(IF(ISNUMBER(MATCH(YEAR(orderHistory[invoice_date]),$D$15,0)),MATCH(ROW(orderHistory[customer]),ROW(orderHistory[customer])),""),ROWS($A$15:A36)+$B$3))),IF($D$15="",INDEX(orderHistory[invoice_no],SMALL(IF(ISNUMBER(MATCH(orderHistory[order_type],$D$13,0)),MATCH(ROW(orderHistory[customer]),ROW(orderHistory[customer])),""),ROWS($A$15:A36)+$B$3)),INDEX(orderHistory[invoice_no],SMALL(IF(ISNUMBER(MATCH(orderHistory[order_type],$D$13,0)*MATCH(YEAR(orderHistory[invoice_date]),$D$15,0)),MATCH(ROW(orderHistory[customer]),ROW(orderHistory[customer])),""),ROWS($A$15:A36)+$B$3)))),IF($D$13="",IF($D$15="",INDEX(orderHistory[invoice_no],SMALL(IF(ISNUMBER(MATCH(orderHistory[status],$D$11,0)),MATCH(ROW(orderHistory[customer]),ROW(orderHistory[customer])),""),ROWS($A$15:A36)+$B$3)),INDEX(orderHistory[invoice_no],SMALL(IF(ISNUMBER(MATCH(orderHistory[status],$D$11,0)*MATCH(YEAR(orderHistory[invoice_date]),$D$15,0)),MATCH(ROW(orderHistory[customer]),ROW(orderHistory[customer])),""),ROWS($A$15:A36)+$B$3))),IF($D$15="",INDEX(orderHistory[invoice_no],SMALL(IF(ISNUMBER(MATCH(orderHistory[status],$D$11,0)*MATCH(orderHistory[order_type],$D$13,0)),MATCH(ROW(orderHistory[customer]),ROW(orderHistory[customer])),""),ROWS($A$15:A36)+$B$3)),INDEX(orderHistory[invoice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no],SMALL(IF(ISNUMBER(MATCH(orderHistory[customer],$D$9,0)),MATCH(ROW(orderHistory[customer]),ROW(orderHistory[customer])),""),ROWS($A$15:A36)+$B$3)),INDEX(orderHistory[invoice_no],SMALL(IF(ISNUMBER(MATCH(orderHistory[customer],$D$9,0)*MATCH(YEAR(orderHistory[invoice_date]),$D$15,0)),MATCH(ROW(orderHistory[customer]),ROW(orderHistory[customer])),""),ROWS($A$15:A36)+$B$3))),IF($D$15="",INDEX(orderHistory[invoice_no],SMALL(IF(ISNUMBER(MATCH(orderHistory[customer],$D$9,0)*MATCH(orderHistory[order_type],$D$13,0)),MATCH(ROW(orderHistory[customer]),ROW(orderHistory[customer])),""),ROWS($A$15:A36)+$B$3)),INDEX(orderHistory[invoice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YEAR(orderHistory[invoice_date]),$D$15,0)),MATCH(ROW(orderHistory[customer]),ROW(orderHistory[customer])),""),ROWS($A$15:A36)+$B$3))),IF($D$15="",INDEX(orderHistory[invoice_no],SMALL(IF(ISNUMBER(MATCH(orderHistory[customer],$D$9,0)*MATCH(orderHistory[status],$D$11,0)*MATCH(orderHistory[order_type],$D$13,0)),MATCH(ROW(orderHistory[customer]),ROW(orderHistory[customer])),""),ROWS($A$15:A36)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Q31" s="457" t="str">
        <f t="array" ref="Q31">IFERROR(IF($D$9="",IF($D$11="",IF($D$13="",IF($D$15="",INDEX(orderHistory[invoice_date],SMALL(MATCH(ROW(orderHistory[customer]),ROW(orderHistory[customer])),ROWS($A$15:A36)+$B$3)),INDEX(orderHistory[invoice_date],SMALL(IF(ISNUMBER(MATCH(YEAR(orderHistory[invoice_date]),$D$15,0)),MATCH(ROW(orderHistory[customer]),ROW(orderHistory[customer])),""),ROWS($A$15:A36)+$B$3))),IF($D$15="",INDEX(orderHistory[invoice_date],SMALL(IF(ISNUMBER(MATCH(orderHistory[order_type],$D$13,0)),MATCH(ROW(orderHistory[customer]),ROW(orderHistory[customer])),""),ROWS($A$15:A36)+$B$3)),INDEX(orderHistory[invoice_date],SMALL(IF(ISNUMBER(MATCH(orderHistory[order_type],$D$13,0)*MATCH(YEAR(orderHistory[invoice_date]),$D$15,0)),MATCH(ROW(orderHistory[customer]),ROW(orderHistory[customer])),""),ROWS($A$15:A36)+$B$3)))),IF($D$13="",IF($D$15="",INDEX(orderHistory[invoice_date],SMALL(IF(ISNUMBER(MATCH(orderHistory[status],$D$11,0)),MATCH(ROW(orderHistory[customer]),ROW(orderHistory[customer])),""),ROWS($A$15:A36)+$B$3)),INDEX(orderHistory[invoice_date],SMALL(IF(ISNUMBER(MATCH(orderHistory[status],$D$11,0)*MATCH(YEAR(orderHistory[invoice_date]),$D$15,0)),MATCH(ROW(orderHistory[customer]),ROW(orderHistory[customer])),""),ROWS($A$15:A36)+$B$3))),IF($D$15="",INDEX(orderHistory[invoice_date],SMALL(IF(ISNUMBER(MATCH(orderHistory[status],$D$11,0)*MATCH(orderHistory[order_type],$D$13,0)),MATCH(ROW(orderHistory[customer]),ROW(orderHistory[customer])),""),ROWS($A$15:A36)+$B$3)),INDEX(orderHistory[invoice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date],SMALL(IF(ISNUMBER(MATCH(orderHistory[customer],$D$9,0)),MATCH(ROW(orderHistory[customer]),ROW(orderHistory[customer])),""),ROWS($A$15:A36)+$B$3)),INDEX(orderHistory[invoice_date],SMALL(IF(ISNUMBER(MATCH(orderHistory[customer],$D$9,0)*MATCH(YEAR(orderHistory[invoice_date]),$D$15,0)),MATCH(ROW(orderHistory[customer]),ROW(orderHistory[customer])),""),ROWS($A$15:A36)+$B$3))),IF($D$15="",INDEX(orderHistory[invoice_date],SMALL(IF(ISNUMBER(MATCH(orderHistory[customer],$D$9,0)*MATCH(orderHistory[order_type],$D$13,0)),MATCH(ROW(orderHistory[customer]),ROW(orderHistory[customer])),""),ROWS($A$15:A36)+$B$3)),INDEX(orderHistory[invoice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YEAR(orderHistory[invoice_date]),$D$15,0)),MATCH(ROW(orderHistory[customer]),ROW(orderHistory[customer])),""),ROWS($A$15:A36)+$B$3))),IF($D$15="",INDEX(orderHistory[invoice_date],SMALL(IF(ISNUMBER(MATCH(orderHistory[customer],$D$9,0)*MATCH(orderHistory[status],$D$11,0)*MATCH(orderHistory[order_type],$D$13,0)),MATCH(ROW(orderHistory[customer]),ROW(orderHistory[customer])),""),ROWS($A$15:A36)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R31" s="458" t="str">
        <f t="array" ref="R31">IFERROR(IF($D$9="",IF($D$11="",IF($D$13="",IF($D$15="",INDEX(orderHistory[inv_amount],SMALL(MATCH(ROW(orderHistory[customer]),ROW(orderHistory[customer])),ROWS($A$15:A36)+$B$3)),INDEX(orderHistory[inv_amount],SMALL(IF(ISNUMBER(MATCH(YEAR(orderHistory[invoice_date]),$D$15,0)),MATCH(ROW(orderHistory[customer]),ROW(orderHistory[customer])),""),ROWS($A$15:A36)+$B$3))),IF($D$15="",INDEX(orderHistory[inv_amount],SMALL(IF(ISNUMBER(MATCH(orderHistory[order_type],$D$13,0)),MATCH(ROW(orderHistory[customer]),ROW(orderHistory[customer])),""),ROWS($A$15:A36)+$B$3)),INDEX(orderHistory[inv_amount],SMALL(IF(ISNUMBER(MATCH(orderHistory[order_type],$D$13,0)*MATCH(YEAR(orderHistory[invoice_date]),$D$15,0)),MATCH(ROW(orderHistory[customer]),ROW(orderHistory[customer])),""),ROWS($A$15:A36)+$B$3)))),IF($D$13="",IF($D$15="",INDEX(orderHistory[inv_amount],SMALL(IF(ISNUMBER(MATCH(orderHistory[status],$D$11,0)),MATCH(ROW(orderHistory[customer]),ROW(orderHistory[customer])),""),ROWS($A$15:A36)+$B$3)),INDEX(orderHistory[inv_amount],SMALL(IF(ISNUMBER(MATCH(orderHistory[status],$D$11,0)*MATCH(YEAR(orderHistory[invoice_date]),$D$15,0)),MATCH(ROW(orderHistory[customer]),ROW(orderHistory[customer])),""),ROWS($A$15:A36)+$B$3))),IF($D$15="",INDEX(orderHistory[inv_amount],SMALL(IF(ISNUMBER(MATCH(orderHistory[status],$D$11,0)*MATCH(orderHistory[order_type],$D$13,0)),MATCH(ROW(orderHistory[customer]),ROW(orderHistory[customer])),""),ROWS($A$15:A36)+$B$3)),INDEX(orderHistory[inv_amount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_amount],SMALL(IF(ISNUMBER(MATCH(orderHistory[customer],$D$9,0)),MATCH(ROW(orderHistory[customer]),ROW(orderHistory[customer])),""),ROWS($A$15:A36)+$B$3)),INDEX(orderHistory[inv_amount],SMALL(IF(ISNUMBER(MATCH(orderHistory[customer],$D$9,0)*MATCH(YEAR(orderHistory[invoice_date]),$D$15,0)),MATCH(ROW(orderHistory[customer]),ROW(orderHistory[customer])),""),ROWS($A$15:A36)+$B$3))),IF($D$15="",INDEX(orderHistory[inv_amount],SMALL(IF(ISNUMBER(MATCH(orderHistory[customer],$D$9,0)*MATCH(orderHistory[order_type],$D$13,0)),MATCH(ROW(orderHistory[customer]),ROW(orderHistory[customer])),""),ROWS($A$15:A36)+$B$3)),INDEX(orderHistory[inv_amount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YEAR(orderHistory[inv_amount]),$D$15,0)),MATCH(ROW(orderHistory[customer]),ROW(orderHistory[customer])),""),ROWS($A$15:A36)+$B$3))),IF($D$15="",INDEX(orderHistory[inv_amount],SMALL(IF(ISNUMBER(MATCH(orderHistory[customer],$D$9,0)*MATCH(orderHistory[status],$D$11,0)*MATCH(orderHistory[order_type],$D$13,0)),MATCH(ROW(orderHistory[customer]),ROW(orderHistory[customer])),""),ROWS($A$15:A36)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S31" s="569" t="str">
        <f t="array" ref="S31">IFERROR(IF($D$9="",IF($D$11="",IF($D$13="",IF($D$15="",INDEX(orderHistory[lock_goods],SMALL(MATCH(ROW(orderHistory[customer]),ROW(orderHistory[customer])),ROWS($A$15:A36)+$B$3)),INDEX(orderHistory[lock_goods],SMALL(IF(ISNUMBER(MATCH(YEAR(orderHistory[invoice_date]),$D$15,0)),MATCH(ROW(orderHistory[customer]),ROW(orderHistory[customer])),""),ROWS($A$15:A36)+$B$3))),IF($D$15="",INDEX(orderHistory[lock_goods],SMALL(IF(ISNUMBER(MATCH(orderHistory[order_type],$D$13,0)),MATCH(ROW(orderHistory[customer]),ROW(orderHistory[customer])),""),ROWS($A$15:A36)+$B$3)),INDEX(orderHistory[lock_goods],SMALL(IF(ISNUMBER(MATCH(orderHistory[order_type],$D$13,0)*MATCH(YEAR(orderHistory[invoice_date]),$D$15,0)),MATCH(ROW(orderHistory[customer]),ROW(orderHistory[customer])),""),ROWS($A$15:A36)+$B$3)))),IF($D$13="",IF($D$15="",INDEX(orderHistory[lock_goods],SMALL(IF(ISNUMBER(MATCH(orderHistory[status],$D$11,0)),MATCH(ROW(orderHistory[customer]),ROW(orderHistory[customer])),""),ROWS($A$15:A36)+$B$3)),INDEX(orderHistory[lock_goods],SMALL(IF(ISNUMBER(MATCH(orderHistory[status],$D$11,0)*MATCH(YEAR(orderHistory[invoice_date]),$D$15,0)),MATCH(ROW(orderHistory[customer]),ROW(orderHistory[customer])),""),ROWS($A$15:A36)+$B$3))),IF($D$15="",INDEX(orderHistory[lock_goods],SMALL(IF(ISNUMBER(MATCH(orderHistory[status],$D$11,0)*MATCH(orderHistory[order_type],$D$13,0)),MATCH(ROW(orderHistory[customer]),ROW(orderHistory[customer])),""),ROWS($A$15:A36)+$B$3)),INDEX(orderHistory[lock_good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lock_goods],SMALL(IF(ISNUMBER(MATCH(orderHistory[customer],$D$9,0)),MATCH(ROW(orderHistory[customer]),ROW(orderHistory[customer])),""),ROWS($A$15:A36)+$B$3)),INDEX(orderHistory[lock_goods],SMALL(IF(ISNUMBER(MATCH(orderHistory[customer],$D$9,0)*MATCH(YEAR(orderHistory[invoice_date]),$D$15,0)),MATCH(ROW(orderHistory[customer]),ROW(orderHistory[customer])),""),ROWS($A$15:A36)+$B$3))),IF($D$15="",INDEX(orderHistory[lock_goods],SMALL(IF(ISNUMBER(MATCH(orderHistory[customer],$D$9,0)*MATCH(orderHistory[order_type],$D$13,0)),MATCH(ROW(orderHistory[customer]),ROW(orderHistory[customer])),""),ROWS($A$15:A36)+$B$3)),INDEX(orderHistory[lock_good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lock_goods],SMALL(IF(ISNUMBER(MATCH(orderHistory[customer],$D$9,0)*MATCH(orderHistory[status],$D$11,0)),MATCH(ROW(orderHistory[customer]),ROW(orderHistory[customer])),""),ROWS($A$15:A36)+$B$3)),INDEX(orderHistory[lock_goods],SMALL(IF(ISNUMBER(MATCH(orderHistory[customer],$D$9,0)*MATCH(orderHistory[status],$D$11,0)*MATCH(YEAR(orderHistory[payed]),$D$15,0)),MATCH(ROW(orderHistory[customer]),ROW(orderHistory[customer])),""),ROWS($A$15:A36)+$B$3))),IF($D$15="",INDEX(orderHistory[lock_goods],SMALL(IF(ISNUMBER(MATCH(orderHistory[customer],$D$9,0)*MATCH(orderHistory[status],$D$11,0)*MATCH(orderHistory[order_type],$D$13,0)),MATCH(ROW(orderHistory[customer]),ROW(orderHistory[customer])),""),ROWS($A$15:A36)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T31" s="459" t="str">
        <f t="array" ref="T31">IFERROR(IF($D$9="",IF($D$11="",IF($D$13="",IF($D$15="",INDEX(orderHistory[payed],SMALL(MATCH(ROW(orderHistory[customer]),ROW(orderHistory[customer])),ROWS($A$15:A36)+$B$3)),INDEX(orderHistory[payed],SMALL(IF(ISNUMBER(MATCH(YEAR(orderHistory[invoice_date]),$D$15,0)),MATCH(ROW(orderHistory[customer]),ROW(orderHistory[customer])),""),ROWS($A$15:A36)+$B$3))),IF($D$15="",INDEX(orderHistory[payed],SMALL(IF(ISNUMBER(MATCH(orderHistory[order_type],$D$13,0)),MATCH(ROW(orderHistory[customer]),ROW(orderHistory[customer])),""),ROWS($A$15:A36)+$B$3)),INDEX(orderHistory[payed],SMALL(IF(ISNUMBER(MATCH(orderHistory[order_type],$D$13,0)*MATCH(YEAR(orderHistory[invoice_date]),$D$15,0)),MATCH(ROW(orderHistory[customer]),ROW(orderHistory[customer])),""),ROWS($A$15:A36)+$B$3)))),IF($D$13="",IF($D$15="",INDEX(orderHistory[payed],SMALL(IF(ISNUMBER(MATCH(orderHistory[status],$D$11,0)),MATCH(ROW(orderHistory[customer]),ROW(orderHistory[customer])),""),ROWS($A$15:A36)+$B$3)),INDEX(orderHistory[payed],SMALL(IF(ISNUMBER(MATCH(orderHistory[status],$D$11,0)*MATCH(YEAR(orderHistory[invoice_date]),$D$15,0)),MATCH(ROW(orderHistory[customer]),ROW(orderHistory[customer])),""),ROWS($A$15:A36)+$B$3))),IF($D$15="",INDEX(orderHistory[payed],SMALL(IF(ISNUMBER(MATCH(orderHistory[status],$D$11,0)*MATCH(orderHistory[order_type],$D$13,0)),MATCH(ROW(orderHistory[customer]),ROW(orderHistory[customer])),""),ROWS($A$15:A36)+$B$3)),INDEX(orderHistory[paye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payed],SMALL(IF(ISNUMBER(MATCH(orderHistory[customer],$D$9,0)),MATCH(ROW(orderHistory[customer]),ROW(orderHistory[customer])),""),ROWS($A$15:A36)+$B$3)),INDEX(orderHistory[payed],SMALL(IF(ISNUMBER(MATCH(orderHistory[customer],$D$9,0)*MATCH(YEAR(orderHistory[invoice_date]),$D$15,0)),MATCH(ROW(orderHistory[customer]),ROW(orderHistory[customer])),""),ROWS($A$15:A36)+$B$3))),IF($D$15="",INDEX(orderHistory[payed],SMALL(IF(ISNUMBER(MATCH(orderHistory[customer],$D$9,0)*MATCH(orderHistory[order_type],$D$13,0)),MATCH(ROW(orderHistory[customer]),ROW(orderHistory[customer])),""),ROWS($A$15:A36)+$B$3)),INDEX(orderHistory[paye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YEAR(orderHistory[payed]),$D$15,0)),MATCH(ROW(orderHistory[customer]),ROW(orderHistory[customer])),""),ROWS($A$15:A36)+$B$3))),IF($D$15="",INDEX(orderHistory[payed],SMALL(IF(ISNUMBER(MATCH(orderHistory[customer],$D$9,0)*MATCH(orderHistory[status],$D$11,0)*MATCH(orderHistory[order_type],$D$13,0)),MATCH(ROW(orderHistory[customer]),ROW(orderHistory[customer])),""),ROWS($A$15:A36)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U31" s="454" t="str">
        <f t="array" ref="U31">IFERROR(IF($D$9="",IF($D$11="",IF($D$13="",IF($D$15="",INDEX(orderHistory[shipping_method],SMALL(MATCH(ROW(orderHistory[customer]),ROW(orderHistory[customer])),ROWS($A$15:A36)+$B$3)),INDEX(orderHistory[shipping_method],SMALL(IF(ISNUMBER(MATCH(YEAR(orderHistory[invoice_date]),$D$15,0)),MATCH(ROW(orderHistory[customer]),ROW(orderHistory[customer])),""),ROWS($A$15:A36)+$B$3))),IF($D$15="",INDEX(orderHistory[shipping_method],SMALL(IF(ISNUMBER(MATCH(orderHistory[order_type],$D$13,0)),MATCH(ROW(orderHistory[customer]),ROW(orderHistory[customer])),""),ROWS($A$15:A36)+$B$3)),INDEX(orderHistory[shipping_method],SMALL(IF(ISNUMBER(MATCH(orderHistory[order_type],$D$13,0)*MATCH(YEAR(orderHistory[invoice_date]),$D$15,0)),MATCH(ROW(orderHistory[customer]),ROW(orderHistory[customer])),""),ROWS($A$15:A36)+$B$3)))),IF($D$13="",IF($D$15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YEAR(orderHistory[invoice_date]),$D$15,0)),MATCH(ROW(orderHistory[customer]),ROW(orderHistory[customer])),""),ROWS($A$15:A36)+$B$3))),IF($D$15="",INDEX(orderHistory[shipping_method],SMALL(IF(ISNUMBER(MATCH(orderHistory[status],$D$11,0)*MATCH(orderHistory[order_type],$D$13,0)),MATCH(ROW(orderHistory[customer]),ROW(orderHistory[customer])),""),ROWS($A$15:A36)+$B$3)),INDEX(orderHistory[shipping_metho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YEAR(orderHistory[invoice_date]),$D$15,0)),MATCH(ROW(orderHistory[customer]),ROW(orderHistory[customer])),""),ROWS($A$15:A36)+$B$3))),IF($D$15="",INDEX(orderHistory[shipping_method],SMALL(IF(ISNUMBER(MATCH(orderHistory[customer],$D$9,0)*MATCH(orderHistory[order_type],$D$13,0)),MATCH(ROW(orderHistory[customer]),ROW(orderHistory[customer])),""),ROWS($A$15:A36)+$B$3)),INDEX(orderHistory[shipping_metho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YEAR(orderHistory[shipping_method]),$D$15,0)),MATCH(ROW(orderHistory[customer]),ROW(orderHistory[customer])),""),ROWS($A$15:A36)+$B$3))),IF($D$15="",INDEX(orderHistory[shipping_method],SMALL(IF(ISNUMBER(MATCH(orderHistory[customer],$D$9,0)*MATCH(orderHistory[status],$D$11,0)*MATCH(orderHistory[order_type],$D$13,0)),MATCH(ROW(orderHistory[customer]),ROW(orderHistory[customer])),""),ROWS($A$15:A36)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V31" s="460" t="str">
        <f t="array" ref="V31">IFERROR(IF($D$9="",IF($D$11="",IF($D$13="",IF($D$15="",INDEX(orderHistory[status],SMALL(MATCH(ROW(orderHistory[customer]),ROW(orderHistory[customer])),ROWS($A$15:A36)+$B$3)),INDEX(orderHistory[status],SMALL(IF(ISNUMBER(MATCH(YEAR(orderHistory[invoice_date]),$D$15,0)),MATCH(ROW(orderHistory[customer]),ROW(orderHistory[customer])),""),ROWS($A$15:A36)+$B$3))),IF($D$15="",INDEX(orderHistory[status],SMALL(IF(ISNUMBER(MATCH(orderHistory[order_type],$D$13,0)),MATCH(ROW(orderHistory[customer]),ROW(orderHistory[customer])),""),ROWS($A$15:A36)+$B$3)),INDEX(orderHistory[status],SMALL(IF(ISNUMBER(MATCH(orderHistory[order_type],$D$13,0)*MATCH(YEAR(orderHistory[invoice_date]),$D$15,0)),MATCH(ROW(orderHistory[customer]),ROW(orderHistory[customer])),""),ROWS($A$15:A36)+$B$3)))),IF($D$13="",IF($D$15="",INDEX(orderHistory[status],SMALL(IF(ISNUMBER(MATCH(orderHistory[status],$D$11,0)),MATCH(ROW(orderHistory[customer]),ROW(orderHistory[customer])),""),ROWS($A$15:A36)+$B$3)),INDEX(orderHistory[status],SMALL(IF(ISNUMBER(MATCH(orderHistory[status],$D$11,0)*MATCH(YEAR(orderHistory[invoice_date]),$D$15,0)),MATCH(ROW(orderHistory[customer]),ROW(orderHistory[customer])),""),ROWS($A$15:A36)+$B$3))),IF($D$15="",INDEX(orderHistory[status],SMALL(IF(ISNUMBER(MATCH(orderHistory[status],$D$11,0)*MATCH(orderHistory[order_type],$D$13,0)),MATCH(ROW(orderHistory[customer]),ROW(orderHistory[customer])),""),ROWS($A$15:A36)+$B$3)),INDEX(orderHistory[statu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tatus],SMALL(IF(ISNUMBER(MATCH(orderHistory[customer],$D$9,0)),MATCH(ROW(orderHistory[customer]),ROW(orderHistory[customer])),""),ROWS($A$15:A36)+$B$3)),INDEX(orderHistory[status],SMALL(IF(ISNUMBER(MATCH(orderHistory[customer],$D$9,0)*MATCH(YEAR(orderHistory[invoice_date]),$D$15,0)),MATCH(ROW(orderHistory[customer]),ROW(orderHistory[customer])),""),ROWS($A$15:A36)+$B$3))),IF($D$15="",INDEX(orderHistory[status],SMALL(IF(ISNUMBER(MATCH(orderHistory[customer],$D$9,0)*MATCH(orderHistory[order_type],$D$13,0)),MATCH(ROW(orderHistory[customer]),ROW(orderHistory[customer])),""),ROWS($A$15:A36)+$B$3)),INDEX(orderHistory[statu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YEAR(orderHistory[status]),$D$15,0)),MATCH(ROW(orderHistory[customer]),ROW(orderHistory[customer])),""),ROWS($A$15:A36)+$B$3))),IF($D$15="",INDEX(orderHistory[status],SMALL(IF(ISNUMBER(MATCH(orderHistory[customer],$D$9,0)*MATCH(orderHistory[status],$D$11,0)*MATCH(orderHistory[order_type],$D$13,0)),MATCH(ROW(orderHistory[customer]),ROW(orderHistory[customer])),""),ROWS($A$15:A36)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W31" s="75"/>
      <c r="AQ31" s="378"/>
      <c r="AR31" s="418"/>
      <c r="AS31" s="421"/>
      <c r="AT31" s="422"/>
      <c r="AU31" s="339"/>
      <c r="AW31" s="376"/>
      <c r="BA31" s="421"/>
      <c r="BB31" s="861"/>
      <c r="BC31" s="861"/>
      <c r="BD31" s="861"/>
      <c r="BF31" s="332"/>
      <c r="BJ31" s="339"/>
      <c r="BK31" s="366"/>
      <c r="BL31" s="367"/>
      <c r="BM31" s="368"/>
      <c r="BN31" s="367"/>
      <c r="BO31" s="368"/>
      <c r="BZ31" s="495"/>
      <c r="CA31" s="477" t="str">
        <f>IF(BZ31="","",INDEX(bhpc_data[description],MATCH(BZ31,bhpc_data[sku],0)))</f>
        <v/>
      </c>
      <c r="CB31" s="480"/>
      <c r="CC31" s="479"/>
      <c r="CD31" s="494"/>
      <c r="CE31" s="481"/>
      <c r="CF31" s="482"/>
      <c r="CG31" s="483" t="str">
        <f>IFERROR(ROUNDUP(CB31/INDEX(bhpc_data[units_per_carton],MATCH(BZ31,bhpc_data[sku],0)),0),"")</f>
        <v/>
      </c>
      <c r="CH31" s="484" t="str">
        <f>IFERROR(ROUNDUP(CD31/INDEX(bhpc_data[units_per_carton],MATCH(BZ31,bhpc_data[sku],0)),0),"")</f>
        <v/>
      </c>
      <c r="CI31" s="484" t="str">
        <f>IFERROR(ROUNDUP(CF31/INDEX(bhpc_data[units_per_carton],MATCH(BZ31,bhpc_data[sku])),0),"")</f>
        <v/>
      </c>
      <c r="CJ31" s="484" t="str">
        <f>IFERROR(((CB31+CD31+CF31)/INDEX(bhpc_data[units_per_carton],MATCH(BZ31,bhpc_data[sku],0)))*INDEX(bhpc_data[net_weight],MATCH(BZ31,bhpc_data[sku],0)),"")</f>
        <v/>
      </c>
      <c r="CK31" s="484" t="str">
        <f>IFERROR(((CB31+CD31+CF31)/INDEX(bhpc_data[units_per_carton],MATCH(BZ31,bhpc_data[sku],0)))*INDEX(bhpc_data[gross_weight],MATCH(BZ31,bhpc_data[sku],0)),"")</f>
        <v/>
      </c>
      <c r="CL31" s="485" t="str">
        <f>IFERROR((CB31+CD31+CF31)/INDEX(bhpc_data[units_per_carton],MATCH(BZ31,bhpc_data[sku],0))*INDEX(bhpc_data[lenght],MATCH(BZ31,bhpc_data[sku],0))*INDEX(bhpc_data[width],MATCH(BZ31,bhpc_data[sku],0))*INDEX(bhpc_data[height],MATCH(BZ31,bhpc_data[sku],0))/1000000000,"")</f>
        <v/>
      </c>
      <c r="CM31" s="486" t="str">
        <f>IFERROR(INDEX(bhpc_data[category],MATCH(BZ31,bhpc_data[sku],0)),"")</f>
        <v/>
      </c>
      <c r="CN31" s="486" t="str">
        <f>IFERROR(INDEX(bhpc_data[size1],MATCH(BZ31,bhpc_data[sku],0)),"")</f>
        <v/>
      </c>
      <c r="CO31" s="487" t="str">
        <f>IFERROR(INDEX(bhpc_data[hs_code],MATCH(BZ31,bhpc_data[sku],0)),"")</f>
        <v/>
      </c>
      <c r="CP31" s="482"/>
      <c r="CQ31" s="488" t="str">
        <f>IFERROR(IF(BZ31="","",IF($BX$15="SALE",INDEX(inventory[COSTO UNITARIO],MATCH(BZ31,inventory[ARTICOLO],0)),IF($BX$15="SAMPLING",INDEX(inventory[COSTO UNITARIO],MATCH(BZ31,inventory[ARTICOLO],0)),""))),"")</f>
        <v/>
      </c>
      <c r="CR31" s="488" t="str">
        <f t="shared" si="0"/>
        <v/>
      </c>
      <c r="CS31" s="489" t="str">
        <f t="shared" si="1"/>
        <v/>
      </c>
      <c r="CT31" s="573" t="str">
        <f t="shared" si="2"/>
        <v/>
      </c>
      <c r="CV31" s="85"/>
      <c r="CW31" s="533" t="s">
        <v>1165</v>
      </c>
      <c r="CX31" s="559" t="e">
        <f>IF(INDEX(orderHistory[production_no],MATCH($BX$11,orderHistory[order_no],0))=0,"",INDEX(orderHistory[production_no],MATCH($BX$11,orderHistory[order_no],0)))</f>
        <v>#N/A</v>
      </c>
      <c r="CY31" s="117"/>
      <c r="CZ31" s="117"/>
      <c r="DA31" s="82"/>
      <c r="DH31" s="245"/>
      <c r="EE31" s="541" t="str" cm="1">
        <f t="array" ref="EE31">IFERROR(IF($EC$9="",IF($EC$11="",IF($EC$13="",INDEX(bhpc_data[sku],SMALL(MATCH(ROW(bhpc_data[sku]),ROW(bhpc_data[sku])),ROWS($A$15:A36)+$B$3)),INDEX(bhpc_data[sku],SMALL(IF(ISNUMBER(MATCH(bhpc_data[size1],$EC$13,0)),MATCH(ROW(bhpc_data[sku]),ROW(bhpc_data[sku])),""),ROWS($A$15:A36)+$B$3))),IF($EC$13="",INDEX(bhpc_data[sku],SMALL(IF(ISNUMBER(MATCH(bhpc_data[sex],$EC$11,0)),MATCH(ROW(bhpc_data[sku]),ROW(bhpc_data[sku])),""),ROWS($A$15:A36)+$B$3)),INDEX(bhpc_data[sku],SMALL(IF(ISNUMBER(MATCH(bhpc_data[sex],$EC$11,0)*MATCH(bhpc_data[size1],$EC$13,0)),MATCH(ROW(bhpc_data[sku]),ROW(bhpc_data[sku])),""),ROWS($A$15:A36)+$B$3)))),IF($EC$11="",IF($EC$13="",INDEX(bhpc_data[sku],SMALL(IF(ISNUMBER(MATCH(bhpc_data[category],$EC$9,0)),MATCH(ROW(bhpc_data[sku]),ROW(bhpc_data[sku])),""),ROWS($A$15:A36)+$B$3)),INDEX(bhpc_data[sku],SMALL(IF(ISNUMBER(MATCH(bhpc_data[category],$EC$9,0)*MATCH(bhpc_data[size1],$EC$13,0)),MATCH(ROW(bhpc_data[sku]),ROW(bhpc_data[sku])),""),ROWS($A$15:A36)+$B$3))),IF($EC$13="",INDEX(bhpc_data[sku],SMALL(IF(ISNUMBER(MATCH(bhpc_data[category],$EC$9,0)*MATCH(bhpc_data[sex],$EC$11,0)),MATCH(ROW(bhpc_data[sku]),ROW(bhpc_data[sku])),""),ROWS($A$15:A36)+$B$3)),INDEX(bhpc_data[sku],SMALL(IF(ISNUMBER(MATCH(bhpc_data[category],$EC$9,0)*MATCH(bhpc_data[sex],$EC$11,0)*MATCH(bhpc_data[size1],$EC$13,0)),MATCH(ROW(bhpc_data[sku]),ROW(bhpc_data[sku])),""),ROWS($A$15:A36)+$B$3))))),"")</f>
        <v>GS7025</v>
      </c>
      <c r="EF31" s="542" t="str" cm="1">
        <f t="array" ref="EF31">IFERROR(IF($EC$9="",IF($EC$11="",IF($EC$13="",INDEX(bhpc_data[description],SMALL(MATCH(ROW(bhpc_data[sku]),ROW(bhpc_data[sku])),ROWS($A$15:A36)+$B$3)),INDEX(bhpc_data[description],SMALL(IF(ISNUMBER(MATCH(bhpc_data[size1],$EC$13,0)),MATCH(ROW(bhpc_data[sku]),ROW(bhpc_data[sku])),""),ROWS($A$15:A36)+$B$3))),IF($EC$13="",INDEX(bhpc_data[description],SMALL(IF(ISNUMBER(MATCH(bhpc_data[sex],$EC$11,0)),MATCH(ROW(bhpc_data[sku]),ROW(bhpc_data[sku])),""),ROWS($A$15:A36)+$B$3)),INDEX(bhpc_data[description],SMALL(IF(ISNUMBER(MATCH(bhpc_data[sex],$EC$11,0)*MATCH(bhpc_data[size1],$EC$13,0)),MATCH(ROW(bhpc_data[sku]),ROW(bhpc_data[sku])),""),ROWS($A$15:A36)+$B$3)))),IF($EC$11="",IF($EC$13="",INDEX(bhpc_data[description],SMALL(IF(ISNUMBER(MATCH(bhpc_data[category],$EC$9,0)),MATCH(ROW(bhpc_data[sku]),ROW(bhpc_data[sku])),""),ROWS($A$15:A36)+$B$3)),INDEX(bhpc_data[description],SMALL(IF(ISNUMBER(MATCH(bhpc_data[category],$EC$9,0)*MATCH(bhpc_data[size1],$EC$13,0)),MATCH(ROW(bhpc_data[sku]),ROW(bhpc_data[sku])),""),ROWS($A$15:A36)+$B$3))),IF($EC$13="",INDEX(bhpc_data[description],SMALL(IF(ISNUMBER(MATCH(bhpc_data[category],$EC$9,0)*MATCH(bhpc_data[sex],$EC$11,0)),MATCH(ROW(bhpc_data[sku]),ROW(bhpc_data[sku])),""),ROWS($A$15:A36)+$B$3)),INDEX(bhpc_data[description],SMALL(IF(ISNUMBER(MATCH(bhpc_data[category],$EC$9,0)*MATCH(bhpc_data[sex],$EC$11,0)*MATCH(bhpc_data[size1],$EC$13,0)),MATCH(ROW(bhpc_data[sku]),ROW(bhpc_data[sku])),""),ROWS($A$15:A36)+$B$3))))),"")</f>
        <v>BHPC GIFT SET WOMEN #9 EDP50ML+DEO150ML+ROLLON50ML</v>
      </c>
      <c r="EG31" s="543">
        <f>IFERROR(IF('BHPC MANAGER'!$EE31="","",INDEX(inventory[ESISTENZA],MATCH('BHPC MANAGER'!$EE31,inventory[ARTICOLO],0))),0)</f>
        <v>286</v>
      </c>
      <c r="EH31" s="544">
        <v>0</v>
      </c>
      <c r="EI31" s="544">
        <f t="shared" si="3"/>
        <v>286</v>
      </c>
      <c r="EJ31" s="545">
        <v>-72</v>
      </c>
      <c r="EK31" s="546">
        <f t="shared" si="4"/>
        <v>214</v>
      </c>
      <c r="FF31" s="331"/>
      <c r="FG31" s="331"/>
      <c r="FH31" s="331"/>
      <c r="FI31" s="331"/>
      <c r="FJ31" s="331"/>
      <c r="FK31" s="331"/>
      <c r="FL31" s="331"/>
      <c r="FM31" s="331"/>
      <c r="FN31" s="331"/>
      <c r="FO31" s="331"/>
      <c r="FP31" s="331"/>
      <c r="FQ31" s="331"/>
      <c r="FR31" s="331"/>
      <c r="FS31" s="331"/>
      <c r="FT31" s="331"/>
      <c r="FU31" s="331"/>
      <c r="FV31" s="331"/>
      <c r="FW31" s="331"/>
      <c r="FX31" s="331"/>
      <c r="FY31" s="331"/>
      <c r="FZ31" s="331"/>
      <c r="GA31" s="331"/>
      <c r="GB31" s="331"/>
      <c r="GC31" s="331"/>
      <c r="GD31" s="331"/>
      <c r="GE31" s="331"/>
      <c r="GF31" s="331"/>
      <c r="GG31" s="331"/>
      <c r="GH31" s="331"/>
      <c r="GI31" s="331"/>
      <c r="GJ31" s="331"/>
      <c r="GK31" s="331"/>
      <c r="GL31" s="331"/>
      <c r="GM31" s="331"/>
      <c r="GN31" s="331"/>
      <c r="GO31" s="331"/>
      <c r="GP31" s="331"/>
      <c r="GQ31" s="331"/>
      <c r="GR31" s="331"/>
      <c r="GS31" s="331"/>
      <c r="GT31" s="331"/>
      <c r="GU31" s="331"/>
      <c r="GV31" s="331"/>
      <c r="GW31" s="331"/>
      <c r="GX31" s="331"/>
      <c r="GY31" s="331"/>
      <c r="GZ31" s="331"/>
      <c r="HA31" s="331"/>
      <c r="HB31" s="331"/>
      <c r="HC31" s="331"/>
      <c r="HD31" s="331"/>
      <c r="HE31" s="331"/>
      <c r="HF31" s="331"/>
      <c r="HG31" s="331"/>
      <c r="HH31" s="331"/>
      <c r="HI31" s="331"/>
      <c r="HJ31" s="331"/>
      <c r="HK31" s="331"/>
      <c r="HL31" s="331"/>
      <c r="HM31" s="331"/>
      <c r="HN31" s="331"/>
      <c r="HO31" s="331"/>
      <c r="HP31" s="331"/>
      <c r="HQ31" s="331"/>
      <c r="HR31" s="331"/>
      <c r="HS31" s="331"/>
      <c r="HT31" s="331"/>
    </row>
    <row r="32" spans="1:228" ht="15" customHeight="1" x14ac:dyDescent="0.35">
      <c r="F32" s="96"/>
      <c r="G32" s="850"/>
      <c r="H32" s="851"/>
      <c r="I32" s="852"/>
      <c r="J32" s="82"/>
      <c r="L32" s="452" t="str">
        <f t="array" ref="L32">IFERROR(IF($D$9="",IF($D$11="",IF($D$13="",IF($D$15="",INDEX(orderHistory[customer],SMALL(MATCH(ROW(orderHistory[customer]),ROW(orderHistory[customer])),ROWS($A$15:A37)+$B$3)),INDEX(orderHistory[customer],SMALL(IF(ISNUMBER(MATCH(YEAR(orderHistory[invoice_date]),$D$15,0)),MATCH(ROW(orderHistory[customer]),ROW(orderHistory[customer])),""),ROWS($A$15:A37)+$B$3))),IF($D$15="",INDEX(orderHistory[customer],SMALL(IF(ISNUMBER(MATCH(orderHistory[order_type],$D$13,0)),MATCH(ROW(orderHistory[customer]),ROW(orderHistory[customer])),""),ROWS($A$15:A37)+$B$3)),INDEX(orderHistory[customer],SMALL(IF(ISNUMBER(MATCH(orderHistory[order_type],$D$13,0)*MATCH(YEAR(orderHistory[invoice_date]),$D$15,0)),MATCH(ROW(orderHistory[customer]),ROW(orderHistory[customer])),""),ROWS($A$15:A37)+$B$3)))),IF($D$13="",IF($D$15="",INDEX(orderHistory[customer],SMALL(IF(ISNUMBER(MATCH(orderHistory[status],$D$11,0)),MATCH(ROW(orderHistory[customer]),ROW(orderHistory[customer])),""),ROWS($A$15:A37)+$B$3)),INDEX(orderHistory[customer],SMALL(IF(ISNUMBER(MATCH(orderHistory[status],$D$11,0)*MATCH(YEAR(orderHistory[invoice_date]),$D$15,0)),MATCH(ROW(orderHistory[customer]),ROW(orderHistory[customer])),""),ROWS($A$15:A37)+$B$3))),IF($D$15="",INDEX(orderHistory[customer],SMALL(IF(ISNUMBER(MATCH(orderHistory[status],$D$11,0)*MATCH(orderHistory[order_type],$D$13,0)),MATCH(ROW(orderHistory[customer]),ROW(orderHistory[customer])),""),ROWS($A$15:A37)+$B$3)),INDEX(orderHistory[customer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customer],SMALL(IF(ISNUMBER(MATCH(orderHistory[customer],$D$9,0)),MATCH(ROW(orderHistory[customer]),ROW(orderHistory[customer])),""),ROWS($A$15:A37)+$B$3)),INDEX(orderHistory[customer],SMALL(IF(ISNUMBER(MATCH(orderHistory[customer],$D$9,0)*MATCH(YEAR(orderHistory[invoice_date]),$D$15,0)),MATCH(ROW(orderHistory[customer]),ROW(orderHistory[customer])),""),ROWS($A$15:A37)+$B$3))),IF($D$15="",INDEX(orderHistory[customer],SMALL(IF(ISNUMBER(MATCH(orderHistory[customer],$D$9,0)*MATCH(orderHistory[order_type],$D$13,0)),MATCH(ROW(orderHistory[customer]),ROW(orderHistory[customer])),""),ROWS($A$15:A37)+$B$3)),INDEX(orderHistory[customer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YEAR(orderHistory[invoice_date]),$D$15,0)),MATCH(ROW(orderHistory[customer]),ROW(orderHistory[customer])),""),ROWS($A$15:A37)+$B$3))),IF($D$15="",INDEX(orderHistory[customer],SMALL(IF(ISNUMBER(MATCH(orderHistory[customer],$D$9,0)*MATCH(orderHistory[status],$D$11,0)*MATCH(orderHistory[order_type],$D$13,0)),MATCH(ROW(orderHistory[customer]),ROW(orderHistory[customer])),""),ROWS($A$15:A37)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M32" s="453" t="str">
        <f t="array" ref="M32">IFERROR(IF($D$9="",IF($D$11="",IF($D$13="",IF($D$15="",INDEX(orderHistory[order_no],SMALL(MATCH(ROW(orderHistory[customer]),ROW(orderHistory[customer])),ROWS($A$15:A37)+$B$3)),INDEX(orderHistory[order_no],SMALL(IF(ISNUMBER(MATCH(YEAR(orderHistory[invoice_date]),$D$15,0)),MATCH(ROW(orderHistory[customer]),ROW(orderHistory[customer])),""),ROWS($A$15:A37)+$B$3))),IF($D$15="",INDEX(orderHistory[order_no],SMALL(IF(ISNUMBER(MATCH(orderHistory[order_type],$D$13,0)),MATCH(ROW(orderHistory[customer]),ROW(orderHistory[customer])),""),ROWS($A$15:A37)+$B$3)),INDEX(orderHistory[order_no],SMALL(IF(ISNUMBER(MATCH(orderHistory[order_type],$D$13,0)*MATCH(YEAR(orderHistory[invoice_date]),$D$15,0)),MATCH(ROW(orderHistory[customer]),ROW(orderHistory[customer])),""),ROWS($A$15:A37)+$B$3)))),IF($D$13="",IF($D$15="",INDEX(orderHistory[order_no],SMALL(IF(ISNUMBER(MATCH(orderHistory[status],$D$11,0)),MATCH(ROW(orderHistory[customer]),ROW(orderHistory[customer])),""),ROWS($A$15:A37)+$B$3)),INDEX(orderHistory[order_no],SMALL(IF(ISNUMBER(MATCH(orderHistory[status],$D$11,0)*MATCH(YEAR(orderHistory[invoice_date]),$D$15,0)),MATCH(ROW(orderHistory[customer]),ROW(orderHistory[customer])),""),ROWS($A$15:A37)+$B$3))),IF($D$15="",INDEX(orderHistory[order_no],SMALL(IF(ISNUMBER(MATCH(orderHistory[status],$D$11,0)*MATCH(orderHistory[order_type],$D$13,0)),MATCH(ROW(orderHistory[customer]),ROW(orderHistory[customer])),""),ROWS($A$15:A37)+$B$3)),INDEX(orderHistory[order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no],SMALL(IF(ISNUMBER(MATCH(orderHistory[customer],$D$9,0)),MATCH(ROW(orderHistory[customer]),ROW(orderHistory[customer])),""),ROWS($A$15:A37)+$B$3)),INDEX(orderHistory[order_no],SMALL(IF(ISNUMBER(MATCH(orderHistory[customer],$D$9,0)*MATCH(YEAR(orderHistory[invoice_date]),$D$15,0)),MATCH(ROW(orderHistory[customer]),ROW(orderHistory[customer])),""),ROWS($A$15:A37)+$B$3))),IF($D$15="",INDEX(orderHistory[order_no],SMALL(IF(ISNUMBER(MATCH(orderHistory[customer],$D$9,0)*MATCH(orderHistory[order_type],$D$13,0)),MATCH(ROW(orderHistory[customer]),ROW(orderHistory[customer])),""),ROWS($A$15:A37)+$B$3)),INDEX(orderHistory[order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YEAR(orderHistory[invoice_date]),$D$15,0)),MATCH(ROW(orderHistory[customer]),ROW(orderHistory[customer])),""),ROWS($A$15:A37)+$B$3))),IF($D$15="",INDEX(orderHistory[order_no],SMALL(IF(ISNUMBER(MATCH(orderHistory[customer],$D$9,0)*MATCH(orderHistory[status],$D$11,0)*MATCH(orderHistory[order_type],$D$13,0)),MATCH(ROW(orderHistory[customer]),ROW(orderHistory[customer])),""),ROWS($A$15:A37)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N32" s="454" t="str">
        <f t="array" ref="N32">IFERROR(IF($D$9="",IF($D$11="",IF($D$13="",IF($D$15="",INDEX(orderHistory[order_type],SMALL(MATCH(ROW(orderHistory[customer]),ROW(orderHistory[customer])),ROWS($A$15:A37)+$B$3)),INDEX(orderHistory[order_type],SMALL(IF(ISNUMBER(MATCH(YEAR(orderHistory[invoice_date]),$D$15,0)),MATCH(ROW(orderHistory[customer]),ROW(orderHistory[customer])),""),ROWS($A$15:A37)+$B$3))),IF($D$15="",INDEX(orderHistory[order_type],SMALL(IF(ISNUMBER(MATCH(orderHistory[order_type],$D$13,0)),MATCH(ROW(orderHistory[customer]),ROW(orderHistory[customer])),""),ROWS($A$15:A37)+$B$3)),INDEX(orderHistory[order_type],SMALL(IF(ISNUMBER(MATCH(orderHistory[order_type],$D$13,0)*MATCH(YEAR(orderHistory[invoice_date]),$D$15,0)),MATCH(ROW(orderHistory[customer]),ROW(orderHistory[customer])),""),ROWS($A$15:A37)+$B$3)))),IF($D$13="",IF($D$15="",INDEX(orderHistory[order_type],SMALL(IF(ISNUMBER(MATCH(orderHistory[status],$D$11,0)),MATCH(ROW(orderHistory[customer]),ROW(orderHistory[customer])),""),ROWS($A$15:A37)+$B$3)),INDEX(orderHistory[order_type],SMALL(IF(ISNUMBER(MATCH(orderHistory[status],$D$11,0)*MATCH(YEAR(orderHistory[invoice_date]),$D$15,0)),MATCH(ROW(orderHistory[customer]),ROW(orderHistory[customer])),""),ROWS($A$15:A37)+$B$3))),IF($D$15="",INDEX(orderHistory[order_type],SMALL(IF(ISNUMBER(MATCH(orderHistory[status],$D$11,0)*MATCH(orderHistory[order_type],$D$13,0)),MATCH(ROW(orderHistory[customer]),ROW(orderHistory[customer])),""),ROWS($A$15:A37)+$B$3)),INDEX(orderHistory[order_typ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type],SMALL(IF(ISNUMBER(MATCH(orderHistory[customer],$D$9,0)),MATCH(ROW(orderHistory[customer]),ROW(orderHistory[customer])),""),ROWS($A$15:A37)+$B$3)),INDEX(orderHistory[order_type],SMALL(IF(ISNUMBER(MATCH(orderHistory[customer],$D$9,0)*MATCH(YEAR(orderHistory[invoice_date]),$D$15,0)),MATCH(ROW(orderHistory[customer]),ROW(orderHistory[customer])),""),ROWS($A$15:A37)+$B$3))),IF($D$15="",INDEX(orderHistory[order_type],SMALL(IF(ISNUMBER(MATCH(orderHistory[customer],$D$9,0)*MATCH(orderHistory[order_type],$D$13,0)),MATCH(ROW(orderHistory[customer]),ROW(orderHistory[customer])),""),ROWS($A$15:A37)+$B$3)),INDEX(orderHistory[order_typ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YEAR(orderHistory[invoice_date]),$D$15,0)),MATCH(ROW(orderHistory[customer]),ROW(orderHistory[customer])),""),ROWS($A$15:A37)+$B$3))),IF($D$15="",INDEX(orderHistory[order_type],SMALL(IF(ISNUMBER(MATCH(orderHistory[customer],$D$9,0)*MATCH(orderHistory[status],$D$11,0)*MATCH(orderHistory[order_type],$D$13,0)),MATCH(ROW(orderHistory[customer]),ROW(orderHistory[customer])),""),ROWS($A$15:A37)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O32" s="455" t="str">
        <f t="array" ref="O32">IFERROR(IF($D$9="",IF($D$11="",IF($D$13="",IF($D$15="",INDEX(orderHistory[order_date],SMALL(MATCH(ROW(orderHistory[customer]),ROW(orderHistory[customer])),ROWS($A$15:A37)+$B$3)),INDEX(orderHistory[order_date],SMALL(IF(ISNUMBER(MATCH(YEAR(orderHistory[invoice_date]),$D$15,0)),MATCH(ROW(orderHistory[customer]),ROW(orderHistory[customer])),""),ROWS($A$15:A37)+$B$3))),IF($D$15="",INDEX(orderHistory[order_date],SMALL(IF(ISNUMBER(MATCH(orderHistory[order_type],$D$13,0)),MATCH(ROW(orderHistory[customer]),ROW(orderHistory[customer])),""),ROWS($A$15:A37)+$B$3)),INDEX(orderHistory[order_date],SMALL(IF(ISNUMBER(MATCH(orderHistory[order_type],$D$13,0)*MATCH(YEAR(orderHistory[invoice_date]),$D$15,0)),MATCH(ROW(orderHistory[customer]),ROW(orderHistory[customer])),""),ROWS($A$15:A37)+$B$3)))),IF($D$13="",IF($D$15="",INDEX(orderHistory[order_date],SMALL(IF(ISNUMBER(MATCH(orderHistory[status],$D$11,0)),MATCH(ROW(orderHistory[customer]),ROW(orderHistory[customer])),""),ROWS($A$15:A37)+$B$3)),INDEX(orderHistory[order_date],SMALL(IF(ISNUMBER(MATCH(orderHistory[status],$D$11,0)*MATCH(YEAR(orderHistory[invoice_date]),$D$15,0)),MATCH(ROW(orderHistory[customer]),ROW(orderHistory[customer])),""),ROWS($A$15:A37)+$B$3))),IF($D$15="",INDEX(orderHistory[order_date],SMALL(IF(ISNUMBER(MATCH(orderHistory[status],$D$11,0)*MATCH(orderHistory[order_type],$D$13,0)),MATCH(ROW(orderHistory[customer]),ROW(orderHistory[customer])),""),ROWS($A$15:A37)+$B$3)),INDEX(orderHistory[order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date],SMALL(IF(ISNUMBER(MATCH(orderHistory[customer],$D$9,0)),MATCH(ROW(orderHistory[customer]),ROW(orderHistory[customer])),""),ROWS($A$15:A37)+$B$3)),INDEX(orderHistory[order_date],SMALL(IF(ISNUMBER(MATCH(orderHistory[customer],$D$9,0)*MATCH(YEAR(orderHistory[invoice_date]),$D$15,0)),MATCH(ROW(orderHistory[customer]),ROW(orderHistory[customer])),""),ROWS($A$15:A37)+$B$3))),IF($D$15="",INDEX(orderHistory[order_date],SMALL(IF(ISNUMBER(MATCH(orderHistory[customer],$D$9,0)*MATCH(orderHistory[order_type],$D$13,0)),MATCH(ROW(orderHistory[customer]),ROW(orderHistory[customer])),""),ROWS($A$15:A37)+$B$3)),INDEX(orderHistory[order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YEAR(orderHistory[invoice_date]),$D$15,0)),MATCH(ROW(orderHistory[customer]),ROW(orderHistory[customer])),""),ROWS($A$15:A37)+$B$3))),IF($D$15="",INDEX(orderHistory[order_date],SMALL(IF(ISNUMBER(MATCH(orderHistory[customer],$D$9,0)*MATCH(orderHistory[status],$D$11,0)*MATCH(orderHistory[order_type],$D$13,0)),MATCH(ROW(orderHistory[customer]),ROW(orderHistory[customer])),""),ROWS($A$15:A37)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P32" s="456" t="str">
        <f t="array" ref="P32">IFERROR(IF($D$9="",IF($D$11="",IF($D$13="",IF($D$15="",INDEX(orderHistory[invoice_no],SMALL(MATCH(ROW(orderHistory[customer]),ROW(orderHistory[customer])),ROWS($A$15:A37)+$B$3)),INDEX(orderHistory[invoice_no],SMALL(IF(ISNUMBER(MATCH(YEAR(orderHistory[invoice_date]),$D$15,0)),MATCH(ROW(orderHistory[customer]),ROW(orderHistory[customer])),""),ROWS($A$15:A37)+$B$3))),IF($D$15="",INDEX(orderHistory[invoice_no],SMALL(IF(ISNUMBER(MATCH(orderHistory[order_type],$D$13,0)),MATCH(ROW(orderHistory[customer]),ROW(orderHistory[customer])),""),ROWS($A$15:A37)+$B$3)),INDEX(orderHistory[invoice_no],SMALL(IF(ISNUMBER(MATCH(orderHistory[order_type],$D$13,0)*MATCH(YEAR(orderHistory[invoice_date]),$D$15,0)),MATCH(ROW(orderHistory[customer]),ROW(orderHistory[customer])),""),ROWS($A$15:A37)+$B$3)))),IF($D$13="",IF($D$15="",INDEX(orderHistory[invoice_no],SMALL(IF(ISNUMBER(MATCH(orderHistory[status],$D$11,0)),MATCH(ROW(orderHistory[customer]),ROW(orderHistory[customer])),""),ROWS($A$15:A37)+$B$3)),INDEX(orderHistory[invoice_no],SMALL(IF(ISNUMBER(MATCH(orderHistory[status],$D$11,0)*MATCH(YEAR(orderHistory[invoice_date]),$D$15,0)),MATCH(ROW(orderHistory[customer]),ROW(orderHistory[customer])),""),ROWS($A$15:A37)+$B$3))),IF($D$15="",INDEX(orderHistory[invoice_no],SMALL(IF(ISNUMBER(MATCH(orderHistory[status],$D$11,0)*MATCH(orderHistory[order_type],$D$13,0)),MATCH(ROW(orderHistory[customer]),ROW(orderHistory[customer])),""),ROWS($A$15:A37)+$B$3)),INDEX(orderHistory[invoice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no],SMALL(IF(ISNUMBER(MATCH(orderHistory[customer],$D$9,0)),MATCH(ROW(orderHistory[customer]),ROW(orderHistory[customer])),""),ROWS($A$15:A37)+$B$3)),INDEX(orderHistory[invoice_no],SMALL(IF(ISNUMBER(MATCH(orderHistory[customer],$D$9,0)*MATCH(YEAR(orderHistory[invoice_date]),$D$15,0)),MATCH(ROW(orderHistory[customer]),ROW(orderHistory[customer])),""),ROWS($A$15:A37)+$B$3))),IF($D$15="",INDEX(orderHistory[invoice_no],SMALL(IF(ISNUMBER(MATCH(orderHistory[customer],$D$9,0)*MATCH(orderHistory[order_type],$D$13,0)),MATCH(ROW(orderHistory[customer]),ROW(orderHistory[customer])),""),ROWS($A$15:A37)+$B$3)),INDEX(orderHistory[invoice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YEAR(orderHistory[invoice_date]),$D$15,0)),MATCH(ROW(orderHistory[customer]),ROW(orderHistory[customer])),""),ROWS($A$15:A37)+$B$3))),IF($D$15="",INDEX(orderHistory[invoice_no],SMALL(IF(ISNUMBER(MATCH(orderHistory[customer],$D$9,0)*MATCH(orderHistory[status],$D$11,0)*MATCH(orderHistory[order_type],$D$13,0)),MATCH(ROW(orderHistory[customer]),ROW(orderHistory[customer])),""),ROWS($A$15:A37)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Q32" s="457" t="str">
        <f t="array" ref="Q32">IFERROR(IF($D$9="",IF($D$11="",IF($D$13="",IF($D$15="",INDEX(orderHistory[invoice_date],SMALL(MATCH(ROW(orderHistory[customer]),ROW(orderHistory[customer])),ROWS($A$15:A37)+$B$3)),INDEX(orderHistory[invoice_date],SMALL(IF(ISNUMBER(MATCH(YEAR(orderHistory[invoice_date]),$D$15,0)),MATCH(ROW(orderHistory[customer]),ROW(orderHistory[customer])),""),ROWS($A$15:A37)+$B$3))),IF($D$15="",INDEX(orderHistory[invoice_date],SMALL(IF(ISNUMBER(MATCH(orderHistory[order_type],$D$13,0)),MATCH(ROW(orderHistory[customer]),ROW(orderHistory[customer])),""),ROWS($A$15:A37)+$B$3)),INDEX(orderHistory[invoice_date],SMALL(IF(ISNUMBER(MATCH(orderHistory[order_type],$D$13,0)*MATCH(YEAR(orderHistory[invoice_date]),$D$15,0)),MATCH(ROW(orderHistory[customer]),ROW(orderHistory[customer])),""),ROWS($A$15:A37)+$B$3)))),IF($D$13="",IF($D$15="",INDEX(orderHistory[invoice_date],SMALL(IF(ISNUMBER(MATCH(orderHistory[status],$D$11,0)),MATCH(ROW(orderHistory[customer]),ROW(orderHistory[customer])),""),ROWS($A$15:A37)+$B$3)),INDEX(orderHistory[invoice_date],SMALL(IF(ISNUMBER(MATCH(orderHistory[status],$D$11,0)*MATCH(YEAR(orderHistory[invoice_date]),$D$15,0)),MATCH(ROW(orderHistory[customer]),ROW(orderHistory[customer])),""),ROWS($A$15:A37)+$B$3))),IF($D$15="",INDEX(orderHistory[invoice_date],SMALL(IF(ISNUMBER(MATCH(orderHistory[status],$D$11,0)*MATCH(orderHistory[order_type],$D$13,0)),MATCH(ROW(orderHistory[customer]),ROW(orderHistory[customer])),""),ROWS($A$15:A37)+$B$3)),INDEX(orderHistory[invoice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date],SMALL(IF(ISNUMBER(MATCH(orderHistory[customer],$D$9,0)),MATCH(ROW(orderHistory[customer]),ROW(orderHistory[customer])),""),ROWS($A$15:A37)+$B$3)),INDEX(orderHistory[invoice_date],SMALL(IF(ISNUMBER(MATCH(orderHistory[customer],$D$9,0)*MATCH(YEAR(orderHistory[invoice_date]),$D$15,0)),MATCH(ROW(orderHistory[customer]),ROW(orderHistory[customer])),""),ROWS($A$15:A37)+$B$3))),IF($D$15="",INDEX(orderHistory[invoice_date],SMALL(IF(ISNUMBER(MATCH(orderHistory[customer],$D$9,0)*MATCH(orderHistory[order_type],$D$13,0)),MATCH(ROW(orderHistory[customer]),ROW(orderHistory[customer])),""),ROWS($A$15:A37)+$B$3)),INDEX(orderHistory[invoice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YEAR(orderHistory[invoice_date]),$D$15,0)),MATCH(ROW(orderHistory[customer]),ROW(orderHistory[customer])),""),ROWS($A$15:A37)+$B$3))),IF($D$15="",INDEX(orderHistory[invoice_date],SMALL(IF(ISNUMBER(MATCH(orderHistory[customer],$D$9,0)*MATCH(orderHistory[status],$D$11,0)*MATCH(orderHistory[order_type],$D$13,0)),MATCH(ROW(orderHistory[customer]),ROW(orderHistory[customer])),""),ROWS($A$15:A37)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R32" s="458" t="str">
        <f t="array" ref="R32">IFERROR(IF($D$9="",IF($D$11="",IF($D$13="",IF($D$15="",INDEX(orderHistory[inv_amount],SMALL(MATCH(ROW(orderHistory[customer]),ROW(orderHistory[customer])),ROWS($A$15:A37)+$B$3)),INDEX(orderHistory[inv_amount],SMALL(IF(ISNUMBER(MATCH(YEAR(orderHistory[invoice_date]),$D$15,0)),MATCH(ROW(orderHistory[customer]),ROW(orderHistory[customer])),""),ROWS($A$15:A37)+$B$3))),IF($D$15="",INDEX(orderHistory[inv_amount],SMALL(IF(ISNUMBER(MATCH(orderHistory[order_type],$D$13,0)),MATCH(ROW(orderHistory[customer]),ROW(orderHistory[customer])),""),ROWS($A$15:A37)+$B$3)),INDEX(orderHistory[inv_amount],SMALL(IF(ISNUMBER(MATCH(orderHistory[order_type],$D$13,0)*MATCH(YEAR(orderHistory[invoice_date]),$D$15,0)),MATCH(ROW(orderHistory[customer]),ROW(orderHistory[customer])),""),ROWS($A$15:A37)+$B$3)))),IF($D$13="",IF($D$15="",INDEX(orderHistory[inv_amount],SMALL(IF(ISNUMBER(MATCH(orderHistory[status],$D$11,0)),MATCH(ROW(orderHistory[customer]),ROW(orderHistory[customer])),""),ROWS($A$15:A37)+$B$3)),INDEX(orderHistory[inv_amount],SMALL(IF(ISNUMBER(MATCH(orderHistory[status],$D$11,0)*MATCH(YEAR(orderHistory[invoice_date]),$D$15,0)),MATCH(ROW(orderHistory[customer]),ROW(orderHistory[customer])),""),ROWS($A$15:A37)+$B$3))),IF($D$15="",INDEX(orderHistory[inv_amount],SMALL(IF(ISNUMBER(MATCH(orderHistory[status],$D$11,0)*MATCH(orderHistory[order_type],$D$13,0)),MATCH(ROW(orderHistory[customer]),ROW(orderHistory[customer])),""),ROWS($A$15:A37)+$B$3)),INDEX(orderHistory[inv_amount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_amount],SMALL(IF(ISNUMBER(MATCH(orderHistory[customer],$D$9,0)),MATCH(ROW(orderHistory[customer]),ROW(orderHistory[customer])),""),ROWS($A$15:A37)+$B$3)),INDEX(orderHistory[inv_amount],SMALL(IF(ISNUMBER(MATCH(orderHistory[customer],$D$9,0)*MATCH(YEAR(orderHistory[invoice_date]),$D$15,0)),MATCH(ROW(orderHistory[customer]),ROW(orderHistory[customer])),""),ROWS($A$15:A37)+$B$3))),IF($D$15="",INDEX(orderHistory[inv_amount],SMALL(IF(ISNUMBER(MATCH(orderHistory[customer],$D$9,0)*MATCH(orderHistory[order_type],$D$13,0)),MATCH(ROW(orderHistory[customer]),ROW(orderHistory[customer])),""),ROWS($A$15:A37)+$B$3)),INDEX(orderHistory[inv_amount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YEAR(orderHistory[inv_amount]),$D$15,0)),MATCH(ROW(orderHistory[customer]),ROW(orderHistory[customer])),""),ROWS($A$15:A37)+$B$3))),IF($D$15="",INDEX(orderHistory[inv_amount],SMALL(IF(ISNUMBER(MATCH(orderHistory[customer],$D$9,0)*MATCH(orderHistory[status],$D$11,0)*MATCH(orderHistory[order_type],$D$13,0)),MATCH(ROW(orderHistory[customer]),ROW(orderHistory[customer])),""),ROWS($A$15:A37)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S32" s="569" t="str">
        <f t="array" ref="S32">IFERROR(IF($D$9="",IF($D$11="",IF($D$13="",IF($D$15="",INDEX(orderHistory[lock_goods],SMALL(MATCH(ROW(orderHistory[customer]),ROW(orderHistory[customer])),ROWS($A$15:A37)+$B$3)),INDEX(orderHistory[lock_goods],SMALL(IF(ISNUMBER(MATCH(YEAR(orderHistory[invoice_date]),$D$15,0)),MATCH(ROW(orderHistory[customer]),ROW(orderHistory[customer])),""),ROWS($A$15:A37)+$B$3))),IF($D$15="",INDEX(orderHistory[lock_goods],SMALL(IF(ISNUMBER(MATCH(orderHistory[order_type],$D$13,0)),MATCH(ROW(orderHistory[customer]),ROW(orderHistory[customer])),""),ROWS($A$15:A37)+$B$3)),INDEX(orderHistory[lock_goods],SMALL(IF(ISNUMBER(MATCH(orderHistory[order_type],$D$13,0)*MATCH(YEAR(orderHistory[invoice_date]),$D$15,0)),MATCH(ROW(orderHistory[customer]),ROW(orderHistory[customer])),""),ROWS($A$15:A37)+$B$3)))),IF($D$13="",IF($D$15="",INDEX(orderHistory[lock_goods],SMALL(IF(ISNUMBER(MATCH(orderHistory[status],$D$11,0)),MATCH(ROW(orderHistory[customer]),ROW(orderHistory[customer])),""),ROWS($A$15:A37)+$B$3)),INDEX(orderHistory[lock_goods],SMALL(IF(ISNUMBER(MATCH(orderHistory[status],$D$11,0)*MATCH(YEAR(orderHistory[invoice_date]),$D$15,0)),MATCH(ROW(orderHistory[customer]),ROW(orderHistory[customer])),""),ROWS($A$15:A37)+$B$3))),IF($D$15="",INDEX(orderHistory[lock_goods],SMALL(IF(ISNUMBER(MATCH(orderHistory[status],$D$11,0)*MATCH(orderHistory[order_type],$D$13,0)),MATCH(ROW(orderHistory[customer]),ROW(orderHistory[customer])),""),ROWS($A$15:A37)+$B$3)),INDEX(orderHistory[lock_good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lock_goods],SMALL(IF(ISNUMBER(MATCH(orderHistory[customer],$D$9,0)),MATCH(ROW(orderHistory[customer]),ROW(orderHistory[customer])),""),ROWS($A$15:A37)+$B$3)),INDEX(orderHistory[lock_goods],SMALL(IF(ISNUMBER(MATCH(orderHistory[customer],$D$9,0)*MATCH(YEAR(orderHistory[invoice_date]),$D$15,0)),MATCH(ROW(orderHistory[customer]),ROW(orderHistory[customer])),""),ROWS($A$15:A37)+$B$3))),IF($D$15="",INDEX(orderHistory[lock_goods],SMALL(IF(ISNUMBER(MATCH(orderHistory[customer],$D$9,0)*MATCH(orderHistory[order_type],$D$13,0)),MATCH(ROW(orderHistory[customer]),ROW(orderHistory[customer])),""),ROWS($A$15:A37)+$B$3)),INDEX(orderHistory[lock_good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lock_goods],SMALL(IF(ISNUMBER(MATCH(orderHistory[customer],$D$9,0)*MATCH(orderHistory[status],$D$11,0)),MATCH(ROW(orderHistory[customer]),ROW(orderHistory[customer])),""),ROWS($A$15:A37)+$B$3)),INDEX(orderHistory[lock_goods],SMALL(IF(ISNUMBER(MATCH(orderHistory[customer],$D$9,0)*MATCH(orderHistory[status],$D$11,0)*MATCH(YEAR(orderHistory[payed]),$D$15,0)),MATCH(ROW(orderHistory[customer]),ROW(orderHistory[customer])),""),ROWS($A$15:A37)+$B$3))),IF($D$15="",INDEX(orderHistory[lock_goods],SMALL(IF(ISNUMBER(MATCH(orderHistory[customer],$D$9,0)*MATCH(orderHistory[status],$D$11,0)*MATCH(orderHistory[order_type],$D$13,0)),MATCH(ROW(orderHistory[customer]),ROW(orderHistory[customer])),""),ROWS($A$15:A37)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T32" s="459" t="str">
        <f t="array" ref="T32">IFERROR(IF($D$9="",IF($D$11="",IF($D$13="",IF($D$15="",INDEX(orderHistory[payed],SMALL(MATCH(ROW(orderHistory[customer]),ROW(orderHistory[customer])),ROWS($A$15:A37)+$B$3)),INDEX(orderHistory[payed],SMALL(IF(ISNUMBER(MATCH(YEAR(orderHistory[invoice_date]),$D$15,0)),MATCH(ROW(orderHistory[customer]),ROW(orderHistory[customer])),""),ROWS($A$15:A37)+$B$3))),IF($D$15="",INDEX(orderHistory[payed],SMALL(IF(ISNUMBER(MATCH(orderHistory[order_type],$D$13,0)),MATCH(ROW(orderHistory[customer]),ROW(orderHistory[customer])),""),ROWS($A$15:A37)+$B$3)),INDEX(orderHistory[payed],SMALL(IF(ISNUMBER(MATCH(orderHistory[order_type],$D$13,0)*MATCH(YEAR(orderHistory[invoice_date]),$D$15,0)),MATCH(ROW(orderHistory[customer]),ROW(orderHistory[customer])),""),ROWS($A$15:A37)+$B$3)))),IF($D$13="",IF($D$15="",INDEX(orderHistory[payed],SMALL(IF(ISNUMBER(MATCH(orderHistory[status],$D$11,0)),MATCH(ROW(orderHistory[customer]),ROW(orderHistory[customer])),""),ROWS($A$15:A37)+$B$3)),INDEX(orderHistory[payed],SMALL(IF(ISNUMBER(MATCH(orderHistory[status],$D$11,0)*MATCH(YEAR(orderHistory[invoice_date]),$D$15,0)),MATCH(ROW(orderHistory[customer]),ROW(orderHistory[customer])),""),ROWS($A$15:A37)+$B$3))),IF($D$15="",INDEX(orderHistory[payed],SMALL(IF(ISNUMBER(MATCH(orderHistory[status],$D$11,0)*MATCH(orderHistory[order_type],$D$13,0)),MATCH(ROW(orderHistory[customer]),ROW(orderHistory[customer])),""),ROWS($A$15:A37)+$B$3)),INDEX(orderHistory[paye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payed],SMALL(IF(ISNUMBER(MATCH(orderHistory[customer],$D$9,0)),MATCH(ROW(orderHistory[customer]),ROW(orderHistory[customer])),""),ROWS($A$15:A37)+$B$3)),INDEX(orderHistory[payed],SMALL(IF(ISNUMBER(MATCH(orderHistory[customer],$D$9,0)*MATCH(YEAR(orderHistory[invoice_date]),$D$15,0)),MATCH(ROW(orderHistory[customer]),ROW(orderHistory[customer])),""),ROWS($A$15:A37)+$B$3))),IF($D$15="",INDEX(orderHistory[payed],SMALL(IF(ISNUMBER(MATCH(orderHistory[customer],$D$9,0)*MATCH(orderHistory[order_type],$D$13,0)),MATCH(ROW(orderHistory[customer]),ROW(orderHistory[customer])),""),ROWS($A$15:A37)+$B$3)),INDEX(orderHistory[paye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YEAR(orderHistory[payed]),$D$15,0)),MATCH(ROW(orderHistory[customer]),ROW(orderHistory[customer])),""),ROWS($A$15:A37)+$B$3))),IF($D$15="",INDEX(orderHistory[payed],SMALL(IF(ISNUMBER(MATCH(orderHistory[customer],$D$9,0)*MATCH(orderHistory[status],$D$11,0)*MATCH(orderHistory[order_type],$D$13,0)),MATCH(ROW(orderHistory[customer]),ROW(orderHistory[customer])),""),ROWS($A$15:A37)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U32" s="454" t="str">
        <f t="array" ref="U32">IFERROR(IF($D$9="",IF($D$11="",IF($D$13="",IF($D$15="",INDEX(orderHistory[shipping_method],SMALL(MATCH(ROW(orderHistory[customer]),ROW(orderHistory[customer])),ROWS($A$15:A37)+$B$3)),INDEX(orderHistory[shipping_method],SMALL(IF(ISNUMBER(MATCH(YEAR(orderHistory[invoice_date]),$D$15,0)),MATCH(ROW(orderHistory[customer]),ROW(orderHistory[customer])),""),ROWS($A$15:A37)+$B$3))),IF($D$15="",INDEX(orderHistory[shipping_method],SMALL(IF(ISNUMBER(MATCH(orderHistory[order_type],$D$13,0)),MATCH(ROW(orderHistory[customer]),ROW(orderHistory[customer])),""),ROWS($A$15:A37)+$B$3)),INDEX(orderHistory[shipping_method],SMALL(IF(ISNUMBER(MATCH(orderHistory[order_type],$D$13,0)*MATCH(YEAR(orderHistory[invoice_date]),$D$15,0)),MATCH(ROW(orderHistory[customer]),ROW(orderHistory[customer])),""),ROWS($A$15:A37)+$B$3)))),IF($D$13="",IF($D$15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YEAR(orderHistory[invoice_date]),$D$15,0)),MATCH(ROW(orderHistory[customer]),ROW(orderHistory[customer])),""),ROWS($A$15:A37)+$B$3))),IF($D$15="",INDEX(orderHistory[shipping_method],SMALL(IF(ISNUMBER(MATCH(orderHistory[status],$D$11,0)*MATCH(orderHistory[order_type],$D$13,0)),MATCH(ROW(orderHistory[customer]),ROW(orderHistory[customer])),""),ROWS($A$15:A37)+$B$3)),INDEX(orderHistory[shipping_metho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YEAR(orderHistory[invoice_date]),$D$15,0)),MATCH(ROW(orderHistory[customer]),ROW(orderHistory[customer])),""),ROWS($A$15:A37)+$B$3))),IF($D$15="",INDEX(orderHistory[shipping_method],SMALL(IF(ISNUMBER(MATCH(orderHistory[customer],$D$9,0)*MATCH(orderHistory[order_type],$D$13,0)),MATCH(ROW(orderHistory[customer]),ROW(orderHistory[customer])),""),ROWS($A$15:A37)+$B$3)),INDEX(orderHistory[shipping_metho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YEAR(orderHistory[shipping_method]),$D$15,0)),MATCH(ROW(orderHistory[customer]),ROW(orderHistory[customer])),""),ROWS($A$15:A37)+$B$3))),IF($D$15="",INDEX(orderHistory[shipping_method],SMALL(IF(ISNUMBER(MATCH(orderHistory[customer],$D$9,0)*MATCH(orderHistory[status],$D$11,0)*MATCH(orderHistory[order_type],$D$13,0)),MATCH(ROW(orderHistory[customer]),ROW(orderHistory[customer])),""),ROWS($A$15:A37)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V32" s="460" t="str">
        <f t="array" ref="V32">IFERROR(IF($D$9="",IF($D$11="",IF($D$13="",IF($D$15="",INDEX(orderHistory[status],SMALL(MATCH(ROW(orderHistory[customer]),ROW(orderHistory[customer])),ROWS($A$15:A37)+$B$3)),INDEX(orderHistory[status],SMALL(IF(ISNUMBER(MATCH(YEAR(orderHistory[invoice_date]),$D$15,0)),MATCH(ROW(orderHistory[customer]),ROW(orderHistory[customer])),""),ROWS($A$15:A37)+$B$3))),IF($D$15="",INDEX(orderHistory[status],SMALL(IF(ISNUMBER(MATCH(orderHistory[order_type],$D$13,0)),MATCH(ROW(orderHistory[customer]),ROW(orderHistory[customer])),""),ROWS($A$15:A37)+$B$3)),INDEX(orderHistory[status],SMALL(IF(ISNUMBER(MATCH(orderHistory[order_type],$D$13,0)*MATCH(YEAR(orderHistory[invoice_date]),$D$15,0)),MATCH(ROW(orderHistory[customer]),ROW(orderHistory[customer])),""),ROWS($A$15:A37)+$B$3)))),IF($D$13="",IF($D$15="",INDEX(orderHistory[status],SMALL(IF(ISNUMBER(MATCH(orderHistory[status],$D$11,0)),MATCH(ROW(orderHistory[customer]),ROW(orderHistory[customer])),""),ROWS($A$15:A37)+$B$3)),INDEX(orderHistory[status],SMALL(IF(ISNUMBER(MATCH(orderHistory[status],$D$11,0)*MATCH(YEAR(orderHistory[invoice_date]),$D$15,0)),MATCH(ROW(orderHistory[customer]),ROW(orderHistory[customer])),""),ROWS($A$15:A37)+$B$3))),IF($D$15="",INDEX(orderHistory[status],SMALL(IF(ISNUMBER(MATCH(orderHistory[status],$D$11,0)*MATCH(orderHistory[order_type],$D$13,0)),MATCH(ROW(orderHistory[customer]),ROW(orderHistory[customer])),""),ROWS($A$15:A37)+$B$3)),INDEX(orderHistory[statu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tatus],SMALL(IF(ISNUMBER(MATCH(orderHistory[customer],$D$9,0)),MATCH(ROW(orderHistory[customer]),ROW(orderHistory[customer])),""),ROWS($A$15:A37)+$B$3)),INDEX(orderHistory[status],SMALL(IF(ISNUMBER(MATCH(orderHistory[customer],$D$9,0)*MATCH(YEAR(orderHistory[invoice_date]),$D$15,0)),MATCH(ROW(orderHistory[customer]),ROW(orderHistory[customer])),""),ROWS($A$15:A37)+$B$3))),IF($D$15="",INDEX(orderHistory[status],SMALL(IF(ISNUMBER(MATCH(orderHistory[customer],$D$9,0)*MATCH(orderHistory[order_type],$D$13,0)),MATCH(ROW(orderHistory[customer]),ROW(orderHistory[customer])),""),ROWS($A$15:A37)+$B$3)),INDEX(orderHistory[statu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YEAR(orderHistory[status]),$D$15,0)),MATCH(ROW(orderHistory[customer]),ROW(orderHistory[customer])),""),ROWS($A$15:A37)+$B$3))),IF($D$15="",INDEX(orderHistory[status],SMALL(IF(ISNUMBER(MATCH(orderHistory[customer],$D$9,0)*MATCH(orderHistory[status],$D$11,0)*MATCH(orderHistory[order_type],$D$13,0)),MATCH(ROW(orderHistory[customer]),ROW(orderHistory[customer])),""),ROWS($A$15:A37)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W32" s="75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s="245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s="245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378"/>
      <c r="AR32" s="423"/>
      <c r="AS32" s="424"/>
      <c r="AT32" s="425"/>
      <c r="AU32" s="339"/>
      <c r="AW32" s="376"/>
      <c r="AX32" s="426"/>
      <c r="BA32" s="421"/>
      <c r="BB32" s="858"/>
      <c r="BC32" s="859"/>
      <c r="BD32" s="860"/>
      <c r="BF32" s="427"/>
      <c r="BJ32" s="339"/>
      <c r="BK32" s="366"/>
      <c r="BL32" s="367"/>
      <c r="BM32" s="368"/>
      <c r="BN32" s="367"/>
      <c r="BO32" s="368"/>
      <c r="BZ32" s="495"/>
      <c r="CA32" s="477" t="str">
        <f>IF(BZ32="","",INDEX(bhpc_data[description],MATCH(BZ32,bhpc_data[sku],0)))</f>
        <v/>
      </c>
      <c r="CB32" s="480"/>
      <c r="CC32" s="479"/>
      <c r="CD32" s="493"/>
      <c r="CE32" s="481"/>
      <c r="CF32" s="482"/>
      <c r="CG32" s="483" t="str">
        <f>IFERROR(ROUNDUP(CB32/INDEX(bhpc_data[units_per_carton],MATCH(BZ32,bhpc_data[sku],0)),0),"")</f>
        <v/>
      </c>
      <c r="CH32" s="484" t="str">
        <f>IFERROR(ROUNDUP(CD32/INDEX(bhpc_data[units_per_carton],MATCH(BZ32,bhpc_data[sku],0)),0),"")</f>
        <v/>
      </c>
      <c r="CI32" s="484" t="str">
        <f>IFERROR(ROUNDUP(CF32/INDEX(bhpc_data[units_per_carton],MATCH(BZ32,bhpc_data[sku])),0),"")</f>
        <v/>
      </c>
      <c r="CJ32" s="484" t="str">
        <f>IFERROR(((CB32+CD32+CF32)/INDEX(bhpc_data[units_per_carton],MATCH(BZ32,bhpc_data[sku],0)))*INDEX(bhpc_data[net_weight],MATCH(BZ32,bhpc_data[sku],0)),"")</f>
        <v/>
      </c>
      <c r="CK32" s="484" t="str">
        <f>IFERROR(((CB32+CD32+CF32)/INDEX(bhpc_data[units_per_carton],MATCH(BZ32,bhpc_data[sku],0)))*INDEX(bhpc_data[gross_weight],MATCH(BZ32,bhpc_data[sku],0)),"")</f>
        <v/>
      </c>
      <c r="CL32" s="485" t="str">
        <f>IFERROR((CB32+CD32+CF32)/INDEX(bhpc_data[units_per_carton],MATCH(BZ32,bhpc_data[sku],0))*INDEX(bhpc_data[lenght],MATCH(BZ32,bhpc_data[sku],0))*INDEX(bhpc_data[width],MATCH(BZ32,bhpc_data[sku],0))*INDEX(bhpc_data[height],MATCH(BZ32,bhpc_data[sku],0))/1000000000,"")</f>
        <v/>
      </c>
      <c r="CM32" s="486" t="str">
        <f>IFERROR(INDEX(bhpc_data[category],MATCH(BZ32,bhpc_data[sku],0)),"")</f>
        <v/>
      </c>
      <c r="CN32" s="486" t="str">
        <f>IFERROR(INDEX(bhpc_data[size1],MATCH(BZ32,bhpc_data[sku],0)),"")</f>
        <v/>
      </c>
      <c r="CO32" s="487" t="str">
        <f>IFERROR(INDEX(bhpc_data[hs_code],MATCH(BZ32,bhpc_data[sku],0)),"")</f>
        <v/>
      </c>
      <c r="CP32" s="482"/>
      <c r="CQ32" s="488" t="str">
        <f>IFERROR(IF(BZ32="","",IF($BX$15="SALE",INDEX(inventory[COSTO UNITARIO],MATCH(BZ32,inventory[ARTICOLO],0)),IF($BX$15="SAMPLING",INDEX(inventory[COSTO UNITARIO],MATCH(BZ32,inventory[ARTICOLO],0)),""))),"")</f>
        <v/>
      </c>
      <c r="CR32" s="488" t="str">
        <f t="shared" si="0"/>
        <v/>
      </c>
      <c r="CS32" s="489" t="str">
        <f t="shared" si="1"/>
        <v/>
      </c>
      <c r="CT32" s="573" t="str">
        <f t="shared" si="2"/>
        <v/>
      </c>
      <c r="CV32" s="85"/>
      <c r="CW32" s="533" t="s">
        <v>1186</v>
      </c>
      <c r="CX32" s="559" t="e">
        <f>IF(INDEX(orderHistory[lock_goods],MATCH($BX$11,orderHistory[order_no],0))=0,"",INDEX(orderHistory[lock_goods],MATCH($BX$11,orderHistory[order_no],0)))</f>
        <v>#N/A</v>
      </c>
      <c r="CY32" s="117"/>
      <c r="CZ32" s="117"/>
      <c r="DA32" s="82"/>
      <c r="DH32" s="245"/>
      <c r="EE32" s="547" t="str" cm="1">
        <f t="array" ref="EE32">IFERROR(IF($EC$9="",IF($EC$11="",IF($EC$13="",INDEX(bhpc_data[sku],SMALL(MATCH(ROW(bhpc_data[sku]),ROW(bhpc_data[sku])),ROWS($A$15:A37)+$B$3)),INDEX(bhpc_data[sku],SMALL(IF(ISNUMBER(MATCH(bhpc_data[size1],$EC$13,0)),MATCH(ROW(bhpc_data[sku]),ROW(bhpc_data[sku])),""),ROWS($A$15:A37)+$B$3))),IF($EC$13="",INDEX(bhpc_data[sku],SMALL(IF(ISNUMBER(MATCH(bhpc_data[sex],$EC$11,0)),MATCH(ROW(bhpc_data[sku]),ROW(bhpc_data[sku])),""),ROWS($A$15:A37)+$B$3)),INDEX(bhpc_data[sku],SMALL(IF(ISNUMBER(MATCH(bhpc_data[sex],$EC$11,0)*MATCH(bhpc_data[size1],$EC$13,0)),MATCH(ROW(bhpc_data[sku]),ROW(bhpc_data[sku])),""),ROWS($A$15:A37)+$B$3)))),IF($EC$11="",IF($EC$13="",INDEX(bhpc_data[sku],SMALL(IF(ISNUMBER(MATCH(bhpc_data[category],$EC$9,0)),MATCH(ROW(bhpc_data[sku]),ROW(bhpc_data[sku])),""),ROWS($A$15:A37)+$B$3)),INDEX(bhpc_data[sku],SMALL(IF(ISNUMBER(MATCH(bhpc_data[category],$EC$9,0)*MATCH(bhpc_data[size1],$EC$13,0)),MATCH(ROW(bhpc_data[sku]),ROW(bhpc_data[sku])),""),ROWS($A$15:A37)+$B$3))),IF($EC$13="",INDEX(bhpc_data[sku],SMALL(IF(ISNUMBER(MATCH(bhpc_data[category],$EC$9,0)*MATCH(bhpc_data[sex],$EC$11,0)),MATCH(ROW(bhpc_data[sku]),ROW(bhpc_data[sku])),""),ROWS($A$15:A37)+$B$3)),INDEX(bhpc_data[sku],SMALL(IF(ISNUMBER(MATCH(bhpc_data[category],$EC$9,0)*MATCH(bhpc_data[sex],$EC$11,0)*MATCH(bhpc_data[size1],$EC$13,0)),MATCH(ROW(bhpc_data[sku]),ROW(bhpc_data[sku])),""),ROWS($A$15:A37)+$B$3))))),"")</f>
        <v>GS7026</v>
      </c>
      <c r="EF32" s="548" t="str" cm="1">
        <f t="array" ref="EF32">IFERROR(IF($EC$9="",IF($EC$11="",IF($EC$13="",INDEX(bhpc_data[description],SMALL(MATCH(ROW(bhpc_data[sku]),ROW(bhpc_data[sku])),ROWS($A$15:A37)+$B$3)),INDEX(bhpc_data[description],SMALL(IF(ISNUMBER(MATCH(bhpc_data[size1],$EC$13,0)),MATCH(ROW(bhpc_data[sku]),ROW(bhpc_data[sku])),""),ROWS($A$15:A37)+$B$3))),IF($EC$13="",INDEX(bhpc_data[description],SMALL(IF(ISNUMBER(MATCH(bhpc_data[sex],$EC$11,0)),MATCH(ROW(bhpc_data[sku]),ROW(bhpc_data[sku])),""),ROWS($A$15:A37)+$B$3)),INDEX(bhpc_data[description],SMALL(IF(ISNUMBER(MATCH(bhpc_data[sex],$EC$11,0)*MATCH(bhpc_data[size1],$EC$13,0)),MATCH(ROW(bhpc_data[sku]),ROW(bhpc_data[sku])),""),ROWS($A$15:A37)+$B$3)))),IF($EC$11="",IF($EC$13="",INDEX(bhpc_data[description],SMALL(IF(ISNUMBER(MATCH(bhpc_data[category],$EC$9,0)),MATCH(ROW(bhpc_data[sku]),ROW(bhpc_data[sku])),""),ROWS($A$15:A37)+$B$3)),INDEX(bhpc_data[description],SMALL(IF(ISNUMBER(MATCH(bhpc_data[category],$EC$9,0)*MATCH(bhpc_data[size1],$EC$13,0)),MATCH(ROW(bhpc_data[sku]),ROW(bhpc_data[sku])),""),ROWS($A$15:A37)+$B$3))),IF($EC$13="",INDEX(bhpc_data[description],SMALL(IF(ISNUMBER(MATCH(bhpc_data[category],$EC$9,0)*MATCH(bhpc_data[sex],$EC$11,0)),MATCH(ROW(bhpc_data[sku]),ROW(bhpc_data[sku])),""),ROWS($A$15:A37)+$B$3)),INDEX(bhpc_data[description],SMALL(IF(ISNUMBER(MATCH(bhpc_data[category],$EC$9,0)*MATCH(bhpc_data[sex],$EC$11,0)*MATCH(bhpc_data[size1],$EC$13,0)),MATCH(ROW(bhpc_data[sku]),ROW(bhpc_data[sku])),""),ROWS($A$15:A37)+$B$3))))),"")</f>
        <v>BHPC GIFT SET WOMEN #8 EDP50ML+DEO150ML+ROLLON50ML</v>
      </c>
      <c r="EG32" s="549">
        <f>IFERROR(IF('BHPC MANAGER'!$EE32="","",INDEX(inventory[ESISTENZA],MATCH('BHPC MANAGER'!$EE32,inventory[ARTICOLO],0))),0)</f>
        <v>286</v>
      </c>
      <c r="EH32" s="550">
        <v>0</v>
      </c>
      <c r="EI32" s="550">
        <f t="shared" si="3"/>
        <v>286</v>
      </c>
      <c r="EJ32" s="551">
        <v>-72</v>
      </c>
      <c r="EK32" s="552">
        <f t="shared" si="4"/>
        <v>214</v>
      </c>
      <c r="FF32" s="331"/>
      <c r="FG32" s="331"/>
      <c r="FH32" s="331"/>
      <c r="FI32" s="331"/>
      <c r="FJ32" s="331"/>
      <c r="FK32" s="331"/>
      <c r="FL32" s="331"/>
      <c r="FM32" s="331"/>
      <c r="FN32" s="331"/>
      <c r="FO32" s="331"/>
      <c r="FP32" s="331"/>
      <c r="FQ32" s="331"/>
      <c r="FR32" s="331"/>
      <c r="FS32" s="331"/>
      <c r="FT32" s="331"/>
      <c r="FU32" s="331"/>
      <c r="FV32" s="331"/>
      <c r="FW32" s="331"/>
      <c r="FX32" s="331"/>
      <c r="FY32" s="331"/>
      <c r="FZ32" s="331"/>
      <c r="GA32" s="331"/>
      <c r="GB32" s="331"/>
      <c r="GC32" s="331"/>
      <c r="GD32" s="331"/>
      <c r="GE32" s="331"/>
      <c r="GF32" s="331"/>
      <c r="GG32" s="331"/>
      <c r="GH32" s="331"/>
      <c r="GI32" s="331"/>
      <c r="GJ32" s="331"/>
      <c r="GK32" s="331"/>
      <c r="GL32" s="331"/>
      <c r="GM32" s="331"/>
      <c r="GN32" s="331"/>
      <c r="GO32" s="331"/>
      <c r="GP32" s="331"/>
      <c r="GQ32" s="331"/>
      <c r="GR32" s="331"/>
      <c r="GS32" s="331"/>
      <c r="GT32" s="331"/>
      <c r="GU32" s="331"/>
      <c r="GV32" s="331"/>
      <c r="GW32" s="331"/>
      <c r="GX32" s="331"/>
      <c r="GY32" s="331"/>
      <c r="GZ32" s="331"/>
      <c r="HA32" s="331"/>
      <c r="HB32" s="331"/>
      <c r="HC32" s="331"/>
      <c r="HD32" s="331"/>
      <c r="HE32" s="331"/>
      <c r="HF32" s="331"/>
      <c r="HG32" s="331"/>
      <c r="HH32" s="331"/>
      <c r="HI32" s="331"/>
      <c r="HJ32" s="331"/>
      <c r="HK32" s="331"/>
      <c r="HL32" s="331"/>
      <c r="HM32" s="331"/>
      <c r="HN32" s="331"/>
      <c r="HO32" s="331"/>
      <c r="HP32" s="331"/>
      <c r="HQ32" s="331"/>
      <c r="HR32" s="331"/>
      <c r="HS32" s="331"/>
      <c r="HT32" s="331"/>
    </row>
    <row r="33" spans="6:228" ht="15" customHeight="1" thickBot="1" x14ac:dyDescent="0.4">
      <c r="F33" s="96"/>
      <c r="G33" s="850"/>
      <c r="H33" s="851"/>
      <c r="I33" s="852"/>
      <c r="J33" s="82"/>
      <c r="L33" s="452" t="str">
        <f t="array" ref="L33">IFERROR(IF($D$9="",IF($D$11="",IF($D$13="",IF($D$15="",INDEX(orderHistory[customer],SMALL(MATCH(ROW(orderHistory[customer]),ROW(orderHistory[customer])),ROWS($A$15:A38)+$B$3)),INDEX(orderHistory[customer],SMALL(IF(ISNUMBER(MATCH(YEAR(orderHistory[invoice_date]),$D$15,0)),MATCH(ROW(orderHistory[customer]),ROW(orderHistory[customer])),""),ROWS($A$15:A38)+$B$3))),IF($D$15="",INDEX(orderHistory[customer],SMALL(IF(ISNUMBER(MATCH(orderHistory[order_type],$D$13,0)),MATCH(ROW(orderHistory[customer]),ROW(orderHistory[customer])),""),ROWS($A$15:A38)+$B$3)),INDEX(orderHistory[customer],SMALL(IF(ISNUMBER(MATCH(orderHistory[order_type],$D$13,0)*MATCH(YEAR(orderHistory[invoice_date]),$D$15,0)),MATCH(ROW(orderHistory[customer]),ROW(orderHistory[customer])),""),ROWS($A$15:A38)+$B$3)))),IF($D$13="",IF($D$15="",INDEX(orderHistory[customer],SMALL(IF(ISNUMBER(MATCH(orderHistory[status],$D$11,0)),MATCH(ROW(orderHistory[customer]),ROW(orderHistory[customer])),""),ROWS($A$15:A38)+$B$3)),INDEX(orderHistory[customer],SMALL(IF(ISNUMBER(MATCH(orderHistory[status],$D$11,0)*MATCH(YEAR(orderHistory[invoice_date]),$D$15,0)),MATCH(ROW(orderHistory[customer]),ROW(orderHistory[customer])),""),ROWS($A$15:A38)+$B$3))),IF($D$15="",INDEX(orderHistory[customer],SMALL(IF(ISNUMBER(MATCH(orderHistory[status],$D$11,0)*MATCH(orderHistory[order_type],$D$13,0)),MATCH(ROW(orderHistory[customer]),ROW(orderHistory[customer])),""),ROWS($A$15:A38)+$B$3)),INDEX(orderHistory[customer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customer],SMALL(IF(ISNUMBER(MATCH(orderHistory[customer],$D$9,0)),MATCH(ROW(orderHistory[customer]),ROW(orderHistory[customer])),""),ROWS($A$15:A38)+$B$3)),INDEX(orderHistory[customer],SMALL(IF(ISNUMBER(MATCH(orderHistory[customer],$D$9,0)*MATCH(YEAR(orderHistory[invoice_date]),$D$15,0)),MATCH(ROW(orderHistory[customer]),ROW(orderHistory[customer])),""),ROWS($A$15:A38)+$B$3))),IF($D$15="",INDEX(orderHistory[customer],SMALL(IF(ISNUMBER(MATCH(orderHistory[customer],$D$9,0)*MATCH(orderHistory[order_type],$D$13,0)),MATCH(ROW(orderHistory[customer]),ROW(orderHistory[customer])),""),ROWS($A$15:A38)+$B$3)),INDEX(orderHistory[customer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YEAR(orderHistory[invoice_date]),$D$15,0)),MATCH(ROW(orderHistory[customer]),ROW(orderHistory[customer])),""),ROWS($A$15:A38)+$B$3))),IF($D$15="",INDEX(orderHistory[customer],SMALL(IF(ISNUMBER(MATCH(orderHistory[customer],$D$9,0)*MATCH(orderHistory[status],$D$11,0)*MATCH(orderHistory[order_type],$D$13,0)),MATCH(ROW(orderHistory[customer]),ROW(orderHistory[customer])),""),ROWS($A$15:A38)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M33" s="453" t="str">
        <f t="array" ref="M33">IFERROR(IF($D$9="",IF($D$11="",IF($D$13="",IF($D$15="",INDEX(orderHistory[order_no],SMALL(MATCH(ROW(orderHistory[customer]),ROW(orderHistory[customer])),ROWS($A$15:A38)+$B$3)),INDEX(orderHistory[order_no],SMALL(IF(ISNUMBER(MATCH(YEAR(orderHistory[invoice_date]),$D$15,0)),MATCH(ROW(orderHistory[customer]),ROW(orderHistory[customer])),""),ROWS($A$15:A38)+$B$3))),IF($D$15="",INDEX(orderHistory[order_no],SMALL(IF(ISNUMBER(MATCH(orderHistory[order_type],$D$13,0)),MATCH(ROW(orderHistory[customer]),ROW(orderHistory[customer])),""),ROWS($A$15:A38)+$B$3)),INDEX(orderHistory[order_no],SMALL(IF(ISNUMBER(MATCH(orderHistory[order_type],$D$13,0)*MATCH(YEAR(orderHistory[invoice_date]),$D$15,0)),MATCH(ROW(orderHistory[customer]),ROW(orderHistory[customer])),""),ROWS($A$15:A38)+$B$3)))),IF($D$13="",IF($D$15="",INDEX(orderHistory[order_no],SMALL(IF(ISNUMBER(MATCH(orderHistory[status],$D$11,0)),MATCH(ROW(orderHistory[customer]),ROW(orderHistory[customer])),""),ROWS($A$15:A38)+$B$3)),INDEX(orderHistory[order_no],SMALL(IF(ISNUMBER(MATCH(orderHistory[status],$D$11,0)*MATCH(YEAR(orderHistory[invoice_date]),$D$15,0)),MATCH(ROW(orderHistory[customer]),ROW(orderHistory[customer])),""),ROWS($A$15:A38)+$B$3))),IF($D$15="",INDEX(orderHistory[order_no],SMALL(IF(ISNUMBER(MATCH(orderHistory[status],$D$11,0)*MATCH(orderHistory[order_type],$D$13,0)),MATCH(ROW(orderHistory[customer]),ROW(orderHistory[customer])),""),ROWS($A$15:A38)+$B$3)),INDEX(orderHistory[order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no],SMALL(IF(ISNUMBER(MATCH(orderHistory[customer],$D$9,0)),MATCH(ROW(orderHistory[customer]),ROW(orderHistory[customer])),""),ROWS($A$15:A38)+$B$3)),INDEX(orderHistory[order_no],SMALL(IF(ISNUMBER(MATCH(orderHistory[customer],$D$9,0)*MATCH(YEAR(orderHistory[invoice_date]),$D$15,0)),MATCH(ROW(orderHistory[customer]),ROW(orderHistory[customer])),""),ROWS($A$15:A38)+$B$3))),IF($D$15="",INDEX(orderHistory[order_no],SMALL(IF(ISNUMBER(MATCH(orderHistory[customer],$D$9,0)*MATCH(orderHistory[order_type],$D$13,0)),MATCH(ROW(orderHistory[customer]),ROW(orderHistory[customer])),""),ROWS($A$15:A38)+$B$3)),INDEX(orderHistory[order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YEAR(orderHistory[invoice_date]),$D$15,0)),MATCH(ROW(orderHistory[customer]),ROW(orderHistory[customer])),""),ROWS($A$15:A38)+$B$3))),IF($D$15="",INDEX(orderHistory[order_no],SMALL(IF(ISNUMBER(MATCH(orderHistory[customer],$D$9,0)*MATCH(orderHistory[status],$D$11,0)*MATCH(orderHistory[order_type],$D$13,0)),MATCH(ROW(orderHistory[customer]),ROW(orderHistory[customer])),""),ROWS($A$15:A38)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N33" s="454" t="str">
        <f t="array" ref="N33">IFERROR(IF($D$9="",IF($D$11="",IF($D$13="",IF($D$15="",INDEX(orderHistory[order_type],SMALL(MATCH(ROW(orderHistory[customer]),ROW(orderHistory[customer])),ROWS($A$15:A38)+$B$3)),INDEX(orderHistory[order_type],SMALL(IF(ISNUMBER(MATCH(YEAR(orderHistory[invoice_date]),$D$15,0)),MATCH(ROW(orderHistory[customer]),ROW(orderHistory[customer])),""),ROWS($A$15:A38)+$B$3))),IF($D$15="",INDEX(orderHistory[order_type],SMALL(IF(ISNUMBER(MATCH(orderHistory[order_type],$D$13,0)),MATCH(ROW(orderHistory[customer]),ROW(orderHistory[customer])),""),ROWS($A$15:A38)+$B$3)),INDEX(orderHistory[order_type],SMALL(IF(ISNUMBER(MATCH(orderHistory[order_type],$D$13,0)*MATCH(YEAR(orderHistory[invoice_date]),$D$15,0)),MATCH(ROW(orderHistory[customer]),ROW(orderHistory[customer])),""),ROWS($A$15:A38)+$B$3)))),IF($D$13="",IF($D$15="",INDEX(orderHistory[order_type],SMALL(IF(ISNUMBER(MATCH(orderHistory[status],$D$11,0)),MATCH(ROW(orderHistory[customer]),ROW(orderHistory[customer])),""),ROWS($A$15:A38)+$B$3)),INDEX(orderHistory[order_type],SMALL(IF(ISNUMBER(MATCH(orderHistory[status],$D$11,0)*MATCH(YEAR(orderHistory[invoice_date]),$D$15,0)),MATCH(ROW(orderHistory[customer]),ROW(orderHistory[customer])),""),ROWS($A$15:A38)+$B$3))),IF($D$15="",INDEX(orderHistory[order_type],SMALL(IF(ISNUMBER(MATCH(orderHistory[status],$D$11,0)*MATCH(orderHistory[order_type],$D$13,0)),MATCH(ROW(orderHistory[customer]),ROW(orderHistory[customer])),""),ROWS($A$15:A38)+$B$3)),INDEX(orderHistory[order_typ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type],SMALL(IF(ISNUMBER(MATCH(orderHistory[customer],$D$9,0)),MATCH(ROW(orderHistory[customer]),ROW(orderHistory[customer])),""),ROWS($A$15:A38)+$B$3)),INDEX(orderHistory[order_type],SMALL(IF(ISNUMBER(MATCH(orderHistory[customer],$D$9,0)*MATCH(YEAR(orderHistory[invoice_date]),$D$15,0)),MATCH(ROW(orderHistory[customer]),ROW(orderHistory[customer])),""),ROWS($A$15:A38)+$B$3))),IF($D$15="",INDEX(orderHistory[order_type],SMALL(IF(ISNUMBER(MATCH(orderHistory[customer],$D$9,0)*MATCH(orderHistory[order_type],$D$13,0)),MATCH(ROW(orderHistory[customer]),ROW(orderHistory[customer])),""),ROWS($A$15:A38)+$B$3)),INDEX(orderHistory[order_typ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YEAR(orderHistory[invoice_date]),$D$15,0)),MATCH(ROW(orderHistory[customer]),ROW(orderHistory[customer])),""),ROWS($A$15:A38)+$B$3))),IF($D$15="",INDEX(orderHistory[order_type],SMALL(IF(ISNUMBER(MATCH(orderHistory[customer],$D$9,0)*MATCH(orderHistory[status],$D$11,0)*MATCH(orderHistory[order_type],$D$13,0)),MATCH(ROW(orderHistory[customer]),ROW(orderHistory[customer])),""),ROWS($A$15:A38)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O33" s="455" t="str">
        <f t="array" ref="O33">IFERROR(IF($D$9="",IF($D$11="",IF($D$13="",IF($D$15="",INDEX(orderHistory[order_date],SMALL(MATCH(ROW(orderHistory[customer]),ROW(orderHistory[customer])),ROWS($A$15:A38)+$B$3)),INDEX(orderHistory[order_date],SMALL(IF(ISNUMBER(MATCH(YEAR(orderHistory[invoice_date]),$D$15,0)),MATCH(ROW(orderHistory[customer]),ROW(orderHistory[customer])),""),ROWS($A$15:A38)+$B$3))),IF($D$15="",INDEX(orderHistory[order_date],SMALL(IF(ISNUMBER(MATCH(orderHistory[order_type],$D$13,0)),MATCH(ROW(orderHistory[customer]),ROW(orderHistory[customer])),""),ROWS($A$15:A38)+$B$3)),INDEX(orderHistory[order_date],SMALL(IF(ISNUMBER(MATCH(orderHistory[order_type],$D$13,0)*MATCH(YEAR(orderHistory[invoice_date]),$D$15,0)),MATCH(ROW(orderHistory[customer]),ROW(orderHistory[customer])),""),ROWS($A$15:A38)+$B$3)))),IF($D$13="",IF($D$15="",INDEX(orderHistory[order_date],SMALL(IF(ISNUMBER(MATCH(orderHistory[status],$D$11,0)),MATCH(ROW(orderHistory[customer]),ROW(orderHistory[customer])),""),ROWS($A$15:A38)+$B$3)),INDEX(orderHistory[order_date],SMALL(IF(ISNUMBER(MATCH(orderHistory[status],$D$11,0)*MATCH(YEAR(orderHistory[invoice_date]),$D$15,0)),MATCH(ROW(orderHistory[customer]),ROW(orderHistory[customer])),""),ROWS($A$15:A38)+$B$3))),IF($D$15="",INDEX(orderHistory[order_date],SMALL(IF(ISNUMBER(MATCH(orderHistory[status],$D$11,0)*MATCH(orderHistory[order_type],$D$13,0)),MATCH(ROW(orderHistory[customer]),ROW(orderHistory[customer])),""),ROWS($A$15:A38)+$B$3)),INDEX(orderHistory[order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date],SMALL(IF(ISNUMBER(MATCH(orderHistory[customer],$D$9,0)),MATCH(ROW(orderHistory[customer]),ROW(orderHistory[customer])),""),ROWS($A$15:A38)+$B$3)),INDEX(orderHistory[order_date],SMALL(IF(ISNUMBER(MATCH(orderHistory[customer],$D$9,0)*MATCH(YEAR(orderHistory[invoice_date]),$D$15,0)),MATCH(ROW(orderHistory[customer]),ROW(orderHistory[customer])),""),ROWS($A$15:A38)+$B$3))),IF($D$15="",INDEX(orderHistory[order_date],SMALL(IF(ISNUMBER(MATCH(orderHistory[customer],$D$9,0)*MATCH(orderHistory[order_type],$D$13,0)),MATCH(ROW(orderHistory[customer]),ROW(orderHistory[customer])),""),ROWS($A$15:A38)+$B$3)),INDEX(orderHistory[order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YEAR(orderHistory[invoice_date]),$D$15,0)),MATCH(ROW(orderHistory[customer]),ROW(orderHistory[customer])),""),ROWS($A$15:A38)+$B$3))),IF($D$15="",INDEX(orderHistory[order_date],SMALL(IF(ISNUMBER(MATCH(orderHistory[customer],$D$9,0)*MATCH(orderHistory[status],$D$11,0)*MATCH(orderHistory[order_type],$D$13,0)),MATCH(ROW(orderHistory[customer]),ROW(orderHistory[customer])),""),ROWS($A$15:A38)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P33" s="456" t="str">
        <f t="array" ref="P33">IFERROR(IF($D$9="",IF($D$11="",IF($D$13="",IF($D$15="",INDEX(orderHistory[invoice_no],SMALL(MATCH(ROW(orderHistory[customer]),ROW(orderHistory[customer])),ROWS($A$15:A38)+$B$3)),INDEX(orderHistory[invoice_no],SMALL(IF(ISNUMBER(MATCH(YEAR(orderHistory[invoice_date]),$D$15,0)),MATCH(ROW(orderHistory[customer]),ROW(orderHistory[customer])),""),ROWS($A$15:A38)+$B$3))),IF($D$15="",INDEX(orderHistory[invoice_no],SMALL(IF(ISNUMBER(MATCH(orderHistory[order_type],$D$13,0)),MATCH(ROW(orderHistory[customer]),ROW(orderHistory[customer])),""),ROWS($A$15:A38)+$B$3)),INDEX(orderHistory[invoice_no],SMALL(IF(ISNUMBER(MATCH(orderHistory[order_type],$D$13,0)*MATCH(YEAR(orderHistory[invoice_date]),$D$15,0)),MATCH(ROW(orderHistory[customer]),ROW(orderHistory[customer])),""),ROWS($A$15:A38)+$B$3)))),IF($D$13="",IF($D$15="",INDEX(orderHistory[invoice_no],SMALL(IF(ISNUMBER(MATCH(orderHistory[status],$D$11,0)),MATCH(ROW(orderHistory[customer]),ROW(orderHistory[customer])),""),ROWS($A$15:A38)+$B$3)),INDEX(orderHistory[invoice_no],SMALL(IF(ISNUMBER(MATCH(orderHistory[status],$D$11,0)*MATCH(YEAR(orderHistory[invoice_date]),$D$15,0)),MATCH(ROW(orderHistory[customer]),ROW(orderHistory[customer])),""),ROWS($A$15:A38)+$B$3))),IF($D$15="",INDEX(orderHistory[invoice_no],SMALL(IF(ISNUMBER(MATCH(orderHistory[status],$D$11,0)*MATCH(orderHistory[order_type],$D$13,0)),MATCH(ROW(orderHistory[customer]),ROW(orderHistory[customer])),""),ROWS($A$15:A38)+$B$3)),INDEX(orderHistory[invoice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no],SMALL(IF(ISNUMBER(MATCH(orderHistory[customer],$D$9,0)),MATCH(ROW(orderHistory[customer]),ROW(orderHistory[customer])),""),ROWS($A$15:A38)+$B$3)),INDEX(orderHistory[invoice_no],SMALL(IF(ISNUMBER(MATCH(orderHistory[customer],$D$9,0)*MATCH(YEAR(orderHistory[invoice_date]),$D$15,0)),MATCH(ROW(orderHistory[customer]),ROW(orderHistory[customer])),""),ROWS($A$15:A38)+$B$3))),IF($D$15="",INDEX(orderHistory[invoice_no],SMALL(IF(ISNUMBER(MATCH(orderHistory[customer],$D$9,0)*MATCH(orderHistory[order_type],$D$13,0)),MATCH(ROW(orderHistory[customer]),ROW(orderHistory[customer])),""),ROWS($A$15:A38)+$B$3)),INDEX(orderHistory[invoice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YEAR(orderHistory[invoice_date]),$D$15,0)),MATCH(ROW(orderHistory[customer]),ROW(orderHistory[customer])),""),ROWS($A$15:A38)+$B$3))),IF($D$15="",INDEX(orderHistory[invoice_no],SMALL(IF(ISNUMBER(MATCH(orderHistory[customer],$D$9,0)*MATCH(orderHistory[status],$D$11,0)*MATCH(orderHistory[order_type],$D$13,0)),MATCH(ROW(orderHistory[customer]),ROW(orderHistory[customer])),""),ROWS($A$15:A38)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Q33" s="457" t="str">
        <f t="array" ref="Q33">IFERROR(IF($D$9="",IF($D$11="",IF($D$13="",IF($D$15="",INDEX(orderHistory[invoice_date],SMALL(MATCH(ROW(orderHistory[customer]),ROW(orderHistory[customer])),ROWS($A$15:A38)+$B$3)),INDEX(orderHistory[invoice_date],SMALL(IF(ISNUMBER(MATCH(YEAR(orderHistory[invoice_date]),$D$15,0)),MATCH(ROW(orderHistory[customer]),ROW(orderHistory[customer])),""),ROWS($A$15:A38)+$B$3))),IF($D$15="",INDEX(orderHistory[invoice_date],SMALL(IF(ISNUMBER(MATCH(orderHistory[order_type],$D$13,0)),MATCH(ROW(orderHistory[customer]),ROW(orderHistory[customer])),""),ROWS($A$15:A38)+$B$3)),INDEX(orderHistory[invoice_date],SMALL(IF(ISNUMBER(MATCH(orderHistory[order_type],$D$13,0)*MATCH(YEAR(orderHistory[invoice_date]),$D$15,0)),MATCH(ROW(orderHistory[customer]),ROW(orderHistory[customer])),""),ROWS($A$15:A38)+$B$3)))),IF($D$13="",IF($D$15="",INDEX(orderHistory[invoice_date],SMALL(IF(ISNUMBER(MATCH(orderHistory[status],$D$11,0)),MATCH(ROW(orderHistory[customer]),ROW(orderHistory[customer])),""),ROWS($A$15:A38)+$B$3)),INDEX(orderHistory[invoice_date],SMALL(IF(ISNUMBER(MATCH(orderHistory[status],$D$11,0)*MATCH(YEAR(orderHistory[invoice_date]),$D$15,0)),MATCH(ROW(orderHistory[customer]),ROW(orderHistory[customer])),""),ROWS($A$15:A38)+$B$3))),IF($D$15="",INDEX(orderHistory[invoice_date],SMALL(IF(ISNUMBER(MATCH(orderHistory[status],$D$11,0)*MATCH(orderHistory[order_type],$D$13,0)),MATCH(ROW(orderHistory[customer]),ROW(orderHistory[customer])),""),ROWS($A$15:A38)+$B$3)),INDEX(orderHistory[invoice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date],SMALL(IF(ISNUMBER(MATCH(orderHistory[customer],$D$9,0)),MATCH(ROW(orderHistory[customer]),ROW(orderHistory[customer])),""),ROWS($A$15:A38)+$B$3)),INDEX(orderHistory[invoice_date],SMALL(IF(ISNUMBER(MATCH(orderHistory[customer],$D$9,0)*MATCH(YEAR(orderHistory[invoice_date]),$D$15,0)),MATCH(ROW(orderHistory[customer]),ROW(orderHistory[customer])),""),ROWS($A$15:A38)+$B$3))),IF($D$15="",INDEX(orderHistory[invoice_date],SMALL(IF(ISNUMBER(MATCH(orderHistory[customer],$D$9,0)*MATCH(orderHistory[order_type],$D$13,0)),MATCH(ROW(orderHistory[customer]),ROW(orderHistory[customer])),""),ROWS($A$15:A38)+$B$3)),INDEX(orderHistory[invoice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YEAR(orderHistory[invoice_date]),$D$15,0)),MATCH(ROW(orderHistory[customer]),ROW(orderHistory[customer])),""),ROWS($A$15:A38)+$B$3))),IF($D$15="",INDEX(orderHistory[invoice_date],SMALL(IF(ISNUMBER(MATCH(orderHistory[customer],$D$9,0)*MATCH(orderHistory[status],$D$11,0)*MATCH(orderHistory[order_type],$D$13,0)),MATCH(ROW(orderHistory[customer]),ROW(orderHistory[customer])),""),ROWS($A$15:A38)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R33" s="458" t="str">
        <f t="array" ref="R33">IFERROR(IF($D$9="",IF($D$11="",IF($D$13="",IF($D$15="",INDEX(orderHistory[inv_amount],SMALL(MATCH(ROW(orderHistory[customer]),ROW(orderHistory[customer])),ROWS($A$15:A38)+$B$3)),INDEX(orderHistory[inv_amount],SMALL(IF(ISNUMBER(MATCH(YEAR(orderHistory[invoice_date]),$D$15,0)),MATCH(ROW(orderHistory[customer]),ROW(orderHistory[customer])),""),ROWS($A$15:A38)+$B$3))),IF($D$15="",INDEX(orderHistory[inv_amount],SMALL(IF(ISNUMBER(MATCH(orderHistory[order_type],$D$13,0)),MATCH(ROW(orderHistory[customer]),ROW(orderHistory[customer])),""),ROWS($A$15:A38)+$B$3)),INDEX(orderHistory[inv_amount],SMALL(IF(ISNUMBER(MATCH(orderHistory[order_type],$D$13,0)*MATCH(YEAR(orderHistory[invoice_date]),$D$15,0)),MATCH(ROW(orderHistory[customer]),ROW(orderHistory[customer])),""),ROWS($A$15:A38)+$B$3)))),IF($D$13="",IF($D$15="",INDEX(orderHistory[inv_amount],SMALL(IF(ISNUMBER(MATCH(orderHistory[status],$D$11,0)),MATCH(ROW(orderHistory[customer]),ROW(orderHistory[customer])),""),ROWS($A$15:A38)+$B$3)),INDEX(orderHistory[inv_amount],SMALL(IF(ISNUMBER(MATCH(orderHistory[status],$D$11,0)*MATCH(YEAR(orderHistory[invoice_date]),$D$15,0)),MATCH(ROW(orderHistory[customer]),ROW(orderHistory[customer])),""),ROWS($A$15:A38)+$B$3))),IF($D$15="",INDEX(orderHistory[inv_amount],SMALL(IF(ISNUMBER(MATCH(orderHistory[status],$D$11,0)*MATCH(orderHistory[order_type],$D$13,0)),MATCH(ROW(orderHistory[customer]),ROW(orderHistory[customer])),""),ROWS($A$15:A38)+$B$3)),INDEX(orderHistory[inv_amount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_amount],SMALL(IF(ISNUMBER(MATCH(orderHistory[customer],$D$9,0)),MATCH(ROW(orderHistory[customer]),ROW(orderHistory[customer])),""),ROWS($A$15:A38)+$B$3)),INDEX(orderHistory[inv_amount],SMALL(IF(ISNUMBER(MATCH(orderHistory[customer],$D$9,0)*MATCH(YEAR(orderHistory[invoice_date]),$D$15,0)),MATCH(ROW(orderHistory[customer]),ROW(orderHistory[customer])),""),ROWS($A$15:A38)+$B$3))),IF($D$15="",INDEX(orderHistory[inv_amount],SMALL(IF(ISNUMBER(MATCH(orderHistory[customer],$D$9,0)*MATCH(orderHistory[order_type],$D$13,0)),MATCH(ROW(orderHistory[customer]),ROW(orderHistory[customer])),""),ROWS($A$15:A38)+$B$3)),INDEX(orderHistory[inv_amount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YEAR(orderHistory[inv_amount]),$D$15,0)),MATCH(ROW(orderHistory[customer]),ROW(orderHistory[customer])),""),ROWS($A$15:A38)+$B$3))),IF($D$15="",INDEX(orderHistory[inv_amount],SMALL(IF(ISNUMBER(MATCH(orderHistory[customer],$D$9,0)*MATCH(orderHistory[status],$D$11,0)*MATCH(orderHistory[order_type],$D$13,0)),MATCH(ROW(orderHistory[customer]),ROW(orderHistory[customer])),""),ROWS($A$15:A38)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S33" s="569" t="str">
        <f t="array" ref="S33">IFERROR(IF($D$9="",IF($D$11="",IF($D$13="",IF($D$15="",INDEX(orderHistory[lock_goods],SMALL(MATCH(ROW(orderHistory[customer]),ROW(orderHistory[customer])),ROWS($A$15:A38)+$B$3)),INDEX(orderHistory[lock_goods],SMALL(IF(ISNUMBER(MATCH(YEAR(orderHistory[invoice_date]),$D$15,0)),MATCH(ROW(orderHistory[customer]),ROW(orderHistory[customer])),""),ROWS($A$15:A38)+$B$3))),IF($D$15="",INDEX(orderHistory[lock_goods],SMALL(IF(ISNUMBER(MATCH(orderHistory[order_type],$D$13,0)),MATCH(ROW(orderHistory[customer]),ROW(orderHistory[customer])),""),ROWS($A$15:A38)+$B$3)),INDEX(orderHistory[lock_goods],SMALL(IF(ISNUMBER(MATCH(orderHistory[order_type],$D$13,0)*MATCH(YEAR(orderHistory[invoice_date]),$D$15,0)),MATCH(ROW(orderHistory[customer]),ROW(orderHistory[customer])),""),ROWS($A$15:A38)+$B$3)))),IF($D$13="",IF($D$15="",INDEX(orderHistory[lock_goods],SMALL(IF(ISNUMBER(MATCH(orderHistory[status],$D$11,0)),MATCH(ROW(orderHistory[customer]),ROW(orderHistory[customer])),""),ROWS($A$15:A38)+$B$3)),INDEX(orderHistory[lock_goods],SMALL(IF(ISNUMBER(MATCH(orderHistory[status],$D$11,0)*MATCH(YEAR(orderHistory[invoice_date]),$D$15,0)),MATCH(ROW(orderHistory[customer]),ROW(orderHistory[customer])),""),ROWS($A$15:A38)+$B$3))),IF($D$15="",INDEX(orderHistory[lock_goods],SMALL(IF(ISNUMBER(MATCH(orderHistory[status],$D$11,0)*MATCH(orderHistory[order_type],$D$13,0)),MATCH(ROW(orderHistory[customer]),ROW(orderHistory[customer])),""),ROWS($A$15:A38)+$B$3)),INDEX(orderHistory[lock_good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lock_goods],SMALL(IF(ISNUMBER(MATCH(orderHistory[customer],$D$9,0)),MATCH(ROW(orderHistory[customer]),ROW(orderHistory[customer])),""),ROWS($A$15:A38)+$B$3)),INDEX(orderHistory[lock_goods],SMALL(IF(ISNUMBER(MATCH(orderHistory[customer],$D$9,0)*MATCH(YEAR(orderHistory[invoice_date]),$D$15,0)),MATCH(ROW(orderHistory[customer]),ROW(orderHistory[customer])),""),ROWS($A$15:A38)+$B$3))),IF($D$15="",INDEX(orderHistory[lock_goods],SMALL(IF(ISNUMBER(MATCH(orderHistory[customer],$D$9,0)*MATCH(orderHistory[order_type],$D$13,0)),MATCH(ROW(orderHistory[customer]),ROW(orderHistory[customer])),""),ROWS($A$15:A38)+$B$3)),INDEX(orderHistory[lock_good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lock_goods],SMALL(IF(ISNUMBER(MATCH(orderHistory[customer],$D$9,0)*MATCH(orderHistory[status],$D$11,0)),MATCH(ROW(orderHistory[customer]),ROW(orderHistory[customer])),""),ROWS($A$15:A38)+$B$3)),INDEX(orderHistory[lock_goods],SMALL(IF(ISNUMBER(MATCH(orderHistory[customer],$D$9,0)*MATCH(orderHistory[status],$D$11,0)*MATCH(YEAR(orderHistory[payed]),$D$15,0)),MATCH(ROW(orderHistory[customer]),ROW(orderHistory[customer])),""),ROWS($A$15:A38)+$B$3))),IF($D$15="",INDEX(orderHistory[lock_goods],SMALL(IF(ISNUMBER(MATCH(orderHistory[customer],$D$9,0)*MATCH(orderHistory[status],$D$11,0)*MATCH(orderHistory[order_type],$D$13,0)),MATCH(ROW(orderHistory[customer]),ROW(orderHistory[customer])),""),ROWS($A$15:A38)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T33" s="459" t="str">
        <f t="array" ref="T33">IFERROR(IF($D$9="",IF($D$11="",IF($D$13="",IF($D$15="",INDEX(orderHistory[payed],SMALL(MATCH(ROW(orderHistory[customer]),ROW(orderHistory[customer])),ROWS($A$15:A38)+$B$3)),INDEX(orderHistory[payed],SMALL(IF(ISNUMBER(MATCH(YEAR(orderHistory[invoice_date]),$D$15,0)),MATCH(ROW(orderHistory[customer]),ROW(orderHistory[customer])),""),ROWS($A$15:A38)+$B$3))),IF($D$15="",INDEX(orderHistory[payed],SMALL(IF(ISNUMBER(MATCH(orderHistory[order_type],$D$13,0)),MATCH(ROW(orderHistory[customer]),ROW(orderHistory[customer])),""),ROWS($A$15:A38)+$B$3)),INDEX(orderHistory[payed],SMALL(IF(ISNUMBER(MATCH(orderHistory[order_type],$D$13,0)*MATCH(YEAR(orderHistory[invoice_date]),$D$15,0)),MATCH(ROW(orderHistory[customer]),ROW(orderHistory[customer])),""),ROWS($A$15:A38)+$B$3)))),IF($D$13="",IF($D$15="",INDEX(orderHistory[payed],SMALL(IF(ISNUMBER(MATCH(orderHistory[status],$D$11,0)),MATCH(ROW(orderHistory[customer]),ROW(orderHistory[customer])),""),ROWS($A$15:A38)+$B$3)),INDEX(orderHistory[payed],SMALL(IF(ISNUMBER(MATCH(orderHistory[status],$D$11,0)*MATCH(YEAR(orderHistory[invoice_date]),$D$15,0)),MATCH(ROW(orderHistory[customer]),ROW(orderHistory[customer])),""),ROWS($A$15:A38)+$B$3))),IF($D$15="",INDEX(orderHistory[payed],SMALL(IF(ISNUMBER(MATCH(orderHistory[status],$D$11,0)*MATCH(orderHistory[order_type],$D$13,0)),MATCH(ROW(orderHistory[customer]),ROW(orderHistory[customer])),""),ROWS($A$15:A38)+$B$3)),INDEX(orderHistory[paye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payed],SMALL(IF(ISNUMBER(MATCH(orderHistory[customer],$D$9,0)),MATCH(ROW(orderHistory[customer]),ROW(orderHistory[customer])),""),ROWS($A$15:A38)+$B$3)),INDEX(orderHistory[payed],SMALL(IF(ISNUMBER(MATCH(orderHistory[customer],$D$9,0)*MATCH(YEAR(orderHistory[invoice_date]),$D$15,0)),MATCH(ROW(orderHistory[customer]),ROW(orderHistory[customer])),""),ROWS($A$15:A38)+$B$3))),IF($D$15="",INDEX(orderHistory[payed],SMALL(IF(ISNUMBER(MATCH(orderHistory[customer],$D$9,0)*MATCH(orderHistory[order_type],$D$13,0)),MATCH(ROW(orderHistory[customer]),ROW(orderHistory[customer])),""),ROWS($A$15:A38)+$B$3)),INDEX(orderHistory[paye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YEAR(orderHistory[payed]),$D$15,0)),MATCH(ROW(orderHistory[customer]),ROW(orderHistory[customer])),""),ROWS($A$15:A38)+$B$3))),IF($D$15="",INDEX(orderHistory[payed],SMALL(IF(ISNUMBER(MATCH(orderHistory[customer],$D$9,0)*MATCH(orderHistory[status],$D$11,0)*MATCH(orderHistory[order_type],$D$13,0)),MATCH(ROW(orderHistory[customer]),ROW(orderHistory[customer])),""),ROWS($A$15:A38)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U33" s="454" t="str">
        <f t="array" ref="U33">IFERROR(IF($D$9="",IF($D$11="",IF($D$13="",IF($D$15="",INDEX(orderHistory[shipping_method],SMALL(MATCH(ROW(orderHistory[customer]),ROW(orderHistory[customer])),ROWS($A$15:A38)+$B$3)),INDEX(orderHistory[shipping_method],SMALL(IF(ISNUMBER(MATCH(YEAR(orderHistory[invoice_date]),$D$15,0)),MATCH(ROW(orderHistory[customer]),ROW(orderHistory[customer])),""),ROWS($A$15:A38)+$B$3))),IF($D$15="",INDEX(orderHistory[shipping_method],SMALL(IF(ISNUMBER(MATCH(orderHistory[order_type],$D$13,0)),MATCH(ROW(orderHistory[customer]),ROW(orderHistory[customer])),""),ROWS($A$15:A38)+$B$3)),INDEX(orderHistory[shipping_method],SMALL(IF(ISNUMBER(MATCH(orderHistory[order_type],$D$13,0)*MATCH(YEAR(orderHistory[invoice_date]),$D$15,0)),MATCH(ROW(orderHistory[customer]),ROW(orderHistory[customer])),""),ROWS($A$15:A38)+$B$3)))),IF($D$13="",IF($D$15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YEAR(orderHistory[invoice_date]),$D$15,0)),MATCH(ROW(orderHistory[customer]),ROW(orderHistory[customer])),""),ROWS($A$15:A38)+$B$3))),IF($D$15="",INDEX(orderHistory[shipping_method],SMALL(IF(ISNUMBER(MATCH(orderHistory[status],$D$11,0)*MATCH(orderHistory[order_type],$D$13,0)),MATCH(ROW(orderHistory[customer]),ROW(orderHistory[customer])),""),ROWS($A$15:A38)+$B$3)),INDEX(orderHistory[shipping_metho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YEAR(orderHistory[invoice_date]),$D$15,0)),MATCH(ROW(orderHistory[customer]),ROW(orderHistory[customer])),""),ROWS($A$15:A38)+$B$3))),IF($D$15="",INDEX(orderHistory[shipping_method],SMALL(IF(ISNUMBER(MATCH(orderHistory[customer],$D$9,0)*MATCH(orderHistory[order_type],$D$13,0)),MATCH(ROW(orderHistory[customer]),ROW(orderHistory[customer])),""),ROWS($A$15:A38)+$B$3)),INDEX(orderHistory[shipping_metho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YEAR(orderHistory[shipping_method]),$D$15,0)),MATCH(ROW(orderHistory[customer]),ROW(orderHistory[customer])),""),ROWS($A$15:A38)+$B$3))),IF($D$15="",INDEX(orderHistory[shipping_method],SMALL(IF(ISNUMBER(MATCH(orderHistory[customer],$D$9,0)*MATCH(orderHistory[status],$D$11,0)*MATCH(orderHistory[order_type],$D$13,0)),MATCH(ROW(orderHistory[customer]),ROW(orderHistory[customer])),""),ROWS($A$15:A38)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V33" s="460" t="str">
        <f t="array" ref="V33">IFERROR(IF($D$9="",IF($D$11="",IF($D$13="",IF($D$15="",INDEX(orderHistory[status],SMALL(MATCH(ROW(orderHistory[customer]),ROW(orderHistory[customer])),ROWS($A$15:A38)+$B$3)),INDEX(orderHistory[status],SMALL(IF(ISNUMBER(MATCH(YEAR(orderHistory[invoice_date]),$D$15,0)),MATCH(ROW(orderHistory[customer]),ROW(orderHistory[customer])),""),ROWS($A$15:A38)+$B$3))),IF($D$15="",INDEX(orderHistory[status],SMALL(IF(ISNUMBER(MATCH(orderHistory[order_type],$D$13,0)),MATCH(ROW(orderHistory[customer]),ROW(orderHistory[customer])),""),ROWS($A$15:A38)+$B$3)),INDEX(orderHistory[status],SMALL(IF(ISNUMBER(MATCH(orderHistory[order_type],$D$13,0)*MATCH(YEAR(orderHistory[invoice_date]),$D$15,0)),MATCH(ROW(orderHistory[customer]),ROW(orderHistory[customer])),""),ROWS($A$15:A38)+$B$3)))),IF($D$13="",IF($D$15="",INDEX(orderHistory[status],SMALL(IF(ISNUMBER(MATCH(orderHistory[status],$D$11,0)),MATCH(ROW(orderHistory[customer]),ROW(orderHistory[customer])),""),ROWS($A$15:A38)+$B$3)),INDEX(orderHistory[status],SMALL(IF(ISNUMBER(MATCH(orderHistory[status],$D$11,0)*MATCH(YEAR(orderHistory[invoice_date]),$D$15,0)),MATCH(ROW(orderHistory[customer]),ROW(orderHistory[customer])),""),ROWS($A$15:A38)+$B$3))),IF($D$15="",INDEX(orderHistory[status],SMALL(IF(ISNUMBER(MATCH(orderHistory[status],$D$11,0)*MATCH(orderHistory[order_type],$D$13,0)),MATCH(ROW(orderHistory[customer]),ROW(orderHistory[customer])),""),ROWS($A$15:A38)+$B$3)),INDEX(orderHistory[statu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tatus],SMALL(IF(ISNUMBER(MATCH(orderHistory[customer],$D$9,0)),MATCH(ROW(orderHistory[customer]),ROW(orderHistory[customer])),""),ROWS($A$15:A38)+$B$3)),INDEX(orderHistory[status],SMALL(IF(ISNUMBER(MATCH(orderHistory[customer],$D$9,0)*MATCH(YEAR(orderHistory[invoice_date]),$D$15,0)),MATCH(ROW(orderHistory[customer]),ROW(orderHistory[customer])),""),ROWS($A$15:A38)+$B$3))),IF($D$15="",INDEX(orderHistory[status],SMALL(IF(ISNUMBER(MATCH(orderHistory[customer],$D$9,0)*MATCH(orderHistory[order_type],$D$13,0)),MATCH(ROW(orderHistory[customer]),ROW(orderHistory[customer])),""),ROWS($A$15:A38)+$B$3)),INDEX(orderHistory[statu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YEAR(orderHistory[status]),$D$15,0)),MATCH(ROW(orderHistory[customer]),ROW(orderHistory[customer])),""),ROWS($A$15:A38)+$B$3))),IF($D$15="",INDEX(orderHistory[status],SMALL(IF(ISNUMBER(MATCH(orderHistory[customer],$D$9,0)*MATCH(orderHistory[status],$D$11,0)*MATCH(orderHistory[order_type],$D$13,0)),MATCH(ROW(orderHistory[customer]),ROW(orderHistory[customer])),""),ROWS($A$15:A38)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W33" s="75"/>
      <c r="AQ33" s="378"/>
      <c r="AR33" s="867"/>
      <c r="AS33" s="868"/>
      <c r="AT33" s="869"/>
      <c r="AU33" s="339"/>
      <c r="AW33" s="376"/>
      <c r="BJ33" s="339"/>
      <c r="BK33" s="366"/>
      <c r="BL33" s="367"/>
      <c r="BM33" s="368"/>
      <c r="BN33" s="367"/>
      <c r="BO33" s="368"/>
      <c r="BX33" s="437"/>
      <c r="BZ33" s="495"/>
      <c r="CA33" s="477" t="str">
        <f>IF(BZ33="","",INDEX(bhpc_data[description],MATCH(BZ33,bhpc_data[sku],0)))</f>
        <v/>
      </c>
      <c r="CB33" s="478"/>
      <c r="CC33" s="490"/>
      <c r="CD33" s="494"/>
      <c r="CE33" s="481"/>
      <c r="CF33" s="482"/>
      <c r="CG33" s="483" t="str">
        <f>IFERROR(ROUNDUP(CB33/INDEX(bhpc_data[units_per_carton],MATCH(BZ33,bhpc_data[sku],0)),0),"")</f>
        <v/>
      </c>
      <c r="CH33" s="484" t="str">
        <f>IFERROR(ROUNDUP(CD33/INDEX(bhpc_data[units_per_carton],MATCH(BZ33,bhpc_data[sku],0)),0),"")</f>
        <v/>
      </c>
      <c r="CI33" s="484" t="str">
        <f>IFERROR(ROUNDUP(CF33/INDEX(bhpc_data[units_per_carton],MATCH(BZ33,bhpc_data[sku])),0),"")</f>
        <v/>
      </c>
      <c r="CJ33" s="484" t="str">
        <f>IFERROR(((CB33+CD33+CF33)/INDEX(bhpc_data[units_per_carton],MATCH(BZ33,bhpc_data[sku],0)))*INDEX(bhpc_data[net_weight],MATCH(BZ33,bhpc_data[sku],0)),"")</f>
        <v/>
      </c>
      <c r="CK33" s="484" t="str">
        <f>IFERROR(((CB33+CD33+CF33)/INDEX(bhpc_data[units_per_carton],MATCH(BZ33,bhpc_data[sku],0)))*INDEX(bhpc_data[gross_weight],MATCH(BZ33,bhpc_data[sku],0)),"")</f>
        <v/>
      </c>
      <c r="CL33" s="485" t="str">
        <f>IFERROR((CB33+CD33+CF33)/INDEX(bhpc_data[units_per_carton],MATCH(BZ33,bhpc_data[sku],0))*INDEX(bhpc_data[lenght],MATCH(BZ33,bhpc_data[sku],0))*INDEX(bhpc_data[width],MATCH(BZ33,bhpc_data[sku],0))*INDEX(bhpc_data[height],MATCH(BZ33,bhpc_data[sku],0))/1000000000,"")</f>
        <v/>
      </c>
      <c r="CM33" s="486" t="str">
        <f>IFERROR(INDEX(bhpc_data[category],MATCH(BZ33,bhpc_data[sku],0)),"")</f>
        <v/>
      </c>
      <c r="CN33" s="486" t="str">
        <f>IFERROR(INDEX(bhpc_data[size1],MATCH(BZ33,bhpc_data[sku],0)),"")</f>
        <v/>
      </c>
      <c r="CO33" s="487" t="str">
        <f>IFERROR(INDEX(bhpc_data[hs_code],MATCH(BZ33,bhpc_data[sku],0)),"")</f>
        <v/>
      </c>
      <c r="CP33" s="482"/>
      <c r="CQ33" s="492" t="str">
        <f>IFERROR(IF(BZ33="","",IF($BX$15="SALE",INDEX(inventory[COSTO UNITARIO],MATCH(BZ33,inventory[ARTICOLO],0)),IF($BX$15="SAMPLING",INDEX(inventory[COSTO UNITARIO],MATCH(BZ33,inventory[ARTICOLO],0)),""))),"")</f>
        <v/>
      </c>
      <c r="CR33" s="492" t="str">
        <f t="shared" si="0"/>
        <v/>
      </c>
      <c r="CS33" s="489" t="str">
        <f t="shared" si="1"/>
        <v/>
      </c>
      <c r="CT33" s="573" t="str">
        <f t="shared" si="2"/>
        <v/>
      </c>
      <c r="CV33" s="104"/>
      <c r="CW33" s="83"/>
      <c r="CX33" s="83"/>
      <c r="CY33" s="83"/>
      <c r="CZ33" s="83"/>
      <c r="DA33" s="84"/>
      <c r="DH33" s="245"/>
      <c r="EE33" s="541" t="str" cm="1">
        <f t="array" ref="EE33">IFERROR(IF($EC$9="",IF($EC$11="",IF($EC$13="",INDEX(bhpc_data[sku],SMALL(MATCH(ROW(bhpc_data[sku]),ROW(bhpc_data[sku])),ROWS($A$15:A38)+$B$3)),INDEX(bhpc_data[sku],SMALL(IF(ISNUMBER(MATCH(bhpc_data[size1],$EC$13,0)),MATCH(ROW(bhpc_data[sku]),ROW(bhpc_data[sku])),""),ROWS($A$15:A38)+$B$3))),IF($EC$13="",INDEX(bhpc_data[sku],SMALL(IF(ISNUMBER(MATCH(bhpc_data[sex],$EC$11,0)),MATCH(ROW(bhpc_data[sku]),ROW(bhpc_data[sku])),""),ROWS($A$15:A38)+$B$3)),INDEX(bhpc_data[sku],SMALL(IF(ISNUMBER(MATCH(bhpc_data[sex],$EC$11,0)*MATCH(bhpc_data[size1],$EC$13,0)),MATCH(ROW(bhpc_data[sku]),ROW(bhpc_data[sku])),""),ROWS($A$15:A38)+$B$3)))),IF($EC$11="",IF($EC$13="",INDEX(bhpc_data[sku],SMALL(IF(ISNUMBER(MATCH(bhpc_data[category],$EC$9,0)),MATCH(ROW(bhpc_data[sku]),ROW(bhpc_data[sku])),""),ROWS($A$15:A38)+$B$3)),INDEX(bhpc_data[sku],SMALL(IF(ISNUMBER(MATCH(bhpc_data[category],$EC$9,0)*MATCH(bhpc_data[size1],$EC$13,0)),MATCH(ROW(bhpc_data[sku]),ROW(bhpc_data[sku])),""),ROWS($A$15:A38)+$B$3))),IF($EC$13="",INDEX(bhpc_data[sku],SMALL(IF(ISNUMBER(MATCH(bhpc_data[category],$EC$9,0)*MATCH(bhpc_data[sex],$EC$11,0)),MATCH(ROW(bhpc_data[sku]),ROW(bhpc_data[sku])),""),ROWS($A$15:A38)+$B$3)),INDEX(bhpc_data[sku],SMALL(IF(ISNUMBER(MATCH(bhpc_data[category],$EC$9,0)*MATCH(bhpc_data[sex],$EC$11,0)*MATCH(bhpc_data[size1],$EC$13,0)),MATCH(ROW(bhpc_data[sku]),ROW(bhpc_data[sku])),""),ROWS($A$15:A38)+$B$3))))),"")</f>
        <v>GS7027</v>
      </c>
      <c r="EF33" s="542" t="str" cm="1">
        <f t="array" ref="EF33">IFERROR(IF($EC$9="",IF($EC$11="",IF($EC$13="",INDEX(bhpc_data[description],SMALL(MATCH(ROW(bhpc_data[sku]),ROW(bhpc_data[sku])),ROWS($A$15:A38)+$B$3)),INDEX(bhpc_data[description],SMALL(IF(ISNUMBER(MATCH(bhpc_data[size1],$EC$13,0)),MATCH(ROW(bhpc_data[sku]),ROW(bhpc_data[sku])),""),ROWS($A$15:A38)+$B$3))),IF($EC$13="",INDEX(bhpc_data[description],SMALL(IF(ISNUMBER(MATCH(bhpc_data[sex],$EC$11,0)),MATCH(ROW(bhpc_data[sku]),ROW(bhpc_data[sku])),""),ROWS($A$15:A38)+$B$3)),INDEX(bhpc_data[description],SMALL(IF(ISNUMBER(MATCH(bhpc_data[sex],$EC$11,0)*MATCH(bhpc_data[size1],$EC$13,0)),MATCH(ROW(bhpc_data[sku]),ROW(bhpc_data[sku])),""),ROWS($A$15:A38)+$B$3)))),IF($EC$11="",IF($EC$13="",INDEX(bhpc_data[description],SMALL(IF(ISNUMBER(MATCH(bhpc_data[category],$EC$9,0)),MATCH(ROW(bhpc_data[sku]),ROW(bhpc_data[sku])),""),ROWS($A$15:A38)+$B$3)),INDEX(bhpc_data[description],SMALL(IF(ISNUMBER(MATCH(bhpc_data[category],$EC$9,0)*MATCH(bhpc_data[size1],$EC$13,0)),MATCH(ROW(bhpc_data[sku]),ROW(bhpc_data[sku])),""),ROWS($A$15:A38)+$B$3))),IF($EC$13="",INDEX(bhpc_data[description],SMALL(IF(ISNUMBER(MATCH(bhpc_data[category],$EC$9,0)*MATCH(bhpc_data[sex],$EC$11,0)),MATCH(ROW(bhpc_data[sku]),ROW(bhpc_data[sku])),""),ROWS($A$15:A38)+$B$3)),INDEX(bhpc_data[description],SMALL(IF(ISNUMBER(MATCH(bhpc_data[category],$EC$9,0)*MATCH(bhpc_data[sex],$EC$11,0)*MATCH(bhpc_data[size1],$EC$13,0)),MATCH(ROW(bhpc_data[sku]),ROW(bhpc_data[sku])),""),ROWS($A$15:A38)+$B$3))))),"")</f>
        <v>BHPC GIFT SET WOMEN #2 EDP50ML+DEO150ML+ROLLON50ML</v>
      </c>
      <c r="EG33" s="543">
        <f>IFERROR(IF('BHPC MANAGER'!$EE33="","",INDEX(inventory[ESISTENZA],MATCH('BHPC MANAGER'!$EE33,inventory[ARTICOLO],0))),0)</f>
        <v>334</v>
      </c>
      <c r="EH33" s="544">
        <v>0</v>
      </c>
      <c r="EI33" s="544">
        <f t="shared" si="3"/>
        <v>334</v>
      </c>
      <c r="EJ33" s="545">
        <v>-72</v>
      </c>
      <c r="EK33" s="546">
        <f t="shared" si="4"/>
        <v>262</v>
      </c>
      <c r="FF33" s="331"/>
      <c r="FG33" s="331"/>
      <c r="FH33" s="331"/>
      <c r="FI33" s="331"/>
      <c r="FJ33" s="331"/>
      <c r="FK33" s="331"/>
      <c r="FL33" s="331"/>
      <c r="FM33" s="331"/>
      <c r="FN33" s="331"/>
      <c r="FO33" s="331"/>
      <c r="FP33" s="331"/>
      <c r="FQ33" s="331"/>
      <c r="FR33" s="331"/>
      <c r="FS33" s="331"/>
      <c r="FT33" s="331"/>
      <c r="FU33" s="331"/>
      <c r="FV33" s="331"/>
      <c r="FW33" s="331"/>
      <c r="FX33" s="331"/>
      <c r="FY33" s="331"/>
      <c r="FZ33" s="331"/>
      <c r="GA33" s="331"/>
      <c r="GB33" s="331"/>
      <c r="GC33" s="331"/>
      <c r="GD33" s="331"/>
      <c r="GE33" s="331"/>
      <c r="GF33" s="331"/>
      <c r="GG33" s="331"/>
      <c r="GH33" s="331"/>
      <c r="GI33" s="331"/>
      <c r="GJ33" s="331"/>
      <c r="GK33" s="331"/>
      <c r="GL33" s="331"/>
      <c r="GM33" s="331"/>
      <c r="GN33" s="331"/>
      <c r="GO33" s="331"/>
      <c r="GP33" s="331"/>
      <c r="GQ33" s="331"/>
      <c r="GR33" s="331"/>
      <c r="GS33" s="331"/>
      <c r="GT33" s="331"/>
      <c r="GU33" s="331"/>
      <c r="GV33" s="331"/>
      <c r="GW33" s="331"/>
      <c r="GX33" s="331"/>
      <c r="GY33" s="331"/>
      <c r="GZ33" s="331"/>
      <c r="HA33" s="331"/>
      <c r="HB33" s="331"/>
      <c r="HC33" s="331"/>
      <c r="HD33" s="331"/>
      <c r="HE33" s="331"/>
      <c r="HF33" s="331"/>
      <c r="HG33" s="331"/>
      <c r="HH33" s="331"/>
      <c r="HI33" s="331"/>
      <c r="HJ33" s="331"/>
      <c r="HK33" s="331"/>
      <c r="HL33" s="331"/>
      <c r="HM33" s="331"/>
      <c r="HN33" s="331"/>
      <c r="HO33" s="331"/>
      <c r="HP33" s="331"/>
      <c r="HQ33" s="331"/>
      <c r="HR33" s="331"/>
      <c r="HS33" s="331"/>
      <c r="HT33" s="331"/>
    </row>
    <row r="34" spans="6:228" ht="15" customHeight="1" x14ac:dyDescent="0.35">
      <c r="F34" s="96"/>
      <c r="G34" s="850"/>
      <c r="H34" s="851"/>
      <c r="I34" s="852"/>
      <c r="J34" s="82"/>
      <c r="L34" s="452" t="str">
        <f t="array" ref="L34">IFERROR(IF($D$9="",IF($D$11="",IF($D$13="",IF($D$15="",INDEX(orderHistory[customer],SMALL(MATCH(ROW(orderHistory[customer]),ROW(orderHistory[customer])),ROWS($A$15:A39)+$B$3)),INDEX(orderHistory[customer],SMALL(IF(ISNUMBER(MATCH(YEAR(orderHistory[invoice_date]),$D$15,0)),MATCH(ROW(orderHistory[customer]),ROW(orderHistory[customer])),""),ROWS($A$15:A39)+$B$3))),IF($D$15="",INDEX(orderHistory[customer],SMALL(IF(ISNUMBER(MATCH(orderHistory[order_type],$D$13,0)),MATCH(ROW(orderHistory[customer]),ROW(orderHistory[customer])),""),ROWS($A$15:A39)+$B$3)),INDEX(orderHistory[customer],SMALL(IF(ISNUMBER(MATCH(orderHistory[order_type],$D$13,0)*MATCH(YEAR(orderHistory[invoice_date]),$D$15,0)),MATCH(ROW(orderHistory[customer]),ROW(orderHistory[customer])),""),ROWS($A$15:A39)+$B$3)))),IF($D$13="",IF($D$15="",INDEX(orderHistory[customer],SMALL(IF(ISNUMBER(MATCH(orderHistory[status],$D$11,0)),MATCH(ROW(orderHistory[customer]),ROW(orderHistory[customer])),""),ROWS($A$15:A39)+$B$3)),INDEX(orderHistory[customer],SMALL(IF(ISNUMBER(MATCH(orderHistory[status],$D$11,0)*MATCH(YEAR(orderHistory[invoice_date]),$D$15,0)),MATCH(ROW(orderHistory[customer]),ROW(orderHistory[customer])),""),ROWS($A$15:A39)+$B$3))),IF($D$15="",INDEX(orderHistory[customer],SMALL(IF(ISNUMBER(MATCH(orderHistory[status],$D$11,0)*MATCH(orderHistory[order_type],$D$13,0)),MATCH(ROW(orderHistory[customer]),ROW(orderHistory[customer])),""),ROWS($A$15:A39)+$B$3)),INDEX(orderHistory[customer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customer],SMALL(IF(ISNUMBER(MATCH(orderHistory[customer],$D$9,0)),MATCH(ROW(orderHistory[customer]),ROW(orderHistory[customer])),""),ROWS($A$15:A39)+$B$3)),INDEX(orderHistory[customer],SMALL(IF(ISNUMBER(MATCH(orderHistory[customer],$D$9,0)*MATCH(YEAR(orderHistory[invoice_date]),$D$15,0)),MATCH(ROW(orderHistory[customer]),ROW(orderHistory[customer])),""),ROWS($A$15:A39)+$B$3))),IF($D$15="",INDEX(orderHistory[customer],SMALL(IF(ISNUMBER(MATCH(orderHistory[customer],$D$9,0)*MATCH(orderHistory[order_type],$D$13,0)),MATCH(ROW(orderHistory[customer]),ROW(orderHistory[customer])),""),ROWS($A$15:A39)+$B$3)),INDEX(orderHistory[customer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YEAR(orderHistory[invoice_date]),$D$15,0)),MATCH(ROW(orderHistory[customer]),ROW(orderHistory[customer])),""),ROWS($A$15:A39)+$B$3))),IF($D$15="",INDEX(orderHistory[customer],SMALL(IF(ISNUMBER(MATCH(orderHistory[customer],$D$9,0)*MATCH(orderHistory[status],$D$11,0)*MATCH(orderHistory[order_type],$D$13,0)),MATCH(ROW(orderHistory[customer]),ROW(orderHistory[customer])),""),ROWS($A$15:A39)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M34" s="453" t="str">
        <f t="array" ref="M34">IFERROR(IF($D$9="",IF($D$11="",IF($D$13="",IF($D$15="",INDEX(orderHistory[order_no],SMALL(MATCH(ROW(orderHistory[customer]),ROW(orderHistory[customer])),ROWS($A$15:A39)+$B$3)),INDEX(orderHistory[order_no],SMALL(IF(ISNUMBER(MATCH(YEAR(orderHistory[invoice_date]),$D$15,0)),MATCH(ROW(orderHistory[customer]),ROW(orderHistory[customer])),""),ROWS($A$15:A39)+$B$3))),IF($D$15="",INDEX(orderHistory[order_no],SMALL(IF(ISNUMBER(MATCH(orderHistory[order_type],$D$13,0)),MATCH(ROW(orderHistory[customer]),ROW(orderHistory[customer])),""),ROWS($A$15:A39)+$B$3)),INDEX(orderHistory[order_no],SMALL(IF(ISNUMBER(MATCH(orderHistory[order_type],$D$13,0)*MATCH(YEAR(orderHistory[invoice_date]),$D$15,0)),MATCH(ROW(orderHistory[customer]),ROW(orderHistory[customer])),""),ROWS($A$15:A39)+$B$3)))),IF($D$13="",IF($D$15="",INDEX(orderHistory[order_no],SMALL(IF(ISNUMBER(MATCH(orderHistory[status],$D$11,0)),MATCH(ROW(orderHistory[customer]),ROW(orderHistory[customer])),""),ROWS($A$15:A39)+$B$3)),INDEX(orderHistory[order_no],SMALL(IF(ISNUMBER(MATCH(orderHistory[status],$D$11,0)*MATCH(YEAR(orderHistory[invoice_date]),$D$15,0)),MATCH(ROW(orderHistory[customer]),ROW(orderHistory[customer])),""),ROWS($A$15:A39)+$B$3))),IF($D$15="",INDEX(orderHistory[order_no],SMALL(IF(ISNUMBER(MATCH(orderHistory[status],$D$11,0)*MATCH(orderHistory[order_type],$D$13,0)),MATCH(ROW(orderHistory[customer]),ROW(orderHistory[customer])),""),ROWS($A$15:A39)+$B$3)),INDEX(orderHistory[order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no],SMALL(IF(ISNUMBER(MATCH(orderHistory[customer],$D$9,0)),MATCH(ROW(orderHistory[customer]),ROW(orderHistory[customer])),""),ROWS($A$15:A39)+$B$3)),INDEX(orderHistory[order_no],SMALL(IF(ISNUMBER(MATCH(orderHistory[customer],$D$9,0)*MATCH(YEAR(orderHistory[invoice_date]),$D$15,0)),MATCH(ROW(orderHistory[customer]),ROW(orderHistory[customer])),""),ROWS($A$15:A39)+$B$3))),IF($D$15="",INDEX(orderHistory[order_no],SMALL(IF(ISNUMBER(MATCH(orderHistory[customer],$D$9,0)*MATCH(orderHistory[order_type],$D$13,0)),MATCH(ROW(orderHistory[customer]),ROW(orderHistory[customer])),""),ROWS($A$15:A39)+$B$3)),INDEX(orderHistory[order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YEAR(orderHistory[invoice_date]),$D$15,0)),MATCH(ROW(orderHistory[customer]),ROW(orderHistory[customer])),""),ROWS($A$15:A39)+$B$3))),IF($D$15="",INDEX(orderHistory[order_no],SMALL(IF(ISNUMBER(MATCH(orderHistory[customer],$D$9,0)*MATCH(orderHistory[status],$D$11,0)*MATCH(orderHistory[order_type],$D$13,0)),MATCH(ROW(orderHistory[customer]),ROW(orderHistory[customer])),""),ROWS($A$15:A39)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N34" s="454" t="str">
        <f t="array" ref="N34">IFERROR(IF($D$9="",IF($D$11="",IF($D$13="",IF($D$15="",INDEX(orderHistory[order_type],SMALL(MATCH(ROW(orderHistory[customer]),ROW(orderHistory[customer])),ROWS($A$15:A39)+$B$3)),INDEX(orderHistory[order_type],SMALL(IF(ISNUMBER(MATCH(YEAR(orderHistory[invoice_date]),$D$15,0)),MATCH(ROW(orderHistory[customer]),ROW(orderHistory[customer])),""),ROWS($A$15:A39)+$B$3))),IF($D$15="",INDEX(orderHistory[order_type],SMALL(IF(ISNUMBER(MATCH(orderHistory[order_type],$D$13,0)),MATCH(ROW(orderHistory[customer]),ROW(orderHistory[customer])),""),ROWS($A$15:A39)+$B$3)),INDEX(orderHistory[order_type],SMALL(IF(ISNUMBER(MATCH(orderHistory[order_type],$D$13,0)*MATCH(YEAR(orderHistory[invoice_date]),$D$15,0)),MATCH(ROW(orderHistory[customer]),ROW(orderHistory[customer])),""),ROWS($A$15:A39)+$B$3)))),IF($D$13="",IF($D$15="",INDEX(orderHistory[order_type],SMALL(IF(ISNUMBER(MATCH(orderHistory[status],$D$11,0)),MATCH(ROW(orderHistory[customer]),ROW(orderHistory[customer])),""),ROWS($A$15:A39)+$B$3)),INDEX(orderHistory[order_type],SMALL(IF(ISNUMBER(MATCH(orderHistory[status],$D$11,0)*MATCH(YEAR(orderHistory[invoice_date]),$D$15,0)),MATCH(ROW(orderHistory[customer]),ROW(orderHistory[customer])),""),ROWS($A$15:A39)+$B$3))),IF($D$15="",INDEX(orderHistory[order_type],SMALL(IF(ISNUMBER(MATCH(orderHistory[status],$D$11,0)*MATCH(orderHistory[order_type],$D$13,0)),MATCH(ROW(orderHistory[customer]),ROW(orderHistory[customer])),""),ROWS($A$15:A39)+$B$3)),INDEX(orderHistory[order_typ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type],SMALL(IF(ISNUMBER(MATCH(orderHistory[customer],$D$9,0)),MATCH(ROW(orderHistory[customer]),ROW(orderHistory[customer])),""),ROWS($A$15:A39)+$B$3)),INDEX(orderHistory[order_type],SMALL(IF(ISNUMBER(MATCH(orderHistory[customer],$D$9,0)*MATCH(YEAR(orderHistory[invoice_date]),$D$15,0)),MATCH(ROW(orderHistory[customer]),ROW(orderHistory[customer])),""),ROWS($A$15:A39)+$B$3))),IF($D$15="",INDEX(orderHistory[order_type],SMALL(IF(ISNUMBER(MATCH(orderHistory[customer],$D$9,0)*MATCH(orderHistory[order_type],$D$13,0)),MATCH(ROW(orderHistory[customer]),ROW(orderHistory[customer])),""),ROWS($A$15:A39)+$B$3)),INDEX(orderHistory[order_typ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YEAR(orderHistory[invoice_date]),$D$15,0)),MATCH(ROW(orderHistory[customer]),ROW(orderHistory[customer])),""),ROWS($A$15:A39)+$B$3))),IF($D$15="",INDEX(orderHistory[order_type],SMALL(IF(ISNUMBER(MATCH(orderHistory[customer],$D$9,0)*MATCH(orderHistory[status],$D$11,0)*MATCH(orderHistory[order_type],$D$13,0)),MATCH(ROW(orderHistory[customer]),ROW(orderHistory[customer])),""),ROWS($A$15:A39)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O34" s="455" t="str">
        <f t="array" ref="O34">IFERROR(IF($D$9="",IF($D$11="",IF($D$13="",IF($D$15="",INDEX(orderHistory[order_date],SMALL(MATCH(ROW(orderHistory[customer]),ROW(orderHistory[customer])),ROWS($A$15:A39)+$B$3)),INDEX(orderHistory[order_date],SMALL(IF(ISNUMBER(MATCH(YEAR(orderHistory[invoice_date]),$D$15,0)),MATCH(ROW(orderHistory[customer]),ROW(orderHistory[customer])),""),ROWS($A$15:A39)+$B$3))),IF($D$15="",INDEX(orderHistory[order_date],SMALL(IF(ISNUMBER(MATCH(orderHistory[order_type],$D$13,0)),MATCH(ROW(orderHistory[customer]),ROW(orderHistory[customer])),""),ROWS($A$15:A39)+$B$3)),INDEX(orderHistory[order_date],SMALL(IF(ISNUMBER(MATCH(orderHistory[order_type],$D$13,0)*MATCH(YEAR(orderHistory[invoice_date]),$D$15,0)),MATCH(ROW(orderHistory[customer]),ROW(orderHistory[customer])),""),ROWS($A$15:A39)+$B$3)))),IF($D$13="",IF($D$15="",INDEX(orderHistory[order_date],SMALL(IF(ISNUMBER(MATCH(orderHistory[status],$D$11,0)),MATCH(ROW(orderHistory[customer]),ROW(orderHistory[customer])),""),ROWS($A$15:A39)+$B$3)),INDEX(orderHistory[order_date],SMALL(IF(ISNUMBER(MATCH(orderHistory[status],$D$11,0)*MATCH(YEAR(orderHistory[invoice_date]),$D$15,0)),MATCH(ROW(orderHistory[customer]),ROW(orderHistory[customer])),""),ROWS($A$15:A39)+$B$3))),IF($D$15="",INDEX(orderHistory[order_date],SMALL(IF(ISNUMBER(MATCH(orderHistory[status],$D$11,0)*MATCH(orderHistory[order_type],$D$13,0)),MATCH(ROW(orderHistory[customer]),ROW(orderHistory[customer])),""),ROWS($A$15:A39)+$B$3)),INDEX(orderHistory[order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date],SMALL(IF(ISNUMBER(MATCH(orderHistory[customer],$D$9,0)),MATCH(ROW(orderHistory[customer]),ROW(orderHistory[customer])),""),ROWS($A$15:A39)+$B$3)),INDEX(orderHistory[order_date],SMALL(IF(ISNUMBER(MATCH(orderHistory[customer],$D$9,0)*MATCH(YEAR(orderHistory[invoice_date]),$D$15,0)),MATCH(ROW(orderHistory[customer]),ROW(orderHistory[customer])),""),ROWS($A$15:A39)+$B$3))),IF($D$15="",INDEX(orderHistory[order_date],SMALL(IF(ISNUMBER(MATCH(orderHistory[customer],$D$9,0)*MATCH(orderHistory[order_type],$D$13,0)),MATCH(ROW(orderHistory[customer]),ROW(orderHistory[customer])),""),ROWS($A$15:A39)+$B$3)),INDEX(orderHistory[order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YEAR(orderHistory[invoice_date]),$D$15,0)),MATCH(ROW(orderHistory[customer]),ROW(orderHistory[customer])),""),ROWS($A$15:A39)+$B$3))),IF($D$15="",INDEX(orderHistory[order_date],SMALL(IF(ISNUMBER(MATCH(orderHistory[customer],$D$9,0)*MATCH(orderHistory[status],$D$11,0)*MATCH(orderHistory[order_type],$D$13,0)),MATCH(ROW(orderHistory[customer]),ROW(orderHistory[customer])),""),ROWS($A$15:A39)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P34" s="456" t="str">
        <f t="array" ref="P34">IFERROR(IF($D$9="",IF($D$11="",IF($D$13="",IF($D$15="",INDEX(orderHistory[invoice_no],SMALL(MATCH(ROW(orderHistory[customer]),ROW(orderHistory[customer])),ROWS($A$15:A39)+$B$3)),INDEX(orderHistory[invoice_no],SMALL(IF(ISNUMBER(MATCH(YEAR(orderHistory[invoice_date]),$D$15,0)),MATCH(ROW(orderHistory[customer]),ROW(orderHistory[customer])),""),ROWS($A$15:A39)+$B$3))),IF($D$15="",INDEX(orderHistory[invoice_no],SMALL(IF(ISNUMBER(MATCH(orderHistory[order_type],$D$13,0)),MATCH(ROW(orderHistory[customer]),ROW(orderHistory[customer])),""),ROWS($A$15:A39)+$B$3)),INDEX(orderHistory[invoice_no],SMALL(IF(ISNUMBER(MATCH(orderHistory[order_type],$D$13,0)*MATCH(YEAR(orderHistory[invoice_date]),$D$15,0)),MATCH(ROW(orderHistory[customer]),ROW(orderHistory[customer])),""),ROWS($A$15:A39)+$B$3)))),IF($D$13="",IF($D$15="",INDEX(orderHistory[invoice_no],SMALL(IF(ISNUMBER(MATCH(orderHistory[status],$D$11,0)),MATCH(ROW(orderHistory[customer]),ROW(orderHistory[customer])),""),ROWS($A$15:A39)+$B$3)),INDEX(orderHistory[invoice_no],SMALL(IF(ISNUMBER(MATCH(orderHistory[status],$D$11,0)*MATCH(YEAR(orderHistory[invoice_date]),$D$15,0)),MATCH(ROW(orderHistory[customer]),ROW(orderHistory[customer])),""),ROWS($A$15:A39)+$B$3))),IF($D$15="",INDEX(orderHistory[invoice_no],SMALL(IF(ISNUMBER(MATCH(orderHistory[status],$D$11,0)*MATCH(orderHistory[order_type],$D$13,0)),MATCH(ROW(orderHistory[customer]),ROW(orderHistory[customer])),""),ROWS($A$15:A39)+$B$3)),INDEX(orderHistory[invoice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no],SMALL(IF(ISNUMBER(MATCH(orderHistory[customer],$D$9,0)),MATCH(ROW(orderHistory[customer]),ROW(orderHistory[customer])),""),ROWS($A$15:A39)+$B$3)),INDEX(orderHistory[invoice_no],SMALL(IF(ISNUMBER(MATCH(orderHistory[customer],$D$9,0)*MATCH(YEAR(orderHistory[invoice_date]),$D$15,0)),MATCH(ROW(orderHistory[customer]),ROW(orderHistory[customer])),""),ROWS($A$15:A39)+$B$3))),IF($D$15="",INDEX(orderHistory[invoice_no],SMALL(IF(ISNUMBER(MATCH(orderHistory[customer],$D$9,0)*MATCH(orderHistory[order_type],$D$13,0)),MATCH(ROW(orderHistory[customer]),ROW(orderHistory[customer])),""),ROWS($A$15:A39)+$B$3)),INDEX(orderHistory[invoice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YEAR(orderHistory[invoice_date]),$D$15,0)),MATCH(ROW(orderHistory[customer]),ROW(orderHistory[customer])),""),ROWS($A$15:A39)+$B$3))),IF($D$15="",INDEX(orderHistory[invoice_no],SMALL(IF(ISNUMBER(MATCH(orderHistory[customer],$D$9,0)*MATCH(orderHistory[status],$D$11,0)*MATCH(orderHistory[order_type],$D$13,0)),MATCH(ROW(orderHistory[customer]),ROW(orderHistory[customer])),""),ROWS($A$15:A39)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Q34" s="457" t="str">
        <f t="array" ref="Q34">IFERROR(IF($D$9="",IF($D$11="",IF($D$13="",IF($D$15="",INDEX(orderHistory[invoice_date],SMALL(MATCH(ROW(orderHistory[customer]),ROW(orderHistory[customer])),ROWS($A$15:A39)+$B$3)),INDEX(orderHistory[invoice_date],SMALL(IF(ISNUMBER(MATCH(YEAR(orderHistory[invoice_date]),$D$15,0)),MATCH(ROW(orderHistory[customer]),ROW(orderHistory[customer])),""),ROWS($A$15:A39)+$B$3))),IF($D$15="",INDEX(orderHistory[invoice_date],SMALL(IF(ISNUMBER(MATCH(orderHistory[order_type],$D$13,0)),MATCH(ROW(orderHistory[customer]),ROW(orderHistory[customer])),""),ROWS($A$15:A39)+$B$3)),INDEX(orderHistory[invoice_date],SMALL(IF(ISNUMBER(MATCH(orderHistory[order_type],$D$13,0)*MATCH(YEAR(orderHistory[invoice_date]),$D$15,0)),MATCH(ROW(orderHistory[customer]),ROW(orderHistory[customer])),""),ROWS($A$15:A39)+$B$3)))),IF($D$13="",IF($D$15="",INDEX(orderHistory[invoice_date],SMALL(IF(ISNUMBER(MATCH(orderHistory[status],$D$11,0)),MATCH(ROW(orderHistory[customer]),ROW(orderHistory[customer])),""),ROWS($A$15:A39)+$B$3)),INDEX(orderHistory[invoice_date],SMALL(IF(ISNUMBER(MATCH(orderHistory[status],$D$11,0)*MATCH(YEAR(orderHistory[invoice_date]),$D$15,0)),MATCH(ROW(orderHistory[customer]),ROW(orderHistory[customer])),""),ROWS($A$15:A39)+$B$3))),IF($D$15="",INDEX(orderHistory[invoice_date],SMALL(IF(ISNUMBER(MATCH(orderHistory[status],$D$11,0)*MATCH(orderHistory[order_type],$D$13,0)),MATCH(ROW(orderHistory[customer]),ROW(orderHistory[customer])),""),ROWS($A$15:A39)+$B$3)),INDEX(orderHistory[invoice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date],SMALL(IF(ISNUMBER(MATCH(orderHistory[customer],$D$9,0)),MATCH(ROW(orderHistory[customer]),ROW(orderHistory[customer])),""),ROWS($A$15:A39)+$B$3)),INDEX(orderHistory[invoice_date],SMALL(IF(ISNUMBER(MATCH(orderHistory[customer],$D$9,0)*MATCH(YEAR(orderHistory[invoice_date]),$D$15,0)),MATCH(ROW(orderHistory[customer]),ROW(orderHistory[customer])),""),ROWS($A$15:A39)+$B$3))),IF($D$15="",INDEX(orderHistory[invoice_date],SMALL(IF(ISNUMBER(MATCH(orderHistory[customer],$D$9,0)*MATCH(orderHistory[order_type],$D$13,0)),MATCH(ROW(orderHistory[customer]),ROW(orderHistory[customer])),""),ROWS($A$15:A39)+$B$3)),INDEX(orderHistory[invoice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YEAR(orderHistory[invoice_date]),$D$15,0)),MATCH(ROW(orderHistory[customer]),ROW(orderHistory[customer])),""),ROWS($A$15:A39)+$B$3))),IF($D$15="",INDEX(orderHistory[invoice_date],SMALL(IF(ISNUMBER(MATCH(orderHistory[customer],$D$9,0)*MATCH(orderHistory[status],$D$11,0)*MATCH(orderHistory[order_type],$D$13,0)),MATCH(ROW(orderHistory[customer]),ROW(orderHistory[customer])),""),ROWS($A$15:A39)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R34" s="458" t="str">
        <f t="array" ref="R34">IFERROR(IF($D$9="",IF($D$11="",IF($D$13="",IF($D$15="",INDEX(orderHistory[inv_amount],SMALL(MATCH(ROW(orderHistory[customer]),ROW(orderHistory[customer])),ROWS($A$15:A39)+$B$3)),INDEX(orderHistory[inv_amount],SMALL(IF(ISNUMBER(MATCH(YEAR(orderHistory[invoice_date]),$D$15,0)),MATCH(ROW(orderHistory[customer]),ROW(orderHistory[customer])),""),ROWS($A$15:A39)+$B$3))),IF($D$15="",INDEX(orderHistory[inv_amount],SMALL(IF(ISNUMBER(MATCH(orderHistory[order_type],$D$13,0)),MATCH(ROW(orderHistory[customer]),ROW(orderHistory[customer])),""),ROWS($A$15:A39)+$B$3)),INDEX(orderHistory[inv_amount],SMALL(IF(ISNUMBER(MATCH(orderHistory[order_type],$D$13,0)*MATCH(YEAR(orderHistory[invoice_date]),$D$15,0)),MATCH(ROW(orderHistory[customer]),ROW(orderHistory[customer])),""),ROWS($A$15:A39)+$B$3)))),IF($D$13="",IF($D$15="",INDEX(orderHistory[inv_amount],SMALL(IF(ISNUMBER(MATCH(orderHistory[status],$D$11,0)),MATCH(ROW(orderHistory[customer]),ROW(orderHistory[customer])),""),ROWS($A$15:A39)+$B$3)),INDEX(orderHistory[inv_amount],SMALL(IF(ISNUMBER(MATCH(orderHistory[status],$D$11,0)*MATCH(YEAR(orderHistory[invoice_date]),$D$15,0)),MATCH(ROW(orderHistory[customer]),ROW(orderHistory[customer])),""),ROWS($A$15:A39)+$B$3))),IF($D$15="",INDEX(orderHistory[inv_amount],SMALL(IF(ISNUMBER(MATCH(orderHistory[status],$D$11,0)*MATCH(orderHistory[order_type],$D$13,0)),MATCH(ROW(orderHistory[customer]),ROW(orderHistory[customer])),""),ROWS($A$15:A39)+$B$3)),INDEX(orderHistory[inv_amount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_amount],SMALL(IF(ISNUMBER(MATCH(orderHistory[customer],$D$9,0)),MATCH(ROW(orderHistory[customer]),ROW(orderHistory[customer])),""),ROWS($A$15:A39)+$B$3)),INDEX(orderHistory[inv_amount],SMALL(IF(ISNUMBER(MATCH(orderHistory[customer],$D$9,0)*MATCH(YEAR(orderHistory[invoice_date]),$D$15,0)),MATCH(ROW(orderHistory[customer]),ROW(orderHistory[customer])),""),ROWS($A$15:A39)+$B$3))),IF($D$15="",INDEX(orderHistory[inv_amount],SMALL(IF(ISNUMBER(MATCH(orderHistory[customer],$D$9,0)*MATCH(orderHistory[order_type],$D$13,0)),MATCH(ROW(orderHistory[customer]),ROW(orderHistory[customer])),""),ROWS($A$15:A39)+$B$3)),INDEX(orderHistory[inv_amount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YEAR(orderHistory[inv_amount]),$D$15,0)),MATCH(ROW(orderHistory[customer]),ROW(orderHistory[customer])),""),ROWS($A$15:A39)+$B$3))),IF($D$15="",INDEX(orderHistory[inv_amount],SMALL(IF(ISNUMBER(MATCH(orderHistory[customer],$D$9,0)*MATCH(orderHistory[status],$D$11,0)*MATCH(orderHistory[order_type],$D$13,0)),MATCH(ROW(orderHistory[customer]),ROW(orderHistory[customer])),""),ROWS($A$15:A39)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S34" s="569" t="str">
        <f t="array" ref="S34">IFERROR(IF($D$9="",IF($D$11="",IF($D$13="",IF($D$15="",INDEX(orderHistory[lock_goods],SMALL(MATCH(ROW(orderHistory[customer]),ROW(orderHistory[customer])),ROWS($A$15:A39)+$B$3)),INDEX(orderHistory[lock_goods],SMALL(IF(ISNUMBER(MATCH(YEAR(orderHistory[invoice_date]),$D$15,0)),MATCH(ROW(orderHistory[customer]),ROW(orderHistory[customer])),""),ROWS($A$15:A39)+$B$3))),IF($D$15="",INDEX(orderHistory[lock_goods],SMALL(IF(ISNUMBER(MATCH(orderHistory[order_type],$D$13,0)),MATCH(ROW(orderHistory[customer]),ROW(orderHistory[customer])),""),ROWS($A$15:A39)+$B$3)),INDEX(orderHistory[lock_goods],SMALL(IF(ISNUMBER(MATCH(orderHistory[order_type],$D$13,0)*MATCH(YEAR(orderHistory[invoice_date]),$D$15,0)),MATCH(ROW(orderHistory[customer]),ROW(orderHistory[customer])),""),ROWS($A$15:A39)+$B$3)))),IF($D$13="",IF($D$15="",INDEX(orderHistory[lock_goods],SMALL(IF(ISNUMBER(MATCH(orderHistory[status],$D$11,0)),MATCH(ROW(orderHistory[customer]),ROW(orderHistory[customer])),""),ROWS($A$15:A39)+$B$3)),INDEX(orderHistory[lock_goods],SMALL(IF(ISNUMBER(MATCH(orderHistory[status],$D$11,0)*MATCH(YEAR(orderHistory[invoice_date]),$D$15,0)),MATCH(ROW(orderHistory[customer]),ROW(orderHistory[customer])),""),ROWS($A$15:A39)+$B$3))),IF($D$15="",INDEX(orderHistory[lock_goods],SMALL(IF(ISNUMBER(MATCH(orderHistory[status],$D$11,0)*MATCH(orderHistory[order_type],$D$13,0)),MATCH(ROW(orderHistory[customer]),ROW(orderHistory[customer])),""),ROWS($A$15:A39)+$B$3)),INDEX(orderHistory[lock_good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lock_goods],SMALL(IF(ISNUMBER(MATCH(orderHistory[customer],$D$9,0)),MATCH(ROW(orderHistory[customer]),ROW(orderHistory[customer])),""),ROWS($A$15:A39)+$B$3)),INDEX(orderHistory[lock_goods],SMALL(IF(ISNUMBER(MATCH(orderHistory[customer],$D$9,0)*MATCH(YEAR(orderHistory[invoice_date]),$D$15,0)),MATCH(ROW(orderHistory[customer]),ROW(orderHistory[customer])),""),ROWS($A$15:A39)+$B$3))),IF($D$15="",INDEX(orderHistory[lock_goods],SMALL(IF(ISNUMBER(MATCH(orderHistory[customer],$D$9,0)*MATCH(orderHistory[order_type],$D$13,0)),MATCH(ROW(orderHistory[customer]),ROW(orderHistory[customer])),""),ROWS($A$15:A39)+$B$3)),INDEX(orderHistory[lock_good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lock_goods],SMALL(IF(ISNUMBER(MATCH(orderHistory[customer],$D$9,0)*MATCH(orderHistory[status],$D$11,0)),MATCH(ROW(orderHistory[customer]),ROW(orderHistory[customer])),""),ROWS($A$15:A39)+$B$3)),INDEX(orderHistory[lock_goods],SMALL(IF(ISNUMBER(MATCH(orderHistory[customer],$D$9,0)*MATCH(orderHistory[status],$D$11,0)*MATCH(YEAR(orderHistory[payed]),$D$15,0)),MATCH(ROW(orderHistory[customer]),ROW(orderHistory[customer])),""),ROWS($A$15:A39)+$B$3))),IF($D$15="",INDEX(orderHistory[lock_goods],SMALL(IF(ISNUMBER(MATCH(orderHistory[customer],$D$9,0)*MATCH(orderHistory[status],$D$11,0)*MATCH(orderHistory[order_type],$D$13,0)),MATCH(ROW(orderHistory[customer]),ROW(orderHistory[customer])),""),ROWS($A$15:A39)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T34" s="459" t="str">
        <f t="array" ref="T34">IFERROR(IF($D$9="",IF($D$11="",IF($D$13="",IF($D$15="",INDEX(orderHistory[payed],SMALL(MATCH(ROW(orderHistory[customer]),ROW(orderHistory[customer])),ROWS($A$15:A39)+$B$3)),INDEX(orderHistory[payed],SMALL(IF(ISNUMBER(MATCH(YEAR(orderHistory[invoice_date]),$D$15,0)),MATCH(ROW(orderHistory[customer]),ROW(orderHistory[customer])),""),ROWS($A$15:A39)+$B$3))),IF($D$15="",INDEX(orderHistory[payed],SMALL(IF(ISNUMBER(MATCH(orderHistory[order_type],$D$13,0)),MATCH(ROW(orderHistory[customer]),ROW(orderHistory[customer])),""),ROWS($A$15:A39)+$B$3)),INDEX(orderHistory[payed],SMALL(IF(ISNUMBER(MATCH(orderHistory[order_type],$D$13,0)*MATCH(YEAR(orderHistory[invoice_date]),$D$15,0)),MATCH(ROW(orderHistory[customer]),ROW(orderHistory[customer])),""),ROWS($A$15:A39)+$B$3)))),IF($D$13="",IF($D$15="",INDEX(orderHistory[payed],SMALL(IF(ISNUMBER(MATCH(orderHistory[status],$D$11,0)),MATCH(ROW(orderHistory[customer]),ROW(orderHistory[customer])),""),ROWS($A$15:A39)+$B$3)),INDEX(orderHistory[payed],SMALL(IF(ISNUMBER(MATCH(orderHistory[status],$D$11,0)*MATCH(YEAR(orderHistory[invoice_date]),$D$15,0)),MATCH(ROW(orderHistory[customer]),ROW(orderHistory[customer])),""),ROWS($A$15:A39)+$B$3))),IF($D$15="",INDEX(orderHistory[payed],SMALL(IF(ISNUMBER(MATCH(orderHistory[status],$D$11,0)*MATCH(orderHistory[order_type],$D$13,0)),MATCH(ROW(orderHistory[customer]),ROW(orderHistory[customer])),""),ROWS($A$15:A39)+$B$3)),INDEX(orderHistory[paye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payed],SMALL(IF(ISNUMBER(MATCH(orderHistory[customer],$D$9,0)),MATCH(ROW(orderHistory[customer]),ROW(orderHistory[customer])),""),ROWS($A$15:A39)+$B$3)),INDEX(orderHistory[payed],SMALL(IF(ISNUMBER(MATCH(orderHistory[customer],$D$9,0)*MATCH(YEAR(orderHistory[invoice_date]),$D$15,0)),MATCH(ROW(orderHistory[customer]),ROW(orderHistory[customer])),""),ROWS($A$15:A39)+$B$3))),IF($D$15="",INDEX(orderHistory[payed],SMALL(IF(ISNUMBER(MATCH(orderHistory[customer],$D$9,0)*MATCH(orderHistory[order_type],$D$13,0)),MATCH(ROW(orderHistory[customer]),ROW(orderHistory[customer])),""),ROWS($A$15:A39)+$B$3)),INDEX(orderHistory[paye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YEAR(orderHistory[payed]),$D$15,0)),MATCH(ROW(orderHistory[customer]),ROW(orderHistory[customer])),""),ROWS($A$15:A39)+$B$3))),IF($D$15="",INDEX(orderHistory[payed],SMALL(IF(ISNUMBER(MATCH(orderHistory[customer],$D$9,0)*MATCH(orderHistory[status],$D$11,0)*MATCH(orderHistory[order_type],$D$13,0)),MATCH(ROW(orderHistory[customer]),ROW(orderHistory[customer])),""),ROWS($A$15:A39)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U34" s="454" t="str">
        <f t="array" ref="U34">IFERROR(IF($D$9="",IF($D$11="",IF($D$13="",IF($D$15="",INDEX(orderHistory[shipping_method],SMALL(MATCH(ROW(orderHistory[customer]),ROW(orderHistory[customer])),ROWS($A$15:A39)+$B$3)),INDEX(orderHistory[shipping_method],SMALL(IF(ISNUMBER(MATCH(YEAR(orderHistory[invoice_date]),$D$15,0)),MATCH(ROW(orderHistory[customer]),ROW(orderHistory[customer])),""),ROWS($A$15:A39)+$B$3))),IF($D$15="",INDEX(orderHistory[shipping_method],SMALL(IF(ISNUMBER(MATCH(orderHistory[order_type],$D$13,0)),MATCH(ROW(orderHistory[customer]),ROW(orderHistory[customer])),""),ROWS($A$15:A39)+$B$3)),INDEX(orderHistory[shipping_method],SMALL(IF(ISNUMBER(MATCH(orderHistory[order_type],$D$13,0)*MATCH(YEAR(orderHistory[invoice_date]),$D$15,0)),MATCH(ROW(orderHistory[customer]),ROW(orderHistory[customer])),""),ROWS($A$15:A39)+$B$3)))),IF($D$13="",IF($D$15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YEAR(orderHistory[invoice_date]),$D$15,0)),MATCH(ROW(orderHistory[customer]),ROW(orderHistory[customer])),""),ROWS($A$15:A39)+$B$3))),IF($D$15="",INDEX(orderHistory[shipping_method],SMALL(IF(ISNUMBER(MATCH(orderHistory[status],$D$11,0)*MATCH(orderHistory[order_type],$D$13,0)),MATCH(ROW(orderHistory[customer]),ROW(orderHistory[customer])),""),ROWS($A$15:A39)+$B$3)),INDEX(orderHistory[shipping_metho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YEAR(orderHistory[invoice_date]),$D$15,0)),MATCH(ROW(orderHistory[customer]),ROW(orderHistory[customer])),""),ROWS($A$15:A39)+$B$3))),IF($D$15="",INDEX(orderHistory[shipping_method],SMALL(IF(ISNUMBER(MATCH(orderHistory[customer],$D$9,0)*MATCH(orderHistory[order_type],$D$13,0)),MATCH(ROW(orderHistory[customer]),ROW(orderHistory[customer])),""),ROWS($A$15:A39)+$B$3)),INDEX(orderHistory[shipping_metho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YEAR(orderHistory[shipping_method]),$D$15,0)),MATCH(ROW(orderHistory[customer]),ROW(orderHistory[customer])),""),ROWS($A$15:A39)+$B$3))),IF($D$15="",INDEX(orderHistory[shipping_method],SMALL(IF(ISNUMBER(MATCH(orderHistory[customer],$D$9,0)*MATCH(orderHistory[status],$D$11,0)*MATCH(orderHistory[order_type],$D$13,0)),MATCH(ROW(orderHistory[customer]),ROW(orderHistory[customer])),""),ROWS($A$15:A39)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V34" s="460" t="str">
        <f t="array" ref="V34">IFERROR(IF($D$9="",IF($D$11="",IF($D$13="",IF($D$15="",INDEX(orderHistory[status],SMALL(MATCH(ROW(orderHistory[customer]),ROW(orderHistory[customer])),ROWS($A$15:A39)+$B$3)),INDEX(orderHistory[status],SMALL(IF(ISNUMBER(MATCH(YEAR(orderHistory[invoice_date]),$D$15,0)),MATCH(ROW(orderHistory[customer]),ROW(orderHistory[customer])),""),ROWS($A$15:A39)+$B$3))),IF($D$15="",INDEX(orderHistory[status],SMALL(IF(ISNUMBER(MATCH(orderHistory[order_type],$D$13,0)),MATCH(ROW(orderHistory[customer]),ROW(orderHistory[customer])),""),ROWS($A$15:A39)+$B$3)),INDEX(orderHistory[status],SMALL(IF(ISNUMBER(MATCH(orderHistory[order_type],$D$13,0)*MATCH(YEAR(orderHistory[invoice_date]),$D$15,0)),MATCH(ROW(orderHistory[customer]),ROW(orderHistory[customer])),""),ROWS($A$15:A39)+$B$3)))),IF($D$13="",IF($D$15="",INDEX(orderHistory[status],SMALL(IF(ISNUMBER(MATCH(orderHistory[status],$D$11,0)),MATCH(ROW(orderHistory[customer]),ROW(orderHistory[customer])),""),ROWS($A$15:A39)+$B$3)),INDEX(orderHistory[status],SMALL(IF(ISNUMBER(MATCH(orderHistory[status],$D$11,0)*MATCH(YEAR(orderHistory[invoice_date]),$D$15,0)),MATCH(ROW(orderHistory[customer]),ROW(orderHistory[customer])),""),ROWS($A$15:A39)+$B$3))),IF($D$15="",INDEX(orderHistory[status],SMALL(IF(ISNUMBER(MATCH(orderHistory[status],$D$11,0)*MATCH(orderHistory[order_type],$D$13,0)),MATCH(ROW(orderHistory[customer]),ROW(orderHistory[customer])),""),ROWS($A$15:A39)+$B$3)),INDEX(orderHistory[statu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tatus],SMALL(IF(ISNUMBER(MATCH(orderHistory[customer],$D$9,0)),MATCH(ROW(orderHistory[customer]),ROW(orderHistory[customer])),""),ROWS($A$15:A39)+$B$3)),INDEX(orderHistory[status],SMALL(IF(ISNUMBER(MATCH(orderHistory[customer],$D$9,0)*MATCH(YEAR(orderHistory[invoice_date]),$D$15,0)),MATCH(ROW(orderHistory[customer]),ROW(orderHistory[customer])),""),ROWS($A$15:A39)+$B$3))),IF($D$15="",INDEX(orderHistory[status],SMALL(IF(ISNUMBER(MATCH(orderHistory[customer],$D$9,0)*MATCH(orderHistory[order_type],$D$13,0)),MATCH(ROW(orderHistory[customer]),ROW(orderHistory[customer])),""),ROWS($A$15:A39)+$B$3)),INDEX(orderHistory[statu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YEAR(orderHistory[status]),$D$15,0)),MATCH(ROW(orderHistory[customer]),ROW(orderHistory[customer])),""),ROWS($A$15:A39)+$B$3))),IF($D$15="",INDEX(orderHistory[status],SMALL(IF(ISNUMBER(MATCH(orderHistory[customer],$D$9,0)*MATCH(orderHistory[status],$D$11,0)*MATCH(orderHistory[order_type],$D$13,0)),MATCH(ROW(orderHistory[customer]),ROW(orderHistory[customer])),""),ROWS($A$15:A39)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W34" s="75"/>
      <c r="AQ34" s="378"/>
      <c r="AR34" s="870"/>
      <c r="AS34" s="871"/>
      <c r="AT34" s="872"/>
      <c r="AU34" s="339"/>
      <c r="AW34" s="376"/>
      <c r="BJ34" s="339"/>
      <c r="BK34" s="366"/>
      <c r="BL34" s="367"/>
      <c r="BM34" s="368"/>
      <c r="BN34" s="367"/>
      <c r="BO34" s="368"/>
      <c r="BX34" s="437"/>
      <c r="BZ34" s="495"/>
      <c r="CA34" s="477" t="str">
        <f>IF(BZ34="","",INDEX(bhpc_data[description],MATCH(BZ34,bhpc_data[sku],0)))</f>
        <v/>
      </c>
      <c r="CB34" s="478"/>
      <c r="CC34" s="490"/>
      <c r="CD34" s="494"/>
      <c r="CE34" s="481"/>
      <c r="CF34" s="482"/>
      <c r="CG34" s="483" t="str">
        <f>IFERROR(ROUNDUP(CB34/INDEX(bhpc_data[units_per_carton],MATCH(BZ34,bhpc_data[sku],0)),0),"")</f>
        <v/>
      </c>
      <c r="CH34" s="484" t="str">
        <f>IFERROR(ROUNDUP(CD34/INDEX(bhpc_data[units_per_carton],MATCH(BZ34,bhpc_data[sku],0)),0),"")</f>
        <v/>
      </c>
      <c r="CI34" s="484" t="str">
        <f>IFERROR(ROUNDUP(CF34/INDEX(bhpc_data[units_per_carton],MATCH(BZ34,bhpc_data[sku])),0),"")</f>
        <v/>
      </c>
      <c r="CJ34" s="484" t="str">
        <f>IFERROR(((CB34+CD34+CF34)/INDEX(bhpc_data[units_per_carton],MATCH(BZ34,bhpc_data[sku],0)))*INDEX(bhpc_data[net_weight],MATCH(BZ34,bhpc_data[sku],0)),"")</f>
        <v/>
      </c>
      <c r="CK34" s="484" t="str">
        <f>IFERROR(((CB34+CD34+CF34)/INDEX(bhpc_data[units_per_carton],MATCH(BZ34,bhpc_data[sku],0)))*INDEX(bhpc_data[gross_weight],MATCH(BZ34,bhpc_data[sku],0)),"")</f>
        <v/>
      </c>
      <c r="CL34" s="485" t="str">
        <f>IFERROR((CB34+CD34+CF34)/INDEX(bhpc_data[units_per_carton],MATCH(BZ34,bhpc_data[sku],0))*INDEX(bhpc_data[lenght],MATCH(BZ34,bhpc_data[sku],0))*INDEX(bhpc_data[width],MATCH(BZ34,bhpc_data[sku],0))*INDEX(bhpc_data[height],MATCH(BZ34,bhpc_data[sku],0))/1000000000,"")</f>
        <v/>
      </c>
      <c r="CM34" s="486" t="str">
        <f>IFERROR(INDEX(bhpc_data[category],MATCH(BZ34,bhpc_data[sku],0)),"")</f>
        <v/>
      </c>
      <c r="CN34" s="486" t="str">
        <f>IFERROR(INDEX(bhpc_data[size1],MATCH(BZ34,bhpc_data[sku],0)),"")</f>
        <v/>
      </c>
      <c r="CO34" s="487" t="str">
        <f>IFERROR(INDEX(bhpc_data[hs_code],MATCH(BZ34,bhpc_data[sku],0)),"")</f>
        <v/>
      </c>
      <c r="CP34" s="482"/>
      <c r="CQ34" s="492" t="str">
        <f>IFERROR(IF(BZ34="","",IF($BX$15="SALE",INDEX(inventory[COSTO UNITARIO],MATCH(BZ34,inventory[ARTICOLO],0)),IF($BX$15="SAMPLING",INDEX(inventory[COSTO UNITARIO],MATCH(BZ34,inventory[ARTICOLO],0)),""))),"")</f>
        <v/>
      </c>
      <c r="CR34" s="492" t="str">
        <f t="shared" si="0"/>
        <v/>
      </c>
      <c r="CS34" s="489" t="str">
        <f t="shared" si="1"/>
        <v/>
      </c>
      <c r="CT34" s="573" t="str">
        <f t="shared" si="2"/>
        <v/>
      </c>
      <c r="CU34" s="421"/>
      <c r="CX34" s="438"/>
      <c r="CY34" s="438"/>
      <c r="DH34" s="245"/>
      <c r="EE34" s="547" t="str" cm="1">
        <f t="array" ref="EE34">IFERROR(IF($EC$9="",IF($EC$11="",IF($EC$13="",INDEX(bhpc_data[sku],SMALL(MATCH(ROW(bhpc_data[sku]),ROW(bhpc_data[sku])),ROWS($A$15:A39)+$B$3)),INDEX(bhpc_data[sku],SMALL(IF(ISNUMBER(MATCH(bhpc_data[size1],$EC$13,0)),MATCH(ROW(bhpc_data[sku]),ROW(bhpc_data[sku])),""),ROWS($A$15:A39)+$B$3))),IF($EC$13="",INDEX(bhpc_data[sku],SMALL(IF(ISNUMBER(MATCH(bhpc_data[sex],$EC$11,0)),MATCH(ROW(bhpc_data[sku]),ROW(bhpc_data[sku])),""),ROWS($A$15:A39)+$B$3)),INDEX(bhpc_data[sku],SMALL(IF(ISNUMBER(MATCH(bhpc_data[sex],$EC$11,0)*MATCH(bhpc_data[size1],$EC$13,0)),MATCH(ROW(bhpc_data[sku]),ROW(bhpc_data[sku])),""),ROWS($A$15:A39)+$B$3)))),IF($EC$11="",IF($EC$13="",INDEX(bhpc_data[sku],SMALL(IF(ISNUMBER(MATCH(bhpc_data[category],$EC$9,0)),MATCH(ROW(bhpc_data[sku]),ROW(bhpc_data[sku])),""),ROWS($A$15:A39)+$B$3)),INDEX(bhpc_data[sku],SMALL(IF(ISNUMBER(MATCH(bhpc_data[category],$EC$9,0)*MATCH(bhpc_data[size1],$EC$13,0)),MATCH(ROW(bhpc_data[sku]),ROW(bhpc_data[sku])),""),ROWS($A$15:A39)+$B$3))),IF($EC$13="",INDEX(bhpc_data[sku],SMALL(IF(ISNUMBER(MATCH(bhpc_data[category],$EC$9,0)*MATCH(bhpc_data[sex],$EC$11,0)),MATCH(ROW(bhpc_data[sku]),ROW(bhpc_data[sku])),""),ROWS($A$15:A39)+$B$3)),INDEX(bhpc_data[sku],SMALL(IF(ISNUMBER(MATCH(bhpc_data[category],$EC$9,0)*MATCH(bhpc_data[sex],$EC$11,0)*MATCH(bhpc_data[size1],$EC$13,0)),MATCH(ROW(bhpc_data[sku]),ROW(bhpc_data[sku])),""),ROWS($A$15:A39)+$B$3))))),"")</f>
        <v>GSTM12</v>
      </c>
      <c r="EF34" s="548" t="str" cm="1">
        <f t="array" ref="EF34">IFERROR(IF($EC$9="",IF($EC$11="",IF($EC$13="",INDEX(bhpc_data[description],SMALL(MATCH(ROW(bhpc_data[sku]),ROW(bhpc_data[sku])),ROWS($A$15:A39)+$B$3)),INDEX(bhpc_data[description],SMALL(IF(ISNUMBER(MATCH(bhpc_data[size1],$EC$13,0)),MATCH(ROW(bhpc_data[sku]),ROW(bhpc_data[sku])),""),ROWS($A$15:A39)+$B$3))),IF($EC$13="",INDEX(bhpc_data[description],SMALL(IF(ISNUMBER(MATCH(bhpc_data[sex],$EC$11,0)),MATCH(ROW(bhpc_data[sku]),ROW(bhpc_data[sku])),""),ROWS($A$15:A39)+$B$3)),INDEX(bhpc_data[description],SMALL(IF(ISNUMBER(MATCH(bhpc_data[sex],$EC$11,0)*MATCH(bhpc_data[size1],$EC$13,0)),MATCH(ROW(bhpc_data[sku]),ROW(bhpc_data[sku])),""),ROWS($A$15:A39)+$B$3)))),IF($EC$11="",IF($EC$13="",INDEX(bhpc_data[description],SMALL(IF(ISNUMBER(MATCH(bhpc_data[category],$EC$9,0)),MATCH(ROW(bhpc_data[sku]),ROW(bhpc_data[sku])),""),ROWS($A$15:A39)+$B$3)),INDEX(bhpc_data[description],SMALL(IF(ISNUMBER(MATCH(bhpc_data[category],$EC$9,0)*MATCH(bhpc_data[size1],$EC$13,0)),MATCH(ROW(bhpc_data[sku]),ROW(bhpc_data[sku])),""),ROWS($A$15:A39)+$B$3))),IF($EC$13="",INDEX(bhpc_data[description],SMALL(IF(ISNUMBER(MATCH(bhpc_data[category],$EC$9,0)*MATCH(bhpc_data[sex],$EC$11,0)),MATCH(ROW(bhpc_data[sku]),ROW(bhpc_data[sku])),""),ROWS($A$15:A39)+$B$3)),INDEX(bhpc_data[description],SMALL(IF(ISNUMBER(MATCH(bhpc_data[category],$EC$9,0)*MATCH(bhpc_data[sex],$EC$11,0)*MATCH(bhpc_data[size1],$EC$13,0)),MATCH(ROW(bhpc_data[sku]),ROW(bhpc_data[sku])),""),ROWS($A$15:A39)+$B$3))))),"")</f>
        <v>BHPC TWINPACK SPORTS MEN DEO #1 #2 175ML</v>
      </c>
      <c r="EG34" s="549">
        <f>IFERROR(IF('BHPC MANAGER'!$EE34="","",INDEX(inventory[ESISTENZA],MATCH('BHPC MANAGER'!$EE34,inventory[ARTICOLO],0))),0)</f>
        <v>0</v>
      </c>
      <c r="EH34" s="550" t="s">
        <v>914</v>
      </c>
      <c r="EI34" s="550">
        <f t="shared" si="3"/>
        <v>0</v>
      </c>
      <c r="EJ34" s="551" t="s">
        <v>914</v>
      </c>
      <c r="EK34" s="552">
        <f t="shared" si="4"/>
        <v>0</v>
      </c>
      <c r="FF34" s="331"/>
      <c r="FG34" s="331"/>
      <c r="FH34" s="331"/>
      <c r="FI34" s="331"/>
      <c r="FJ34" s="331"/>
      <c r="FK34" s="331"/>
      <c r="FL34" s="331"/>
      <c r="FM34" s="331"/>
      <c r="FN34" s="331"/>
      <c r="FO34" s="331"/>
      <c r="FP34" s="331"/>
      <c r="FQ34" s="331"/>
      <c r="FR34" s="331"/>
      <c r="FS34" s="331"/>
      <c r="FT34" s="331"/>
      <c r="FU34" s="331"/>
      <c r="FV34" s="331"/>
      <c r="FW34" s="331"/>
      <c r="FX34" s="331"/>
      <c r="FY34" s="331"/>
      <c r="FZ34" s="331"/>
      <c r="GA34" s="331"/>
      <c r="GB34" s="331"/>
      <c r="GC34" s="331"/>
      <c r="GD34" s="331"/>
      <c r="GE34" s="331"/>
      <c r="GF34" s="331"/>
      <c r="GG34" s="331"/>
      <c r="GH34" s="331"/>
      <c r="GI34" s="331"/>
      <c r="GJ34" s="331"/>
      <c r="GK34" s="331"/>
      <c r="GL34" s="331"/>
      <c r="GM34" s="331"/>
      <c r="GN34" s="331"/>
      <c r="GO34" s="331"/>
      <c r="GP34" s="331"/>
      <c r="GQ34" s="331"/>
      <c r="GR34" s="331"/>
      <c r="GS34" s="331"/>
      <c r="GT34" s="331"/>
      <c r="GU34" s="331"/>
      <c r="GV34" s="331"/>
      <c r="GW34" s="331"/>
      <c r="GX34" s="331"/>
      <c r="GY34" s="331"/>
      <c r="GZ34" s="331"/>
      <c r="HA34" s="331"/>
      <c r="HB34" s="331"/>
      <c r="HC34" s="331"/>
      <c r="HD34" s="331"/>
      <c r="HE34" s="331"/>
      <c r="HF34" s="331"/>
      <c r="HG34" s="331"/>
      <c r="HH34" s="331"/>
      <c r="HI34" s="331"/>
      <c r="HJ34" s="331"/>
      <c r="HK34" s="331"/>
      <c r="HL34" s="331"/>
      <c r="HM34" s="331"/>
      <c r="HN34" s="331"/>
      <c r="HO34" s="331"/>
      <c r="HP34" s="331"/>
      <c r="HQ34" s="331"/>
      <c r="HR34" s="331"/>
      <c r="HS34" s="331"/>
      <c r="HT34" s="331"/>
    </row>
    <row r="35" spans="6:228" ht="15" customHeight="1" thickBot="1" x14ac:dyDescent="0.4">
      <c r="F35" s="96"/>
      <c r="G35" s="850"/>
      <c r="H35" s="851"/>
      <c r="I35" s="852"/>
      <c r="J35" s="82"/>
      <c r="L35" s="452" t="str">
        <f t="array" ref="L35">IFERROR(IF($D$9="",IF($D$11="",IF($D$13="",IF($D$15="",INDEX(orderHistory[customer],SMALL(MATCH(ROW(orderHistory[customer]),ROW(orderHistory[customer])),ROWS($A$15:A40)+$B$3)),INDEX(orderHistory[customer],SMALL(IF(ISNUMBER(MATCH(YEAR(orderHistory[invoice_date]),$D$15,0)),MATCH(ROW(orderHistory[customer]),ROW(orderHistory[customer])),""),ROWS($A$15:A40)+$B$3))),IF($D$15="",INDEX(orderHistory[customer],SMALL(IF(ISNUMBER(MATCH(orderHistory[order_type],$D$13,0)),MATCH(ROW(orderHistory[customer]),ROW(orderHistory[customer])),""),ROWS($A$15:A40)+$B$3)),INDEX(orderHistory[customer],SMALL(IF(ISNUMBER(MATCH(orderHistory[order_type],$D$13,0)*MATCH(YEAR(orderHistory[invoice_date]),$D$15,0)),MATCH(ROW(orderHistory[customer]),ROW(orderHistory[customer])),""),ROWS($A$15:A40)+$B$3)))),IF($D$13="",IF($D$15="",INDEX(orderHistory[customer],SMALL(IF(ISNUMBER(MATCH(orderHistory[status],$D$11,0)),MATCH(ROW(orderHistory[customer]),ROW(orderHistory[customer])),""),ROWS($A$15:A40)+$B$3)),INDEX(orderHistory[customer],SMALL(IF(ISNUMBER(MATCH(orderHistory[status],$D$11,0)*MATCH(YEAR(orderHistory[invoice_date]),$D$15,0)),MATCH(ROW(orderHistory[customer]),ROW(orderHistory[customer])),""),ROWS($A$15:A40)+$B$3))),IF($D$15="",INDEX(orderHistory[customer],SMALL(IF(ISNUMBER(MATCH(orderHistory[status],$D$11,0)*MATCH(orderHistory[order_type],$D$13,0)),MATCH(ROW(orderHistory[customer]),ROW(orderHistory[customer])),""),ROWS($A$15:A40)+$B$3)),INDEX(orderHistory[customer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customer],SMALL(IF(ISNUMBER(MATCH(orderHistory[customer],$D$9,0)),MATCH(ROW(orderHistory[customer]),ROW(orderHistory[customer])),""),ROWS($A$15:A40)+$B$3)),INDEX(orderHistory[customer],SMALL(IF(ISNUMBER(MATCH(orderHistory[customer],$D$9,0)*MATCH(YEAR(orderHistory[invoice_date]),$D$15,0)),MATCH(ROW(orderHistory[customer]),ROW(orderHistory[customer])),""),ROWS($A$15:A40)+$B$3))),IF($D$15="",INDEX(orderHistory[customer],SMALL(IF(ISNUMBER(MATCH(orderHistory[customer],$D$9,0)*MATCH(orderHistory[order_type],$D$13,0)),MATCH(ROW(orderHistory[customer]),ROW(orderHistory[customer])),""),ROWS($A$15:A40)+$B$3)),INDEX(orderHistory[customer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YEAR(orderHistory[invoice_date]),$D$15,0)),MATCH(ROW(orderHistory[customer]),ROW(orderHistory[customer])),""),ROWS($A$15:A40)+$B$3))),IF($D$15="",INDEX(orderHistory[customer],SMALL(IF(ISNUMBER(MATCH(orderHistory[customer],$D$9,0)*MATCH(orderHistory[status],$D$11,0)*MATCH(orderHistory[order_type],$D$13,0)),MATCH(ROW(orderHistory[customer]),ROW(orderHistory[customer])),""),ROWS($A$15:A40)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M35" s="453" t="str">
        <f t="array" ref="M35">IFERROR(IF($D$9="",IF($D$11="",IF($D$13="",IF($D$15="",INDEX(orderHistory[order_no],SMALL(MATCH(ROW(orderHistory[customer]),ROW(orderHistory[customer])),ROWS($A$15:A40)+$B$3)),INDEX(orderHistory[order_no],SMALL(IF(ISNUMBER(MATCH(YEAR(orderHistory[invoice_date]),$D$15,0)),MATCH(ROW(orderHistory[customer]),ROW(orderHistory[customer])),""),ROWS($A$15:A40)+$B$3))),IF($D$15="",INDEX(orderHistory[order_no],SMALL(IF(ISNUMBER(MATCH(orderHistory[order_type],$D$13,0)),MATCH(ROW(orderHistory[customer]),ROW(orderHistory[customer])),""),ROWS($A$15:A40)+$B$3)),INDEX(orderHistory[order_no],SMALL(IF(ISNUMBER(MATCH(orderHistory[order_type],$D$13,0)*MATCH(YEAR(orderHistory[invoice_date]),$D$15,0)),MATCH(ROW(orderHistory[customer]),ROW(orderHistory[customer])),""),ROWS($A$15:A40)+$B$3)))),IF($D$13="",IF($D$15="",INDEX(orderHistory[order_no],SMALL(IF(ISNUMBER(MATCH(orderHistory[status],$D$11,0)),MATCH(ROW(orderHistory[customer]),ROW(orderHistory[customer])),""),ROWS($A$15:A40)+$B$3)),INDEX(orderHistory[order_no],SMALL(IF(ISNUMBER(MATCH(orderHistory[status],$D$11,0)*MATCH(YEAR(orderHistory[invoice_date]),$D$15,0)),MATCH(ROW(orderHistory[customer]),ROW(orderHistory[customer])),""),ROWS($A$15:A40)+$B$3))),IF($D$15="",INDEX(orderHistory[order_no],SMALL(IF(ISNUMBER(MATCH(orderHistory[status],$D$11,0)*MATCH(orderHistory[order_type],$D$13,0)),MATCH(ROW(orderHistory[customer]),ROW(orderHistory[customer])),""),ROWS($A$15:A40)+$B$3)),INDEX(orderHistory[order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no],SMALL(IF(ISNUMBER(MATCH(orderHistory[customer],$D$9,0)),MATCH(ROW(orderHistory[customer]),ROW(orderHistory[customer])),""),ROWS($A$15:A40)+$B$3)),INDEX(orderHistory[order_no],SMALL(IF(ISNUMBER(MATCH(orderHistory[customer],$D$9,0)*MATCH(YEAR(orderHistory[invoice_date]),$D$15,0)),MATCH(ROW(orderHistory[customer]),ROW(orderHistory[customer])),""),ROWS($A$15:A40)+$B$3))),IF($D$15="",INDEX(orderHistory[order_no],SMALL(IF(ISNUMBER(MATCH(orderHistory[customer],$D$9,0)*MATCH(orderHistory[order_type],$D$13,0)),MATCH(ROW(orderHistory[customer]),ROW(orderHistory[customer])),""),ROWS($A$15:A40)+$B$3)),INDEX(orderHistory[order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YEAR(orderHistory[invoice_date]),$D$15,0)),MATCH(ROW(orderHistory[customer]),ROW(orderHistory[customer])),""),ROWS($A$15:A40)+$B$3))),IF($D$15="",INDEX(orderHistory[order_no],SMALL(IF(ISNUMBER(MATCH(orderHistory[customer],$D$9,0)*MATCH(orderHistory[status],$D$11,0)*MATCH(orderHistory[order_type],$D$13,0)),MATCH(ROW(orderHistory[customer]),ROW(orderHistory[customer])),""),ROWS($A$15:A40)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N35" s="454" t="str">
        <f t="array" ref="N35">IFERROR(IF($D$9="",IF($D$11="",IF($D$13="",IF($D$15="",INDEX(orderHistory[order_type],SMALL(MATCH(ROW(orderHistory[customer]),ROW(orderHistory[customer])),ROWS($A$15:A40)+$B$3)),INDEX(orderHistory[order_type],SMALL(IF(ISNUMBER(MATCH(YEAR(orderHistory[invoice_date]),$D$15,0)),MATCH(ROW(orderHistory[customer]),ROW(orderHistory[customer])),""),ROWS($A$15:A40)+$B$3))),IF($D$15="",INDEX(orderHistory[order_type],SMALL(IF(ISNUMBER(MATCH(orderHistory[order_type],$D$13,0)),MATCH(ROW(orderHistory[customer]),ROW(orderHistory[customer])),""),ROWS($A$15:A40)+$B$3)),INDEX(orderHistory[order_type],SMALL(IF(ISNUMBER(MATCH(orderHistory[order_type],$D$13,0)*MATCH(YEAR(orderHistory[invoice_date]),$D$15,0)),MATCH(ROW(orderHistory[customer]),ROW(orderHistory[customer])),""),ROWS($A$15:A40)+$B$3)))),IF($D$13="",IF($D$15="",INDEX(orderHistory[order_type],SMALL(IF(ISNUMBER(MATCH(orderHistory[status],$D$11,0)),MATCH(ROW(orderHistory[customer]),ROW(orderHistory[customer])),""),ROWS($A$15:A40)+$B$3)),INDEX(orderHistory[order_type],SMALL(IF(ISNUMBER(MATCH(orderHistory[status],$D$11,0)*MATCH(YEAR(orderHistory[invoice_date]),$D$15,0)),MATCH(ROW(orderHistory[customer]),ROW(orderHistory[customer])),""),ROWS($A$15:A40)+$B$3))),IF($D$15="",INDEX(orderHistory[order_type],SMALL(IF(ISNUMBER(MATCH(orderHistory[status],$D$11,0)*MATCH(orderHistory[order_type],$D$13,0)),MATCH(ROW(orderHistory[customer]),ROW(orderHistory[customer])),""),ROWS($A$15:A40)+$B$3)),INDEX(orderHistory[order_typ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type],SMALL(IF(ISNUMBER(MATCH(orderHistory[customer],$D$9,0)),MATCH(ROW(orderHistory[customer]),ROW(orderHistory[customer])),""),ROWS($A$15:A40)+$B$3)),INDEX(orderHistory[order_type],SMALL(IF(ISNUMBER(MATCH(orderHistory[customer],$D$9,0)*MATCH(YEAR(orderHistory[invoice_date]),$D$15,0)),MATCH(ROW(orderHistory[customer]),ROW(orderHistory[customer])),""),ROWS($A$15:A40)+$B$3))),IF($D$15="",INDEX(orderHistory[order_type],SMALL(IF(ISNUMBER(MATCH(orderHistory[customer],$D$9,0)*MATCH(orderHistory[order_type],$D$13,0)),MATCH(ROW(orderHistory[customer]),ROW(orderHistory[customer])),""),ROWS($A$15:A40)+$B$3)),INDEX(orderHistory[order_typ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YEAR(orderHistory[invoice_date]),$D$15,0)),MATCH(ROW(orderHistory[customer]),ROW(orderHistory[customer])),""),ROWS($A$15:A40)+$B$3))),IF($D$15="",INDEX(orderHistory[order_type],SMALL(IF(ISNUMBER(MATCH(orderHistory[customer],$D$9,0)*MATCH(orderHistory[status],$D$11,0)*MATCH(orderHistory[order_type],$D$13,0)),MATCH(ROW(orderHistory[customer]),ROW(orderHistory[customer])),""),ROWS($A$15:A40)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O35" s="455" t="str">
        <f t="array" ref="O35">IFERROR(IF($D$9="",IF($D$11="",IF($D$13="",IF($D$15="",INDEX(orderHistory[order_date],SMALL(MATCH(ROW(orderHistory[customer]),ROW(orderHistory[customer])),ROWS($A$15:A40)+$B$3)),INDEX(orderHistory[order_date],SMALL(IF(ISNUMBER(MATCH(YEAR(orderHistory[invoice_date]),$D$15,0)),MATCH(ROW(orderHistory[customer]),ROW(orderHistory[customer])),""),ROWS($A$15:A40)+$B$3))),IF($D$15="",INDEX(orderHistory[order_date],SMALL(IF(ISNUMBER(MATCH(orderHistory[order_type],$D$13,0)),MATCH(ROW(orderHistory[customer]),ROW(orderHistory[customer])),""),ROWS($A$15:A40)+$B$3)),INDEX(orderHistory[order_date],SMALL(IF(ISNUMBER(MATCH(orderHistory[order_type],$D$13,0)*MATCH(YEAR(orderHistory[invoice_date]),$D$15,0)),MATCH(ROW(orderHistory[customer]),ROW(orderHistory[customer])),""),ROWS($A$15:A40)+$B$3)))),IF($D$13="",IF($D$15="",INDEX(orderHistory[order_date],SMALL(IF(ISNUMBER(MATCH(orderHistory[status],$D$11,0)),MATCH(ROW(orderHistory[customer]),ROW(orderHistory[customer])),""),ROWS($A$15:A40)+$B$3)),INDEX(orderHistory[order_date],SMALL(IF(ISNUMBER(MATCH(orderHistory[status],$D$11,0)*MATCH(YEAR(orderHistory[invoice_date]),$D$15,0)),MATCH(ROW(orderHistory[customer]),ROW(orderHistory[customer])),""),ROWS($A$15:A40)+$B$3))),IF($D$15="",INDEX(orderHistory[order_date],SMALL(IF(ISNUMBER(MATCH(orderHistory[status],$D$11,0)*MATCH(orderHistory[order_type],$D$13,0)),MATCH(ROW(orderHistory[customer]),ROW(orderHistory[customer])),""),ROWS($A$15:A40)+$B$3)),INDEX(orderHistory[order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date],SMALL(IF(ISNUMBER(MATCH(orderHistory[customer],$D$9,0)),MATCH(ROW(orderHistory[customer]),ROW(orderHistory[customer])),""),ROWS($A$15:A40)+$B$3)),INDEX(orderHistory[order_date],SMALL(IF(ISNUMBER(MATCH(orderHistory[customer],$D$9,0)*MATCH(YEAR(orderHistory[invoice_date]),$D$15,0)),MATCH(ROW(orderHistory[customer]),ROW(orderHistory[customer])),""),ROWS($A$15:A40)+$B$3))),IF($D$15="",INDEX(orderHistory[order_date],SMALL(IF(ISNUMBER(MATCH(orderHistory[customer],$D$9,0)*MATCH(orderHistory[order_type],$D$13,0)),MATCH(ROW(orderHistory[customer]),ROW(orderHistory[customer])),""),ROWS($A$15:A40)+$B$3)),INDEX(orderHistory[order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YEAR(orderHistory[invoice_date]),$D$15,0)),MATCH(ROW(orderHistory[customer]),ROW(orderHistory[customer])),""),ROWS($A$15:A40)+$B$3))),IF($D$15="",INDEX(orderHistory[order_date],SMALL(IF(ISNUMBER(MATCH(orderHistory[customer],$D$9,0)*MATCH(orderHistory[status],$D$11,0)*MATCH(orderHistory[order_type],$D$13,0)),MATCH(ROW(orderHistory[customer]),ROW(orderHistory[customer])),""),ROWS($A$15:A40)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P35" s="456" t="str">
        <f t="array" ref="P35">IFERROR(IF($D$9="",IF($D$11="",IF($D$13="",IF($D$15="",INDEX(orderHistory[invoice_no],SMALL(MATCH(ROW(orderHistory[customer]),ROW(orderHistory[customer])),ROWS($A$15:A40)+$B$3)),INDEX(orderHistory[invoice_no],SMALL(IF(ISNUMBER(MATCH(YEAR(orderHistory[invoice_date]),$D$15,0)),MATCH(ROW(orderHistory[customer]),ROW(orderHistory[customer])),""),ROWS($A$15:A40)+$B$3))),IF($D$15="",INDEX(orderHistory[invoice_no],SMALL(IF(ISNUMBER(MATCH(orderHistory[order_type],$D$13,0)),MATCH(ROW(orderHistory[customer]),ROW(orderHistory[customer])),""),ROWS($A$15:A40)+$B$3)),INDEX(orderHistory[invoice_no],SMALL(IF(ISNUMBER(MATCH(orderHistory[order_type],$D$13,0)*MATCH(YEAR(orderHistory[invoice_date]),$D$15,0)),MATCH(ROW(orderHistory[customer]),ROW(orderHistory[customer])),""),ROWS($A$15:A40)+$B$3)))),IF($D$13="",IF($D$15="",INDEX(orderHistory[invoice_no],SMALL(IF(ISNUMBER(MATCH(orderHistory[status],$D$11,0)),MATCH(ROW(orderHistory[customer]),ROW(orderHistory[customer])),""),ROWS($A$15:A40)+$B$3)),INDEX(orderHistory[invoice_no],SMALL(IF(ISNUMBER(MATCH(orderHistory[status],$D$11,0)*MATCH(YEAR(orderHistory[invoice_date]),$D$15,0)),MATCH(ROW(orderHistory[customer]),ROW(orderHistory[customer])),""),ROWS($A$15:A40)+$B$3))),IF($D$15="",INDEX(orderHistory[invoice_no],SMALL(IF(ISNUMBER(MATCH(orderHistory[status],$D$11,0)*MATCH(orderHistory[order_type],$D$13,0)),MATCH(ROW(orderHistory[customer]),ROW(orderHistory[customer])),""),ROWS($A$15:A40)+$B$3)),INDEX(orderHistory[invoice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no],SMALL(IF(ISNUMBER(MATCH(orderHistory[customer],$D$9,0)),MATCH(ROW(orderHistory[customer]),ROW(orderHistory[customer])),""),ROWS($A$15:A40)+$B$3)),INDEX(orderHistory[invoice_no],SMALL(IF(ISNUMBER(MATCH(orderHistory[customer],$D$9,0)*MATCH(YEAR(orderHistory[invoice_date]),$D$15,0)),MATCH(ROW(orderHistory[customer]),ROW(orderHistory[customer])),""),ROWS($A$15:A40)+$B$3))),IF($D$15="",INDEX(orderHistory[invoice_no],SMALL(IF(ISNUMBER(MATCH(orderHistory[customer],$D$9,0)*MATCH(orderHistory[order_type],$D$13,0)),MATCH(ROW(orderHistory[customer]),ROW(orderHistory[customer])),""),ROWS($A$15:A40)+$B$3)),INDEX(orderHistory[invoice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YEAR(orderHistory[invoice_date]),$D$15,0)),MATCH(ROW(orderHistory[customer]),ROW(orderHistory[customer])),""),ROWS($A$15:A40)+$B$3))),IF($D$15="",INDEX(orderHistory[invoice_no],SMALL(IF(ISNUMBER(MATCH(orderHistory[customer],$D$9,0)*MATCH(orderHistory[status],$D$11,0)*MATCH(orderHistory[order_type],$D$13,0)),MATCH(ROW(orderHistory[customer]),ROW(orderHistory[customer])),""),ROWS($A$15:A40)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Q35" s="457" t="str">
        <f t="array" ref="Q35">IFERROR(IF($D$9="",IF($D$11="",IF($D$13="",IF($D$15="",INDEX(orderHistory[invoice_date],SMALL(MATCH(ROW(orderHistory[customer]),ROW(orderHistory[customer])),ROWS($A$15:A40)+$B$3)),INDEX(orderHistory[invoice_date],SMALL(IF(ISNUMBER(MATCH(YEAR(orderHistory[invoice_date]),$D$15,0)),MATCH(ROW(orderHistory[customer]),ROW(orderHistory[customer])),""),ROWS($A$15:A40)+$B$3))),IF($D$15="",INDEX(orderHistory[invoice_date],SMALL(IF(ISNUMBER(MATCH(orderHistory[order_type],$D$13,0)),MATCH(ROW(orderHistory[customer]),ROW(orderHistory[customer])),""),ROWS($A$15:A40)+$B$3)),INDEX(orderHistory[invoice_date],SMALL(IF(ISNUMBER(MATCH(orderHistory[order_type],$D$13,0)*MATCH(YEAR(orderHistory[invoice_date]),$D$15,0)),MATCH(ROW(orderHistory[customer]),ROW(orderHistory[customer])),""),ROWS($A$15:A40)+$B$3)))),IF($D$13="",IF($D$15="",INDEX(orderHistory[invoice_date],SMALL(IF(ISNUMBER(MATCH(orderHistory[status],$D$11,0)),MATCH(ROW(orderHistory[customer]),ROW(orderHistory[customer])),""),ROWS($A$15:A40)+$B$3)),INDEX(orderHistory[invoice_date],SMALL(IF(ISNUMBER(MATCH(orderHistory[status],$D$11,0)*MATCH(YEAR(orderHistory[invoice_date]),$D$15,0)),MATCH(ROW(orderHistory[customer]),ROW(orderHistory[customer])),""),ROWS($A$15:A40)+$B$3))),IF($D$15="",INDEX(orderHistory[invoice_date],SMALL(IF(ISNUMBER(MATCH(orderHistory[status],$D$11,0)*MATCH(orderHistory[order_type],$D$13,0)),MATCH(ROW(orderHistory[customer]),ROW(orderHistory[customer])),""),ROWS($A$15:A40)+$B$3)),INDEX(orderHistory[invoice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date],SMALL(IF(ISNUMBER(MATCH(orderHistory[customer],$D$9,0)),MATCH(ROW(orderHistory[customer]),ROW(orderHistory[customer])),""),ROWS($A$15:A40)+$B$3)),INDEX(orderHistory[invoice_date],SMALL(IF(ISNUMBER(MATCH(orderHistory[customer],$D$9,0)*MATCH(YEAR(orderHistory[invoice_date]),$D$15,0)),MATCH(ROW(orderHistory[customer]),ROW(orderHistory[customer])),""),ROWS($A$15:A40)+$B$3))),IF($D$15="",INDEX(orderHistory[invoice_date],SMALL(IF(ISNUMBER(MATCH(orderHistory[customer],$D$9,0)*MATCH(orderHistory[order_type],$D$13,0)),MATCH(ROW(orderHistory[customer]),ROW(orderHistory[customer])),""),ROWS($A$15:A40)+$B$3)),INDEX(orderHistory[invoice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YEAR(orderHistory[invoice_date]),$D$15,0)),MATCH(ROW(orderHistory[customer]),ROW(orderHistory[customer])),""),ROWS($A$15:A40)+$B$3))),IF($D$15="",INDEX(orderHistory[invoice_date],SMALL(IF(ISNUMBER(MATCH(orderHistory[customer],$D$9,0)*MATCH(orderHistory[status],$D$11,0)*MATCH(orderHistory[order_type],$D$13,0)),MATCH(ROW(orderHistory[customer]),ROW(orderHistory[customer])),""),ROWS($A$15:A40)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R35" s="458" t="str">
        <f t="array" ref="R35">IFERROR(IF($D$9="",IF($D$11="",IF($D$13="",IF($D$15="",INDEX(orderHistory[inv_amount],SMALL(MATCH(ROW(orderHistory[customer]),ROW(orderHistory[customer])),ROWS($A$15:A40)+$B$3)),INDEX(orderHistory[inv_amount],SMALL(IF(ISNUMBER(MATCH(YEAR(orderHistory[invoice_date]),$D$15,0)),MATCH(ROW(orderHistory[customer]),ROW(orderHistory[customer])),""),ROWS($A$15:A40)+$B$3))),IF($D$15="",INDEX(orderHistory[inv_amount],SMALL(IF(ISNUMBER(MATCH(orderHistory[order_type],$D$13,0)),MATCH(ROW(orderHistory[customer]),ROW(orderHistory[customer])),""),ROWS($A$15:A40)+$B$3)),INDEX(orderHistory[inv_amount],SMALL(IF(ISNUMBER(MATCH(orderHistory[order_type],$D$13,0)*MATCH(YEAR(orderHistory[invoice_date]),$D$15,0)),MATCH(ROW(orderHistory[customer]),ROW(orderHistory[customer])),""),ROWS($A$15:A40)+$B$3)))),IF($D$13="",IF($D$15="",INDEX(orderHistory[inv_amount],SMALL(IF(ISNUMBER(MATCH(orderHistory[status],$D$11,0)),MATCH(ROW(orderHistory[customer]),ROW(orderHistory[customer])),""),ROWS($A$15:A40)+$B$3)),INDEX(orderHistory[inv_amount],SMALL(IF(ISNUMBER(MATCH(orderHistory[status],$D$11,0)*MATCH(YEAR(orderHistory[invoice_date]),$D$15,0)),MATCH(ROW(orderHistory[customer]),ROW(orderHistory[customer])),""),ROWS($A$15:A40)+$B$3))),IF($D$15="",INDEX(orderHistory[inv_amount],SMALL(IF(ISNUMBER(MATCH(orderHistory[status],$D$11,0)*MATCH(orderHistory[order_type],$D$13,0)),MATCH(ROW(orderHistory[customer]),ROW(orderHistory[customer])),""),ROWS($A$15:A40)+$B$3)),INDEX(orderHistory[inv_amount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_amount],SMALL(IF(ISNUMBER(MATCH(orderHistory[customer],$D$9,0)),MATCH(ROW(orderHistory[customer]),ROW(orderHistory[customer])),""),ROWS($A$15:A40)+$B$3)),INDEX(orderHistory[inv_amount],SMALL(IF(ISNUMBER(MATCH(orderHistory[customer],$D$9,0)*MATCH(YEAR(orderHistory[invoice_date]),$D$15,0)),MATCH(ROW(orderHistory[customer]),ROW(orderHistory[customer])),""),ROWS($A$15:A40)+$B$3))),IF($D$15="",INDEX(orderHistory[inv_amount],SMALL(IF(ISNUMBER(MATCH(orderHistory[customer],$D$9,0)*MATCH(orderHistory[order_type],$D$13,0)),MATCH(ROW(orderHistory[customer]),ROW(orderHistory[customer])),""),ROWS($A$15:A40)+$B$3)),INDEX(orderHistory[inv_amount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YEAR(orderHistory[inv_amount]),$D$15,0)),MATCH(ROW(orderHistory[customer]),ROW(orderHistory[customer])),""),ROWS($A$15:A40)+$B$3))),IF($D$15="",INDEX(orderHistory[inv_amount],SMALL(IF(ISNUMBER(MATCH(orderHistory[customer],$D$9,0)*MATCH(orderHistory[status],$D$11,0)*MATCH(orderHistory[order_type],$D$13,0)),MATCH(ROW(orderHistory[customer]),ROW(orderHistory[customer])),""),ROWS($A$15:A40)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S35" s="569" t="str">
        <f t="array" ref="S35">IFERROR(IF($D$9="",IF($D$11="",IF($D$13="",IF($D$15="",INDEX(orderHistory[lock_goods],SMALL(MATCH(ROW(orderHistory[customer]),ROW(orderHistory[customer])),ROWS($A$15:A40)+$B$3)),INDEX(orderHistory[lock_goods],SMALL(IF(ISNUMBER(MATCH(YEAR(orderHistory[invoice_date]),$D$15,0)),MATCH(ROW(orderHistory[customer]),ROW(orderHistory[customer])),""),ROWS($A$15:A40)+$B$3))),IF($D$15="",INDEX(orderHistory[lock_goods],SMALL(IF(ISNUMBER(MATCH(orderHistory[order_type],$D$13,0)),MATCH(ROW(orderHistory[customer]),ROW(orderHistory[customer])),""),ROWS($A$15:A40)+$B$3)),INDEX(orderHistory[lock_goods],SMALL(IF(ISNUMBER(MATCH(orderHistory[order_type],$D$13,0)*MATCH(YEAR(orderHistory[invoice_date]),$D$15,0)),MATCH(ROW(orderHistory[customer]),ROW(orderHistory[customer])),""),ROWS($A$15:A40)+$B$3)))),IF($D$13="",IF($D$15="",INDEX(orderHistory[lock_goods],SMALL(IF(ISNUMBER(MATCH(orderHistory[status],$D$11,0)),MATCH(ROW(orderHistory[customer]),ROW(orderHistory[customer])),""),ROWS($A$15:A40)+$B$3)),INDEX(orderHistory[lock_goods],SMALL(IF(ISNUMBER(MATCH(orderHistory[status],$D$11,0)*MATCH(YEAR(orderHistory[invoice_date]),$D$15,0)),MATCH(ROW(orderHistory[customer]),ROW(orderHistory[customer])),""),ROWS($A$15:A40)+$B$3))),IF($D$15="",INDEX(orderHistory[lock_goods],SMALL(IF(ISNUMBER(MATCH(orderHistory[status],$D$11,0)*MATCH(orderHistory[order_type],$D$13,0)),MATCH(ROW(orderHistory[customer]),ROW(orderHistory[customer])),""),ROWS($A$15:A40)+$B$3)),INDEX(orderHistory[lock_good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lock_goods],SMALL(IF(ISNUMBER(MATCH(orderHistory[customer],$D$9,0)),MATCH(ROW(orderHistory[customer]),ROW(orderHistory[customer])),""),ROWS($A$15:A40)+$B$3)),INDEX(orderHistory[lock_goods],SMALL(IF(ISNUMBER(MATCH(orderHistory[customer],$D$9,0)*MATCH(YEAR(orderHistory[invoice_date]),$D$15,0)),MATCH(ROW(orderHistory[customer]),ROW(orderHistory[customer])),""),ROWS($A$15:A40)+$B$3))),IF($D$15="",INDEX(orderHistory[lock_goods],SMALL(IF(ISNUMBER(MATCH(orderHistory[customer],$D$9,0)*MATCH(orderHistory[order_type],$D$13,0)),MATCH(ROW(orderHistory[customer]),ROW(orderHistory[customer])),""),ROWS($A$15:A40)+$B$3)),INDEX(orderHistory[lock_good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lock_goods],SMALL(IF(ISNUMBER(MATCH(orderHistory[customer],$D$9,0)*MATCH(orderHistory[status],$D$11,0)),MATCH(ROW(orderHistory[customer]),ROW(orderHistory[customer])),""),ROWS($A$15:A40)+$B$3)),INDEX(orderHistory[lock_goods],SMALL(IF(ISNUMBER(MATCH(orderHistory[customer],$D$9,0)*MATCH(orderHistory[status],$D$11,0)*MATCH(YEAR(orderHistory[payed]),$D$15,0)),MATCH(ROW(orderHistory[customer]),ROW(orderHistory[customer])),""),ROWS($A$15:A40)+$B$3))),IF($D$15="",INDEX(orderHistory[lock_goods],SMALL(IF(ISNUMBER(MATCH(orderHistory[customer],$D$9,0)*MATCH(orderHistory[status],$D$11,0)*MATCH(orderHistory[order_type],$D$13,0)),MATCH(ROW(orderHistory[customer]),ROW(orderHistory[customer])),""),ROWS($A$15:A40)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T35" s="459" t="str">
        <f t="array" ref="T35">IFERROR(IF($D$9="",IF($D$11="",IF($D$13="",IF($D$15="",INDEX(orderHistory[payed],SMALL(MATCH(ROW(orderHistory[customer]),ROW(orderHistory[customer])),ROWS($A$15:A40)+$B$3)),INDEX(orderHistory[payed],SMALL(IF(ISNUMBER(MATCH(YEAR(orderHistory[invoice_date]),$D$15,0)),MATCH(ROW(orderHistory[customer]),ROW(orderHistory[customer])),""),ROWS($A$15:A40)+$B$3))),IF($D$15="",INDEX(orderHistory[payed],SMALL(IF(ISNUMBER(MATCH(orderHistory[order_type],$D$13,0)),MATCH(ROW(orderHistory[customer]),ROW(orderHistory[customer])),""),ROWS($A$15:A40)+$B$3)),INDEX(orderHistory[payed],SMALL(IF(ISNUMBER(MATCH(orderHistory[order_type],$D$13,0)*MATCH(YEAR(orderHistory[invoice_date]),$D$15,0)),MATCH(ROW(orderHistory[customer]),ROW(orderHistory[customer])),""),ROWS($A$15:A40)+$B$3)))),IF($D$13="",IF($D$15="",INDEX(orderHistory[payed],SMALL(IF(ISNUMBER(MATCH(orderHistory[status],$D$11,0)),MATCH(ROW(orderHistory[customer]),ROW(orderHistory[customer])),""),ROWS($A$15:A40)+$B$3)),INDEX(orderHistory[payed],SMALL(IF(ISNUMBER(MATCH(orderHistory[status],$D$11,0)*MATCH(YEAR(orderHistory[invoice_date]),$D$15,0)),MATCH(ROW(orderHistory[customer]),ROW(orderHistory[customer])),""),ROWS($A$15:A40)+$B$3))),IF($D$15="",INDEX(orderHistory[payed],SMALL(IF(ISNUMBER(MATCH(orderHistory[status],$D$11,0)*MATCH(orderHistory[order_type],$D$13,0)),MATCH(ROW(orderHistory[customer]),ROW(orderHistory[customer])),""),ROWS($A$15:A40)+$B$3)),INDEX(orderHistory[paye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payed],SMALL(IF(ISNUMBER(MATCH(orderHistory[customer],$D$9,0)),MATCH(ROW(orderHistory[customer]),ROW(orderHistory[customer])),""),ROWS($A$15:A40)+$B$3)),INDEX(orderHistory[payed],SMALL(IF(ISNUMBER(MATCH(orderHistory[customer],$D$9,0)*MATCH(YEAR(orderHistory[invoice_date]),$D$15,0)),MATCH(ROW(orderHistory[customer]),ROW(orderHistory[customer])),""),ROWS($A$15:A40)+$B$3))),IF($D$15="",INDEX(orderHistory[payed],SMALL(IF(ISNUMBER(MATCH(orderHistory[customer],$D$9,0)*MATCH(orderHistory[order_type],$D$13,0)),MATCH(ROW(orderHistory[customer]),ROW(orderHistory[customer])),""),ROWS($A$15:A40)+$B$3)),INDEX(orderHistory[paye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YEAR(orderHistory[payed]),$D$15,0)),MATCH(ROW(orderHistory[customer]),ROW(orderHistory[customer])),""),ROWS($A$15:A40)+$B$3))),IF($D$15="",INDEX(orderHistory[payed],SMALL(IF(ISNUMBER(MATCH(orderHistory[customer],$D$9,0)*MATCH(orderHistory[status],$D$11,0)*MATCH(orderHistory[order_type],$D$13,0)),MATCH(ROW(orderHistory[customer]),ROW(orderHistory[customer])),""),ROWS($A$15:A40)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U35" s="454" t="str">
        <f t="array" ref="U35">IFERROR(IF($D$9="",IF($D$11="",IF($D$13="",IF($D$15="",INDEX(orderHistory[shipping_method],SMALL(MATCH(ROW(orderHistory[customer]),ROW(orderHistory[customer])),ROWS($A$15:A40)+$B$3)),INDEX(orderHistory[shipping_method],SMALL(IF(ISNUMBER(MATCH(YEAR(orderHistory[invoice_date]),$D$15,0)),MATCH(ROW(orderHistory[customer]),ROW(orderHistory[customer])),""),ROWS($A$15:A40)+$B$3))),IF($D$15="",INDEX(orderHistory[shipping_method],SMALL(IF(ISNUMBER(MATCH(orderHistory[order_type],$D$13,0)),MATCH(ROW(orderHistory[customer]),ROW(orderHistory[customer])),""),ROWS($A$15:A40)+$B$3)),INDEX(orderHistory[shipping_method],SMALL(IF(ISNUMBER(MATCH(orderHistory[order_type],$D$13,0)*MATCH(YEAR(orderHistory[invoice_date]),$D$15,0)),MATCH(ROW(orderHistory[customer]),ROW(orderHistory[customer])),""),ROWS($A$15:A40)+$B$3)))),IF($D$13="",IF($D$15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YEAR(orderHistory[invoice_date]),$D$15,0)),MATCH(ROW(orderHistory[customer]),ROW(orderHistory[customer])),""),ROWS($A$15:A40)+$B$3))),IF($D$15="",INDEX(orderHistory[shipping_method],SMALL(IF(ISNUMBER(MATCH(orderHistory[status],$D$11,0)*MATCH(orderHistory[order_type],$D$13,0)),MATCH(ROW(orderHistory[customer]),ROW(orderHistory[customer])),""),ROWS($A$15:A40)+$B$3)),INDEX(orderHistory[shipping_metho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YEAR(orderHistory[invoice_date]),$D$15,0)),MATCH(ROW(orderHistory[customer]),ROW(orderHistory[customer])),""),ROWS($A$15:A40)+$B$3))),IF($D$15="",INDEX(orderHistory[shipping_method],SMALL(IF(ISNUMBER(MATCH(orderHistory[customer],$D$9,0)*MATCH(orderHistory[order_type],$D$13,0)),MATCH(ROW(orderHistory[customer]),ROW(orderHistory[customer])),""),ROWS($A$15:A40)+$B$3)),INDEX(orderHistory[shipping_metho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YEAR(orderHistory[shipping_method]),$D$15,0)),MATCH(ROW(orderHistory[customer]),ROW(orderHistory[customer])),""),ROWS($A$15:A40)+$B$3))),IF($D$15="",INDEX(orderHistory[shipping_method],SMALL(IF(ISNUMBER(MATCH(orderHistory[customer],$D$9,0)*MATCH(orderHistory[status],$D$11,0)*MATCH(orderHistory[order_type],$D$13,0)),MATCH(ROW(orderHistory[customer]),ROW(orderHistory[customer])),""),ROWS($A$15:A40)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V35" s="460" t="str">
        <f t="array" ref="V35">IFERROR(IF($D$9="",IF($D$11="",IF($D$13="",IF($D$15="",INDEX(orderHistory[status],SMALL(MATCH(ROW(orderHistory[customer]),ROW(orderHistory[customer])),ROWS($A$15:A40)+$B$3)),INDEX(orderHistory[status],SMALL(IF(ISNUMBER(MATCH(YEAR(orderHistory[invoice_date]),$D$15,0)),MATCH(ROW(orderHistory[customer]),ROW(orderHistory[customer])),""),ROWS($A$15:A40)+$B$3))),IF($D$15="",INDEX(orderHistory[status],SMALL(IF(ISNUMBER(MATCH(orderHistory[order_type],$D$13,0)),MATCH(ROW(orderHistory[customer]),ROW(orderHistory[customer])),""),ROWS($A$15:A40)+$B$3)),INDEX(orderHistory[status],SMALL(IF(ISNUMBER(MATCH(orderHistory[order_type],$D$13,0)*MATCH(YEAR(orderHistory[invoice_date]),$D$15,0)),MATCH(ROW(orderHistory[customer]),ROW(orderHistory[customer])),""),ROWS($A$15:A40)+$B$3)))),IF($D$13="",IF($D$15="",INDEX(orderHistory[status],SMALL(IF(ISNUMBER(MATCH(orderHistory[status],$D$11,0)),MATCH(ROW(orderHistory[customer]),ROW(orderHistory[customer])),""),ROWS($A$15:A40)+$B$3)),INDEX(orderHistory[status],SMALL(IF(ISNUMBER(MATCH(orderHistory[status],$D$11,0)*MATCH(YEAR(orderHistory[invoice_date]),$D$15,0)),MATCH(ROW(orderHistory[customer]),ROW(orderHistory[customer])),""),ROWS($A$15:A40)+$B$3))),IF($D$15="",INDEX(orderHistory[status],SMALL(IF(ISNUMBER(MATCH(orderHistory[status],$D$11,0)*MATCH(orderHistory[order_type],$D$13,0)),MATCH(ROW(orderHistory[customer]),ROW(orderHistory[customer])),""),ROWS($A$15:A40)+$B$3)),INDEX(orderHistory[statu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tatus],SMALL(IF(ISNUMBER(MATCH(orderHistory[customer],$D$9,0)),MATCH(ROW(orderHistory[customer]),ROW(orderHistory[customer])),""),ROWS($A$15:A40)+$B$3)),INDEX(orderHistory[status],SMALL(IF(ISNUMBER(MATCH(orderHistory[customer],$D$9,0)*MATCH(YEAR(orderHistory[invoice_date]),$D$15,0)),MATCH(ROW(orderHistory[customer]),ROW(orderHistory[customer])),""),ROWS($A$15:A40)+$B$3))),IF($D$15="",INDEX(orderHistory[status],SMALL(IF(ISNUMBER(MATCH(orderHistory[customer],$D$9,0)*MATCH(orderHistory[order_type],$D$13,0)),MATCH(ROW(orderHistory[customer]),ROW(orderHistory[customer])),""),ROWS($A$15:A40)+$B$3)),INDEX(orderHistory[statu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YEAR(orderHistory[status]),$D$15,0)),MATCH(ROW(orderHistory[customer]),ROW(orderHistory[customer])),""),ROWS($A$15:A40)+$B$3))),IF($D$15="",INDEX(orderHistory[status],SMALL(IF(ISNUMBER(MATCH(orderHistory[customer],$D$9,0)*MATCH(orderHistory[status],$D$11,0)*MATCH(orderHistory[order_type],$D$13,0)),MATCH(ROW(orderHistory[customer]),ROW(orderHistory[customer])),""),ROWS($A$15:A40)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W35" s="75"/>
      <c r="AQ35" s="378"/>
      <c r="AU35" s="339"/>
      <c r="AW35" s="376"/>
      <c r="BJ35" s="339"/>
      <c r="BK35" s="366"/>
      <c r="BL35" s="367"/>
      <c r="BM35" s="368"/>
      <c r="BN35" s="367"/>
      <c r="BO35" s="368"/>
      <c r="BZ35" s="495"/>
      <c r="CA35" s="477" t="str">
        <f>IF(BZ35="","",INDEX(bhpc_data[description],MATCH(BZ35,bhpc_data[sku],0)))</f>
        <v/>
      </c>
      <c r="CB35" s="478"/>
      <c r="CC35" s="490"/>
      <c r="CD35" s="494"/>
      <c r="CE35" s="481"/>
      <c r="CF35" s="482"/>
      <c r="CG35" s="483" t="str">
        <f>IFERROR(ROUNDUP(CB35/INDEX(bhpc_data[units_per_carton],MATCH(BZ35,bhpc_data[sku],0)),0),"")</f>
        <v/>
      </c>
      <c r="CH35" s="484" t="str">
        <f>IFERROR(ROUNDUP(CD35/INDEX(bhpc_data[units_per_carton],MATCH(BZ35,bhpc_data[sku],0)),0),"")</f>
        <v/>
      </c>
      <c r="CI35" s="484" t="str">
        <f>IFERROR(ROUNDUP(CF35/INDEX(bhpc_data[units_per_carton],MATCH(BZ35,bhpc_data[sku])),0),"")</f>
        <v/>
      </c>
      <c r="CJ35" s="484" t="str">
        <f>IFERROR(((CB35+CD35+CF35)/INDEX(bhpc_data[units_per_carton],MATCH(BZ35,bhpc_data[sku],0)))*INDEX(bhpc_data[net_weight],MATCH(BZ35,bhpc_data[sku],0)),"")</f>
        <v/>
      </c>
      <c r="CK35" s="484" t="str">
        <f>IFERROR(((CB35+CD35+CF35)/INDEX(bhpc_data[units_per_carton],MATCH(BZ35,bhpc_data[sku],0)))*INDEX(bhpc_data[gross_weight],MATCH(BZ35,bhpc_data[sku],0)),"")</f>
        <v/>
      </c>
      <c r="CL35" s="485" t="str">
        <f>IFERROR((CB35+CD35+CF35)/INDEX(bhpc_data[units_per_carton],MATCH(BZ35,bhpc_data[sku],0))*INDEX(bhpc_data[lenght],MATCH(BZ35,bhpc_data[sku],0))*INDEX(bhpc_data[width],MATCH(BZ35,bhpc_data[sku],0))*INDEX(bhpc_data[height],MATCH(BZ35,bhpc_data[sku],0))/1000000000,"")</f>
        <v/>
      </c>
      <c r="CM35" s="486" t="str">
        <f>IFERROR(INDEX(bhpc_data[category],MATCH(BZ35,bhpc_data[sku],0)),"")</f>
        <v/>
      </c>
      <c r="CN35" s="486" t="str">
        <f>IFERROR(INDEX(bhpc_data[size1],MATCH(BZ35,bhpc_data[sku],0)),"")</f>
        <v/>
      </c>
      <c r="CO35" s="487" t="str">
        <f>IFERROR(INDEX(bhpc_data[hs_code],MATCH(BZ35,bhpc_data[sku],0)),"")</f>
        <v/>
      </c>
      <c r="CP35" s="482"/>
      <c r="CQ35" s="492" t="str">
        <f>IFERROR(IF(BZ35="","",IF($BX$15="SALE",INDEX(inventory[COSTO UNITARIO],MATCH(BZ35,inventory[ARTICOLO],0)),IF($BX$15="SAMPLING",INDEX(inventory[COSTO UNITARIO],MATCH(BZ35,inventory[ARTICOLO],0)),""))),"")</f>
        <v/>
      </c>
      <c r="CR35" s="492" t="str">
        <f t="shared" si="0"/>
        <v/>
      </c>
      <c r="CS35" s="489" t="str">
        <f t="shared" si="1"/>
        <v/>
      </c>
      <c r="CT35" s="573" t="str">
        <f t="shared" si="2"/>
        <v/>
      </c>
      <c r="CU35" s="421"/>
      <c r="CV35" s="421"/>
      <c r="CW35" s="439"/>
      <c r="CX35" s="440"/>
      <c r="CY35" s="438"/>
      <c r="DH35" s="245"/>
      <c r="EE35" s="541" t="str" cm="1">
        <f t="array" ref="EE35">IFERROR(IF($EC$9="",IF($EC$11="",IF($EC$13="",INDEX(bhpc_data[sku],SMALL(MATCH(ROW(bhpc_data[sku]),ROW(bhpc_data[sku])),ROWS($A$15:A40)+$B$3)),INDEX(bhpc_data[sku],SMALL(IF(ISNUMBER(MATCH(bhpc_data[size1],$EC$13,0)),MATCH(ROW(bhpc_data[sku]),ROW(bhpc_data[sku])),""),ROWS($A$15:A40)+$B$3))),IF($EC$13="",INDEX(bhpc_data[sku],SMALL(IF(ISNUMBER(MATCH(bhpc_data[sex],$EC$11,0)),MATCH(ROW(bhpc_data[sku]),ROW(bhpc_data[sku])),""),ROWS($A$15:A40)+$B$3)),INDEX(bhpc_data[sku],SMALL(IF(ISNUMBER(MATCH(bhpc_data[sex],$EC$11,0)*MATCH(bhpc_data[size1],$EC$13,0)),MATCH(ROW(bhpc_data[sku]),ROW(bhpc_data[sku])),""),ROWS($A$15:A40)+$B$3)))),IF($EC$11="",IF($EC$13="",INDEX(bhpc_data[sku],SMALL(IF(ISNUMBER(MATCH(bhpc_data[category],$EC$9,0)),MATCH(ROW(bhpc_data[sku]),ROW(bhpc_data[sku])),""),ROWS($A$15:A40)+$B$3)),INDEX(bhpc_data[sku],SMALL(IF(ISNUMBER(MATCH(bhpc_data[category],$EC$9,0)*MATCH(bhpc_data[size1],$EC$13,0)),MATCH(ROW(bhpc_data[sku]),ROW(bhpc_data[sku])),""),ROWS($A$15:A40)+$B$3))),IF($EC$13="",INDEX(bhpc_data[sku],SMALL(IF(ISNUMBER(MATCH(bhpc_data[category],$EC$9,0)*MATCH(bhpc_data[sex],$EC$11,0)),MATCH(ROW(bhpc_data[sku]),ROW(bhpc_data[sku])),""),ROWS($A$15:A40)+$B$3)),INDEX(bhpc_data[sku],SMALL(IF(ISNUMBER(MATCH(bhpc_data[category],$EC$9,0)*MATCH(bhpc_data[sex],$EC$11,0)*MATCH(bhpc_data[size1],$EC$13,0)),MATCH(ROW(bhpc_data[sku]),ROW(bhpc_data[sku])),""),ROWS($A$15:A40)+$B$3))))),"")</f>
        <v>GSTM18</v>
      </c>
      <c r="EF35" s="542" t="str" cm="1">
        <f t="array" ref="EF35">IFERROR(IF($EC$9="",IF($EC$11="",IF($EC$13="",INDEX(bhpc_data[description],SMALL(MATCH(ROW(bhpc_data[sku]),ROW(bhpc_data[sku])),ROWS($A$15:A40)+$B$3)),INDEX(bhpc_data[description],SMALL(IF(ISNUMBER(MATCH(bhpc_data[size1],$EC$13,0)),MATCH(ROW(bhpc_data[sku]),ROW(bhpc_data[sku])),""),ROWS($A$15:A40)+$B$3))),IF($EC$13="",INDEX(bhpc_data[description],SMALL(IF(ISNUMBER(MATCH(bhpc_data[sex],$EC$11,0)),MATCH(ROW(bhpc_data[sku]),ROW(bhpc_data[sku])),""),ROWS($A$15:A40)+$B$3)),INDEX(bhpc_data[description],SMALL(IF(ISNUMBER(MATCH(bhpc_data[sex],$EC$11,0)*MATCH(bhpc_data[size1],$EC$13,0)),MATCH(ROW(bhpc_data[sku]),ROW(bhpc_data[sku])),""),ROWS($A$15:A40)+$B$3)))),IF($EC$11="",IF($EC$13="",INDEX(bhpc_data[description],SMALL(IF(ISNUMBER(MATCH(bhpc_data[category],$EC$9,0)),MATCH(ROW(bhpc_data[sku]),ROW(bhpc_data[sku])),""),ROWS($A$15:A40)+$B$3)),INDEX(bhpc_data[description],SMALL(IF(ISNUMBER(MATCH(bhpc_data[category],$EC$9,0)*MATCH(bhpc_data[size1],$EC$13,0)),MATCH(ROW(bhpc_data[sku]),ROW(bhpc_data[sku])),""),ROWS($A$15:A40)+$B$3))),IF($EC$13="",INDEX(bhpc_data[description],SMALL(IF(ISNUMBER(MATCH(bhpc_data[category],$EC$9,0)*MATCH(bhpc_data[sex],$EC$11,0)),MATCH(ROW(bhpc_data[sku]),ROW(bhpc_data[sku])),""),ROWS($A$15:A40)+$B$3)),INDEX(bhpc_data[description],SMALL(IF(ISNUMBER(MATCH(bhpc_data[category],$EC$9,0)*MATCH(bhpc_data[sex],$EC$11,0)*MATCH(bhpc_data[size1],$EC$13,0)),MATCH(ROW(bhpc_data[sku]),ROW(bhpc_data[sku])),""),ROWS($A$15:A40)+$B$3))))),"")</f>
        <v>BHPC TWINPACK SPORTS MEN DEO #1 #8 175ML</v>
      </c>
      <c r="EG35" s="543">
        <f>IFERROR(IF('BHPC MANAGER'!$EE35="","",INDEX(inventory[ESISTENZA],MATCH('BHPC MANAGER'!$EE35,inventory[ARTICOLO],0))),0)</f>
        <v>0</v>
      </c>
      <c r="EH35" s="544" t="s">
        <v>914</v>
      </c>
      <c r="EI35" s="544">
        <f t="shared" si="3"/>
        <v>0</v>
      </c>
      <c r="EJ35" s="545" t="s">
        <v>914</v>
      </c>
      <c r="EK35" s="546">
        <f t="shared" si="4"/>
        <v>0</v>
      </c>
      <c r="FF35" s="331"/>
      <c r="FG35" s="331"/>
      <c r="FH35" s="331"/>
      <c r="FI35" s="331"/>
      <c r="FJ35" s="331"/>
      <c r="FK35" s="331"/>
      <c r="FL35" s="331"/>
      <c r="FM35" s="331"/>
      <c r="FN35" s="331"/>
      <c r="FO35" s="331"/>
      <c r="FP35" s="331"/>
      <c r="FQ35" s="331"/>
      <c r="FR35" s="331"/>
      <c r="FS35" s="331"/>
      <c r="FT35" s="331"/>
      <c r="FU35" s="331"/>
      <c r="FV35" s="331"/>
      <c r="FW35" s="331"/>
      <c r="FX35" s="331"/>
      <c r="FY35" s="331"/>
      <c r="FZ35" s="331"/>
      <c r="GA35" s="331"/>
      <c r="GB35" s="331"/>
      <c r="GC35" s="331"/>
      <c r="GD35" s="331"/>
      <c r="GE35" s="331"/>
      <c r="GF35" s="331"/>
      <c r="GG35" s="331"/>
      <c r="GH35" s="331"/>
      <c r="GI35" s="331"/>
      <c r="GJ35" s="331"/>
      <c r="GK35" s="331"/>
      <c r="GL35" s="331"/>
      <c r="GM35" s="331"/>
      <c r="GN35" s="331"/>
      <c r="GO35" s="331"/>
      <c r="GP35" s="331"/>
      <c r="GQ35" s="331"/>
      <c r="GR35" s="331"/>
      <c r="GS35" s="331"/>
      <c r="GT35" s="331"/>
      <c r="GU35" s="331"/>
      <c r="GV35" s="331"/>
      <c r="GW35" s="331"/>
      <c r="GX35" s="331"/>
      <c r="GY35" s="331"/>
      <c r="GZ35" s="331"/>
      <c r="HA35" s="331"/>
      <c r="HB35" s="331"/>
      <c r="HC35" s="331"/>
      <c r="HD35" s="331"/>
      <c r="HE35" s="331"/>
      <c r="HF35" s="331"/>
      <c r="HG35" s="331"/>
      <c r="HH35" s="331"/>
      <c r="HI35" s="331"/>
      <c r="HJ35" s="331"/>
      <c r="HK35" s="331"/>
      <c r="HL35" s="331"/>
      <c r="HM35" s="331"/>
      <c r="HN35" s="331"/>
      <c r="HO35" s="331"/>
      <c r="HP35" s="331"/>
      <c r="HQ35" s="331"/>
      <c r="HR35" s="331"/>
      <c r="HS35" s="331"/>
      <c r="HT35" s="331"/>
    </row>
    <row r="36" spans="6:228" ht="15" customHeight="1" thickBot="1" x14ac:dyDescent="0.4">
      <c r="F36" s="96"/>
      <c r="G36" s="850"/>
      <c r="H36" s="851"/>
      <c r="I36" s="852"/>
      <c r="J36" s="82"/>
      <c r="L36" s="452" t="str">
        <f t="array" ref="L36">IFERROR(IF($D$9="",IF($D$11="",IF($D$13="",IF($D$15="",INDEX(orderHistory[customer],SMALL(MATCH(ROW(orderHistory[customer]),ROW(orderHistory[customer])),ROWS($A$15:A41)+$B$3)),INDEX(orderHistory[customer],SMALL(IF(ISNUMBER(MATCH(YEAR(orderHistory[invoice_date]),$D$15,0)),MATCH(ROW(orderHistory[customer]),ROW(orderHistory[customer])),""),ROWS($A$15:A41)+$B$3))),IF($D$15="",INDEX(orderHistory[customer],SMALL(IF(ISNUMBER(MATCH(orderHistory[order_type],$D$13,0)),MATCH(ROW(orderHistory[customer]),ROW(orderHistory[customer])),""),ROWS($A$15:A41)+$B$3)),INDEX(orderHistory[customer],SMALL(IF(ISNUMBER(MATCH(orderHistory[order_type],$D$13,0)*MATCH(YEAR(orderHistory[invoice_date]),$D$15,0)),MATCH(ROW(orderHistory[customer]),ROW(orderHistory[customer])),""),ROWS($A$15:A41)+$B$3)))),IF($D$13="",IF($D$15="",INDEX(orderHistory[customer],SMALL(IF(ISNUMBER(MATCH(orderHistory[status],$D$11,0)),MATCH(ROW(orderHistory[customer]),ROW(orderHistory[customer])),""),ROWS($A$15:A41)+$B$3)),INDEX(orderHistory[customer],SMALL(IF(ISNUMBER(MATCH(orderHistory[status],$D$11,0)*MATCH(YEAR(orderHistory[invoice_date]),$D$15,0)),MATCH(ROW(orderHistory[customer]),ROW(orderHistory[customer])),""),ROWS($A$15:A41)+$B$3))),IF($D$15="",INDEX(orderHistory[customer],SMALL(IF(ISNUMBER(MATCH(orderHistory[status],$D$11,0)*MATCH(orderHistory[order_type],$D$13,0)),MATCH(ROW(orderHistory[customer]),ROW(orderHistory[customer])),""),ROWS($A$15:A41)+$B$3)),INDEX(orderHistory[customer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customer],SMALL(IF(ISNUMBER(MATCH(orderHistory[customer],$D$9,0)),MATCH(ROW(orderHistory[customer]),ROW(orderHistory[customer])),""),ROWS($A$15:A41)+$B$3)),INDEX(orderHistory[customer],SMALL(IF(ISNUMBER(MATCH(orderHistory[customer],$D$9,0)*MATCH(YEAR(orderHistory[invoice_date]),$D$15,0)),MATCH(ROW(orderHistory[customer]),ROW(orderHistory[customer])),""),ROWS($A$15:A41)+$B$3))),IF($D$15="",INDEX(orderHistory[customer],SMALL(IF(ISNUMBER(MATCH(orderHistory[customer],$D$9,0)*MATCH(orderHistory[order_type],$D$13,0)),MATCH(ROW(orderHistory[customer]),ROW(orderHistory[customer])),""),ROWS($A$15:A41)+$B$3)),INDEX(orderHistory[customer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YEAR(orderHistory[invoice_date]),$D$15,0)),MATCH(ROW(orderHistory[customer]),ROW(orderHistory[customer])),""),ROWS($A$15:A41)+$B$3))),IF($D$15="",INDEX(orderHistory[customer],SMALL(IF(ISNUMBER(MATCH(orderHistory[customer],$D$9,0)*MATCH(orderHistory[status],$D$11,0)*MATCH(orderHistory[order_type],$D$13,0)),MATCH(ROW(orderHistory[customer]),ROW(orderHistory[customer])),""),ROWS($A$15:A41)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M36" s="453" t="str">
        <f t="array" ref="M36">IFERROR(IF($D$9="",IF($D$11="",IF($D$13="",IF($D$15="",INDEX(orderHistory[order_no],SMALL(MATCH(ROW(orderHistory[customer]),ROW(orderHistory[customer])),ROWS($A$15:A41)+$B$3)),INDEX(orderHistory[order_no],SMALL(IF(ISNUMBER(MATCH(YEAR(orderHistory[invoice_date]),$D$15,0)),MATCH(ROW(orderHistory[customer]),ROW(orderHistory[customer])),""),ROWS($A$15:A41)+$B$3))),IF($D$15="",INDEX(orderHistory[order_no],SMALL(IF(ISNUMBER(MATCH(orderHistory[order_type],$D$13,0)),MATCH(ROW(orderHistory[customer]),ROW(orderHistory[customer])),""),ROWS($A$15:A41)+$B$3)),INDEX(orderHistory[order_no],SMALL(IF(ISNUMBER(MATCH(orderHistory[order_type],$D$13,0)*MATCH(YEAR(orderHistory[invoice_date]),$D$15,0)),MATCH(ROW(orderHistory[customer]),ROW(orderHistory[customer])),""),ROWS($A$15:A41)+$B$3)))),IF($D$13="",IF($D$15="",INDEX(orderHistory[order_no],SMALL(IF(ISNUMBER(MATCH(orderHistory[status],$D$11,0)),MATCH(ROW(orderHistory[customer]),ROW(orderHistory[customer])),""),ROWS($A$15:A41)+$B$3)),INDEX(orderHistory[order_no],SMALL(IF(ISNUMBER(MATCH(orderHistory[status],$D$11,0)*MATCH(YEAR(orderHistory[invoice_date]),$D$15,0)),MATCH(ROW(orderHistory[customer]),ROW(orderHistory[customer])),""),ROWS($A$15:A41)+$B$3))),IF($D$15="",INDEX(orderHistory[order_no],SMALL(IF(ISNUMBER(MATCH(orderHistory[status],$D$11,0)*MATCH(orderHistory[order_type],$D$13,0)),MATCH(ROW(orderHistory[customer]),ROW(orderHistory[customer])),""),ROWS($A$15:A41)+$B$3)),INDEX(orderHistory[order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no],SMALL(IF(ISNUMBER(MATCH(orderHistory[customer],$D$9,0)),MATCH(ROW(orderHistory[customer]),ROW(orderHistory[customer])),""),ROWS($A$15:A41)+$B$3)),INDEX(orderHistory[order_no],SMALL(IF(ISNUMBER(MATCH(orderHistory[customer],$D$9,0)*MATCH(YEAR(orderHistory[invoice_date]),$D$15,0)),MATCH(ROW(orderHistory[customer]),ROW(orderHistory[customer])),""),ROWS($A$15:A41)+$B$3))),IF($D$15="",INDEX(orderHistory[order_no],SMALL(IF(ISNUMBER(MATCH(orderHistory[customer],$D$9,0)*MATCH(orderHistory[order_type],$D$13,0)),MATCH(ROW(orderHistory[customer]),ROW(orderHistory[customer])),""),ROWS($A$15:A41)+$B$3)),INDEX(orderHistory[order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YEAR(orderHistory[invoice_date]),$D$15,0)),MATCH(ROW(orderHistory[customer]),ROW(orderHistory[customer])),""),ROWS($A$15:A41)+$B$3))),IF($D$15="",INDEX(orderHistory[order_no],SMALL(IF(ISNUMBER(MATCH(orderHistory[customer],$D$9,0)*MATCH(orderHistory[status],$D$11,0)*MATCH(orderHistory[order_type],$D$13,0)),MATCH(ROW(orderHistory[customer]),ROW(orderHistory[customer])),""),ROWS($A$15:A41)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N36" s="454" t="str">
        <f t="array" ref="N36">IFERROR(IF($D$9="",IF($D$11="",IF($D$13="",IF($D$15="",INDEX(orderHistory[order_type],SMALL(MATCH(ROW(orderHistory[customer]),ROW(orderHistory[customer])),ROWS($A$15:A41)+$B$3)),INDEX(orderHistory[order_type],SMALL(IF(ISNUMBER(MATCH(YEAR(orderHistory[invoice_date]),$D$15,0)),MATCH(ROW(orderHistory[customer]),ROW(orderHistory[customer])),""),ROWS($A$15:A41)+$B$3))),IF($D$15="",INDEX(orderHistory[order_type],SMALL(IF(ISNUMBER(MATCH(orderHistory[order_type],$D$13,0)),MATCH(ROW(orderHistory[customer]),ROW(orderHistory[customer])),""),ROWS($A$15:A41)+$B$3)),INDEX(orderHistory[order_type],SMALL(IF(ISNUMBER(MATCH(orderHistory[order_type],$D$13,0)*MATCH(YEAR(orderHistory[invoice_date]),$D$15,0)),MATCH(ROW(orderHistory[customer]),ROW(orderHistory[customer])),""),ROWS($A$15:A41)+$B$3)))),IF($D$13="",IF($D$15="",INDEX(orderHistory[order_type],SMALL(IF(ISNUMBER(MATCH(orderHistory[status],$D$11,0)),MATCH(ROW(orderHistory[customer]),ROW(orderHistory[customer])),""),ROWS($A$15:A41)+$B$3)),INDEX(orderHistory[order_type],SMALL(IF(ISNUMBER(MATCH(orderHistory[status],$D$11,0)*MATCH(YEAR(orderHistory[invoice_date]),$D$15,0)),MATCH(ROW(orderHistory[customer]),ROW(orderHistory[customer])),""),ROWS($A$15:A41)+$B$3))),IF($D$15="",INDEX(orderHistory[order_type],SMALL(IF(ISNUMBER(MATCH(orderHistory[status],$D$11,0)*MATCH(orderHistory[order_type],$D$13,0)),MATCH(ROW(orderHistory[customer]),ROW(orderHistory[customer])),""),ROWS($A$15:A41)+$B$3)),INDEX(orderHistory[order_typ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type],SMALL(IF(ISNUMBER(MATCH(orderHistory[customer],$D$9,0)),MATCH(ROW(orderHistory[customer]),ROW(orderHistory[customer])),""),ROWS($A$15:A41)+$B$3)),INDEX(orderHistory[order_type],SMALL(IF(ISNUMBER(MATCH(orderHistory[customer],$D$9,0)*MATCH(YEAR(orderHistory[invoice_date]),$D$15,0)),MATCH(ROW(orderHistory[customer]),ROW(orderHistory[customer])),""),ROWS($A$15:A41)+$B$3))),IF($D$15="",INDEX(orderHistory[order_type],SMALL(IF(ISNUMBER(MATCH(orderHistory[customer],$D$9,0)*MATCH(orderHistory[order_type],$D$13,0)),MATCH(ROW(orderHistory[customer]),ROW(orderHistory[customer])),""),ROWS($A$15:A41)+$B$3)),INDEX(orderHistory[order_typ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YEAR(orderHistory[invoice_date]),$D$15,0)),MATCH(ROW(orderHistory[customer]),ROW(orderHistory[customer])),""),ROWS($A$15:A41)+$B$3))),IF($D$15="",INDEX(orderHistory[order_type],SMALL(IF(ISNUMBER(MATCH(orderHistory[customer],$D$9,0)*MATCH(orderHistory[status],$D$11,0)*MATCH(orderHistory[order_type],$D$13,0)),MATCH(ROW(orderHistory[customer]),ROW(orderHistory[customer])),""),ROWS($A$15:A41)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O36" s="455" t="str">
        <f t="array" ref="O36">IFERROR(IF($D$9="",IF($D$11="",IF($D$13="",IF($D$15="",INDEX(orderHistory[order_date],SMALL(MATCH(ROW(orderHistory[customer]),ROW(orderHistory[customer])),ROWS($A$15:A41)+$B$3)),INDEX(orderHistory[order_date],SMALL(IF(ISNUMBER(MATCH(YEAR(orderHistory[invoice_date]),$D$15,0)),MATCH(ROW(orderHistory[customer]),ROW(orderHistory[customer])),""),ROWS($A$15:A41)+$B$3))),IF($D$15="",INDEX(orderHistory[order_date],SMALL(IF(ISNUMBER(MATCH(orderHistory[order_type],$D$13,0)),MATCH(ROW(orderHistory[customer]),ROW(orderHistory[customer])),""),ROWS($A$15:A41)+$B$3)),INDEX(orderHistory[order_date],SMALL(IF(ISNUMBER(MATCH(orderHistory[order_type],$D$13,0)*MATCH(YEAR(orderHistory[invoice_date]),$D$15,0)),MATCH(ROW(orderHistory[customer]),ROW(orderHistory[customer])),""),ROWS($A$15:A41)+$B$3)))),IF($D$13="",IF($D$15="",INDEX(orderHistory[order_date],SMALL(IF(ISNUMBER(MATCH(orderHistory[status],$D$11,0)),MATCH(ROW(orderHistory[customer]),ROW(orderHistory[customer])),""),ROWS($A$15:A41)+$B$3)),INDEX(orderHistory[order_date],SMALL(IF(ISNUMBER(MATCH(orderHistory[status],$D$11,0)*MATCH(YEAR(orderHistory[invoice_date]),$D$15,0)),MATCH(ROW(orderHistory[customer]),ROW(orderHistory[customer])),""),ROWS($A$15:A41)+$B$3))),IF($D$15="",INDEX(orderHistory[order_date],SMALL(IF(ISNUMBER(MATCH(orderHistory[status],$D$11,0)*MATCH(orderHistory[order_type],$D$13,0)),MATCH(ROW(orderHistory[customer]),ROW(orderHistory[customer])),""),ROWS($A$15:A41)+$B$3)),INDEX(orderHistory[order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date],SMALL(IF(ISNUMBER(MATCH(orderHistory[customer],$D$9,0)),MATCH(ROW(orderHistory[customer]),ROW(orderHistory[customer])),""),ROWS($A$15:A41)+$B$3)),INDEX(orderHistory[order_date],SMALL(IF(ISNUMBER(MATCH(orderHistory[customer],$D$9,0)*MATCH(YEAR(orderHistory[invoice_date]),$D$15,0)),MATCH(ROW(orderHistory[customer]),ROW(orderHistory[customer])),""),ROWS($A$15:A41)+$B$3))),IF($D$15="",INDEX(orderHistory[order_date],SMALL(IF(ISNUMBER(MATCH(orderHistory[customer],$D$9,0)*MATCH(orderHistory[order_type],$D$13,0)),MATCH(ROW(orderHistory[customer]),ROW(orderHistory[customer])),""),ROWS($A$15:A41)+$B$3)),INDEX(orderHistory[order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YEAR(orderHistory[invoice_date]),$D$15,0)),MATCH(ROW(orderHistory[customer]),ROW(orderHistory[customer])),""),ROWS($A$15:A41)+$B$3))),IF($D$15="",INDEX(orderHistory[order_date],SMALL(IF(ISNUMBER(MATCH(orderHistory[customer],$D$9,0)*MATCH(orderHistory[status],$D$11,0)*MATCH(orderHistory[order_type],$D$13,0)),MATCH(ROW(orderHistory[customer]),ROW(orderHistory[customer])),""),ROWS($A$15:A41)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P36" s="456" t="str">
        <f t="array" ref="P36">IFERROR(IF($D$9="",IF($D$11="",IF($D$13="",IF($D$15="",INDEX(orderHistory[invoice_no],SMALL(MATCH(ROW(orderHistory[customer]),ROW(orderHistory[customer])),ROWS($A$15:A41)+$B$3)),INDEX(orderHistory[invoice_no],SMALL(IF(ISNUMBER(MATCH(YEAR(orderHistory[invoice_date]),$D$15,0)),MATCH(ROW(orderHistory[customer]),ROW(orderHistory[customer])),""),ROWS($A$15:A41)+$B$3))),IF($D$15="",INDEX(orderHistory[invoice_no],SMALL(IF(ISNUMBER(MATCH(orderHistory[order_type],$D$13,0)),MATCH(ROW(orderHistory[customer]),ROW(orderHistory[customer])),""),ROWS($A$15:A41)+$B$3)),INDEX(orderHistory[invoice_no],SMALL(IF(ISNUMBER(MATCH(orderHistory[order_type],$D$13,0)*MATCH(YEAR(orderHistory[invoice_date]),$D$15,0)),MATCH(ROW(orderHistory[customer]),ROW(orderHistory[customer])),""),ROWS($A$15:A41)+$B$3)))),IF($D$13="",IF($D$15="",INDEX(orderHistory[invoice_no],SMALL(IF(ISNUMBER(MATCH(orderHistory[status],$D$11,0)),MATCH(ROW(orderHistory[customer]),ROW(orderHistory[customer])),""),ROWS($A$15:A41)+$B$3)),INDEX(orderHistory[invoice_no],SMALL(IF(ISNUMBER(MATCH(orderHistory[status],$D$11,0)*MATCH(YEAR(orderHistory[invoice_date]),$D$15,0)),MATCH(ROW(orderHistory[customer]),ROW(orderHistory[customer])),""),ROWS($A$15:A41)+$B$3))),IF($D$15="",INDEX(orderHistory[invoice_no],SMALL(IF(ISNUMBER(MATCH(orderHistory[status],$D$11,0)*MATCH(orderHistory[order_type],$D$13,0)),MATCH(ROW(orderHistory[customer]),ROW(orderHistory[customer])),""),ROWS($A$15:A41)+$B$3)),INDEX(orderHistory[invoice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no],SMALL(IF(ISNUMBER(MATCH(orderHistory[customer],$D$9,0)),MATCH(ROW(orderHistory[customer]),ROW(orderHistory[customer])),""),ROWS($A$15:A41)+$B$3)),INDEX(orderHistory[invoice_no],SMALL(IF(ISNUMBER(MATCH(orderHistory[customer],$D$9,0)*MATCH(YEAR(orderHistory[invoice_date]),$D$15,0)),MATCH(ROW(orderHistory[customer]),ROW(orderHistory[customer])),""),ROWS($A$15:A41)+$B$3))),IF($D$15="",INDEX(orderHistory[invoice_no],SMALL(IF(ISNUMBER(MATCH(orderHistory[customer],$D$9,0)*MATCH(orderHistory[order_type],$D$13,0)),MATCH(ROW(orderHistory[customer]),ROW(orderHistory[customer])),""),ROWS($A$15:A41)+$B$3)),INDEX(orderHistory[invoice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YEAR(orderHistory[invoice_date]),$D$15,0)),MATCH(ROW(orderHistory[customer]),ROW(orderHistory[customer])),""),ROWS($A$15:A41)+$B$3))),IF($D$15="",INDEX(orderHistory[invoice_no],SMALL(IF(ISNUMBER(MATCH(orderHistory[customer],$D$9,0)*MATCH(orderHistory[status],$D$11,0)*MATCH(orderHistory[order_type],$D$13,0)),MATCH(ROW(orderHistory[customer]),ROW(orderHistory[customer])),""),ROWS($A$15:A41)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Q36" s="457" t="str">
        <f t="array" ref="Q36">IFERROR(IF($D$9="",IF($D$11="",IF($D$13="",IF($D$15="",INDEX(orderHistory[invoice_date],SMALL(MATCH(ROW(orderHistory[customer]),ROW(orderHistory[customer])),ROWS($A$15:A41)+$B$3)),INDEX(orderHistory[invoice_date],SMALL(IF(ISNUMBER(MATCH(YEAR(orderHistory[invoice_date]),$D$15,0)),MATCH(ROW(orderHistory[customer]),ROW(orderHistory[customer])),""),ROWS($A$15:A41)+$B$3))),IF($D$15="",INDEX(orderHistory[invoice_date],SMALL(IF(ISNUMBER(MATCH(orderHistory[order_type],$D$13,0)),MATCH(ROW(orderHistory[customer]),ROW(orderHistory[customer])),""),ROWS($A$15:A41)+$B$3)),INDEX(orderHistory[invoice_date],SMALL(IF(ISNUMBER(MATCH(orderHistory[order_type],$D$13,0)*MATCH(YEAR(orderHistory[invoice_date]),$D$15,0)),MATCH(ROW(orderHistory[customer]),ROW(orderHistory[customer])),""),ROWS($A$15:A41)+$B$3)))),IF($D$13="",IF($D$15="",INDEX(orderHistory[invoice_date],SMALL(IF(ISNUMBER(MATCH(orderHistory[status],$D$11,0)),MATCH(ROW(orderHistory[customer]),ROW(orderHistory[customer])),""),ROWS($A$15:A41)+$B$3)),INDEX(orderHistory[invoice_date],SMALL(IF(ISNUMBER(MATCH(orderHistory[status],$D$11,0)*MATCH(YEAR(orderHistory[invoice_date]),$D$15,0)),MATCH(ROW(orderHistory[customer]),ROW(orderHistory[customer])),""),ROWS($A$15:A41)+$B$3))),IF($D$15="",INDEX(orderHistory[invoice_date],SMALL(IF(ISNUMBER(MATCH(orderHistory[status],$D$11,0)*MATCH(orderHistory[order_type],$D$13,0)),MATCH(ROW(orderHistory[customer]),ROW(orderHistory[customer])),""),ROWS($A$15:A41)+$B$3)),INDEX(orderHistory[invoice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date],SMALL(IF(ISNUMBER(MATCH(orderHistory[customer],$D$9,0)),MATCH(ROW(orderHistory[customer]),ROW(orderHistory[customer])),""),ROWS($A$15:A41)+$B$3)),INDEX(orderHistory[invoice_date],SMALL(IF(ISNUMBER(MATCH(orderHistory[customer],$D$9,0)*MATCH(YEAR(orderHistory[invoice_date]),$D$15,0)),MATCH(ROW(orderHistory[customer]),ROW(orderHistory[customer])),""),ROWS($A$15:A41)+$B$3))),IF($D$15="",INDEX(orderHistory[invoice_date],SMALL(IF(ISNUMBER(MATCH(orderHistory[customer],$D$9,0)*MATCH(orderHistory[order_type],$D$13,0)),MATCH(ROW(orderHistory[customer]),ROW(orderHistory[customer])),""),ROWS($A$15:A41)+$B$3)),INDEX(orderHistory[invoice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YEAR(orderHistory[invoice_date]),$D$15,0)),MATCH(ROW(orderHistory[customer]),ROW(orderHistory[customer])),""),ROWS($A$15:A41)+$B$3))),IF($D$15="",INDEX(orderHistory[invoice_date],SMALL(IF(ISNUMBER(MATCH(orderHistory[customer],$D$9,0)*MATCH(orderHistory[status],$D$11,0)*MATCH(orderHistory[order_type],$D$13,0)),MATCH(ROW(orderHistory[customer]),ROW(orderHistory[customer])),""),ROWS($A$15:A41)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R36" s="458" t="str">
        <f t="array" ref="R36">IFERROR(IF($D$9="",IF($D$11="",IF($D$13="",IF($D$15="",INDEX(orderHistory[inv_amount],SMALL(MATCH(ROW(orderHistory[customer]),ROW(orderHistory[customer])),ROWS($A$15:A41)+$B$3)),INDEX(orderHistory[inv_amount],SMALL(IF(ISNUMBER(MATCH(YEAR(orderHistory[invoice_date]),$D$15,0)),MATCH(ROW(orderHistory[customer]),ROW(orderHistory[customer])),""),ROWS($A$15:A41)+$B$3))),IF($D$15="",INDEX(orderHistory[inv_amount],SMALL(IF(ISNUMBER(MATCH(orderHistory[order_type],$D$13,0)),MATCH(ROW(orderHistory[customer]),ROW(orderHistory[customer])),""),ROWS($A$15:A41)+$B$3)),INDEX(orderHistory[inv_amount],SMALL(IF(ISNUMBER(MATCH(orderHistory[order_type],$D$13,0)*MATCH(YEAR(orderHistory[invoice_date]),$D$15,0)),MATCH(ROW(orderHistory[customer]),ROW(orderHistory[customer])),""),ROWS($A$15:A41)+$B$3)))),IF($D$13="",IF($D$15="",INDEX(orderHistory[inv_amount],SMALL(IF(ISNUMBER(MATCH(orderHistory[status],$D$11,0)),MATCH(ROW(orderHistory[customer]),ROW(orderHistory[customer])),""),ROWS($A$15:A41)+$B$3)),INDEX(orderHistory[inv_amount],SMALL(IF(ISNUMBER(MATCH(orderHistory[status],$D$11,0)*MATCH(YEAR(orderHistory[invoice_date]),$D$15,0)),MATCH(ROW(orderHistory[customer]),ROW(orderHistory[customer])),""),ROWS($A$15:A41)+$B$3))),IF($D$15="",INDEX(orderHistory[inv_amount],SMALL(IF(ISNUMBER(MATCH(orderHistory[status],$D$11,0)*MATCH(orderHistory[order_type],$D$13,0)),MATCH(ROW(orderHistory[customer]),ROW(orderHistory[customer])),""),ROWS($A$15:A41)+$B$3)),INDEX(orderHistory[inv_amount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_amount],SMALL(IF(ISNUMBER(MATCH(orderHistory[customer],$D$9,0)),MATCH(ROW(orderHistory[customer]),ROW(orderHistory[customer])),""),ROWS($A$15:A41)+$B$3)),INDEX(orderHistory[inv_amount],SMALL(IF(ISNUMBER(MATCH(orderHistory[customer],$D$9,0)*MATCH(YEAR(orderHistory[invoice_date]),$D$15,0)),MATCH(ROW(orderHistory[customer]),ROW(orderHistory[customer])),""),ROWS($A$15:A41)+$B$3))),IF($D$15="",INDEX(orderHistory[inv_amount],SMALL(IF(ISNUMBER(MATCH(orderHistory[customer],$D$9,0)*MATCH(orderHistory[order_type],$D$13,0)),MATCH(ROW(orderHistory[customer]),ROW(orderHistory[customer])),""),ROWS($A$15:A41)+$B$3)),INDEX(orderHistory[inv_amount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YEAR(orderHistory[inv_amount]),$D$15,0)),MATCH(ROW(orderHistory[customer]),ROW(orderHistory[customer])),""),ROWS($A$15:A41)+$B$3))),IF($D$15="",INDEX(orderHistory[inv_amount],SMALL(IF(ISNUMBER(MATCH(orderHistory[customer],$D$9,0)*MATCH(orderHistory[status],$D$11,0)*MATCH(orderHistory[order_type],$D$13,0)),MATCH(ROW(orderHistory[customer]),ROW(orderHistory[customer])),""),ROWS($A$15:A41)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S36" s="569" t="str">
        <f t="array" ref="S36">IFERROR(IF($D$9="",IF($D$11="",IF($D$13="",IF($D$15="",INDEX(orderHistory[lock_goods],SMALL(MATCH(ROW(orderHistory[customer]),ROW(orderHistory[customer])),ROWS($A$15:A41)+$B$3)),INDEX(orderHistory[lock_goods],SMALL(IF(ISNUMBER(MATCH(YEAR(orderHistory[invoice_date]),$D$15,0)),MATCH(ROW(orderHistory[customer]),ROW(orderHistory[customer])),""),ROWS($A$15:A41)+$B$3))),IF($D$15="",INDEX(orderHistory[lock_goods],SMALL(IF(ISNUMBER(MATCH(orderHistory[order_type],$D$13,0)),MATCH(ROW(orderHistory[customer]),ROW(orderHistory[customer])),""),ROWS($A$15:A41)+$B$3)),INDEX(orderHistory[lock_goods],SMALL(IF(ISNUMBER(MATCH(orderHistory[order_type],$D$13,0)*MATCH(YEAR(orderHistory[invoice_date]),$D$15,0)),MATCH(ROW(orderHistory[customer]),ROW(orderHistory[customer])),""),ROWS($A$15:A41)+$B$3)))),IF($D$13="",IF($D$15="",INDEX(orderHistory[lock_goods],SMALL(IF(ISNUMBER(MATCH(orderHistory[status],$D$11,0)),MATCH(ROW(orderHistory[customer]),ROW(orderHistory[customer])),""),ROWS($A$15:A41)+$B$3)),INDEX(orderHistory[lock_goods],SMALL(IF(ISNUMBER(MATCH(orderHistory[status],$D$11,0)*MATCH(YEAR(orderHistory[invoice_date]),$D$15,0)),MATCH(ROW(orderHistory[customer]),ROW(orderHistory[customer])),""),ROWS($A$15:A41)+$B$3))),IF($D$15="",INDEX(orderHistory[lock_goods],SMALL(IF(ISNUMBER(MATCH(orderHistory[status],$D$11,0)*MATCH(orderHistory[order_type],$D$13,0)),MATCH(ROW(orderHistory[customer]),ROW(orderHistory[customer])),""),ROWS($A$15:A41)+$B$3)),INDEX(orderHistory[lock_good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lock_goods],SMALL(IF(ISNUMBER(MATCH(orderHistory[customer],$D$9,0)),MATCH(ROW(orderHistory[customer]),ROW(orderHistory[customer])),""),ROWS($A$15:A41)+$B$3)),INDEX(orderHistory[lock_goods],SMALL(IF(ISNUMBER(MATCH(orderHistory[customer],$D$9,0)*MATCH(YEAR(orderHistory[invoice_date]),$D$15,0)),MATCH(ROW(orderHistory[customer]),ROW(orderHistory[customer])),""),ROWS($A$15:A41)+$B$3))),IF($D$15="",INDEX(orderHistory[lock_goods],SMALL(IF(ISNUMBER(MATCH(orderHistory[customer],$D$9,0)*MATCH(orderHistory[order_type],$D$13,0)),MATCH(ROW(orderHistory[customer]),ROW(orderHistory[customer])),""),ROWS($A$15:A41)+$B$3)),INDEX(orderHistory[lock_good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lock_goods],SMALL(IF(ISNUMBER(MATCH(orderHistory[customer],$D$9,0)*MATCH(orderHistory[status],$D$11,0)),MATCH(ROW(orderHistory[customer]),ROW(orderHistory[customer])),""),ROWS($A$15:A41)+$B$3)),INDEX(orderHistory[lock_goods],SMALL(IF(ISNUMBER(MATCH(orderHistory[customer],$D$9,0)*MATCH(orderHistory[status],$D$11,0)*MATCH(YEAR(orderHistory[payed]),$D$15,0)),MATCH(ROW(orderHistory[customer]),ROW(orderHistory[customer])),""),ROWS($A$15:A41)+$B$3))),IF($D$15="",INDEX(orderHistory[lock_goods],SMALL(IF(ISNUMBER(MATCH(orderHistory[customer],$D$9,0)*MATCH(orderHistory[status],$D$11,0)*MATCH(orderHistory[order_type],$D$13,0)),MATCH(ROW(orderHistory[customer]),ROW(orderHistory[customer])),""),ROWS($A$15:A41)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T36" s="459" t="str">
        <f t="array" ref="T36">IFERROR(IF($D$9="",IF($D$11="",IF($D$13="",IF($D$15="",INDEX(orderHistory[payed],SMALL(MATCH(ROW(orderHistory[customer]),ROW(orderHistory[customer])),ROWS($A$15:A41)+$B$3)),INDEX(orderHistory[payed],SMALL(IF(ISNUMBER(MATCH(YEAR(orderHistory[invoice_date]),$D$15,0)),MATCH(ROW(orderHistory[customer]),ROW(orderHistory[customer])),""),ROWS($A$15:A41)+$B$3))),IF($D$15="",INDEX(orderHistory[payed],SMALL(IF(ISNUMBER(MATCH(orderHistory[order_type],$D$13,0)),MATCH(ROW(orderHistory[customer]),ROW(orderHistory[customer])),""),ROWS($A$15:A41)+$B$3)),INDEX(orderHistory[payed],SMALL(IF(ISNUMBER(MATCH(orderHistory[order_type],$D$13,0)*MATCH(YEAR(orderHistory[invoice_date]),$D$15,0)),MATCH(ROW(orderHistory[customer]),ROW(orderHistory[customer])),""),ROWS($A$15:A41)+$B$3)))),IF($D$13="",IF($D$15="",INDEX(orderHistory[payed],SMALL(IF(ISNUMBER(MATCH(orderHistory[status],$D$11,0)),MATCH(ROW(orderHistory[customer]),ROW(orderHistory[customer])),""),ROWS($A$15:A41)+$B$3)),INDEX(orderHistory[payed],SMALL(IF(ISNUMBER(MATCH(orderHistory[status],$D$11,0)*MATCH(YEAR(orderHistory[invoice_date]),$D$15,0)),MATCH(ROW(orderHistory[customer]),ROW(orderHistory[customer])),""),ROWS($A$15:A41)+$B$3))),IF($D$15="",INDEX(orderHistory[payed],SMALL(IF(ISNUMBER(MATCH(orderHistory[status],$D$11,0)*MATCH(orderHistory[order_type],$D$13,0)),MATCH(ROW(orderHistory[customer]),ROW(orderHistory[customer])),""),ROWS($A$15:A41)+$B$3)),INDEX(orderHistory[paye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payed],SMALL(IF(ISNUMBER(MATCH(orderHistory[customer],$D$9,0)),MATCH(ROW(orderHistory[customer]),ROW(orderHistory[customer])),""),ROWS($A$15:A41)+$B$3)),INDEX(orderHistory[payed],SMALL(IF(ISNUMBER(MATCH(orderHistory[customer],$D$9,0)*MATCH(YEAR(orderHistory[invoice_date]),$D$15,0)),MATCH(ROW(orderHistory[customer]),ROW(orderHistory[customer])),""),ROWS($A$15:A41)+$B$3))),IF($D$15="",INDEX(orderHistory[payed],SMALL(IF(ISNUMBER(MATCH(orderHistory[customer],$D$9,0)*MATCH(orderHistory[order_type],$D$13,0)),MATCH(ROW(orderHistory[customer]),ROW(orderHistory[customer])),""),ROWS($A$15:A41)+$B$3)),INDEX(orderHistory[paye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YEAR(orderHistory[payed]),$D$15,0)),MATCH(ROW(orderHistory[customer]),ROW(orderHistory[customer])),""),ROWS($A$15:A41)+$B$3))),IF($D$15="",INDEX(orderHistory[payed],SMALL(IF(ISNUMBER(MATCH(orderHistory[customer],$D$9,0)*MATCH(orderHistory[status],$D$11,0)*MATCH(orderHistory[order_type],$D$13,0)),MATCH(ROW(orderHistory[customer]),ROW(orderHistory[customer])),""),ROWS($A$15:A41)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U36" s="454" t="str">
        <f t="array" ref="U36">IFERROR(IF($D$9="",IF($D$11="",IF($D$13="",IF($D$15="",INDEX(orderHistory[shipping_method],SMALL(MATCH(ROW(orderHistory[customer]),ROW(orderHistory[customer])),ROWS($A$15:A41)+$B$3)),INDEX(orderHistory[shipping_method],SMALL(IF(ISNUMBER(MATCH(YEAR(orderHistory[invoice_date]),$D$15,0)),MATCH(ROW(orderHistory[customer]),ROW(orderHistory[customer])),""),ROWS($A$15:A41)+$B$3))),IF($D$15="",INDEX(orderHistory[shipping_method],SMALL(IF(ISNUMBER(MATCH(orderHistory[order_type],$D$13,0)),MATCH(ROW(orderHistory[customer]),ROW(orderHistory[customer])),""),ROWS($A$15:A41)+$B$3)),INDEX(orderHistory[shipping_method],SMALL(IF(ISNUMBER(MATCH(orderHistory[order_type],$D$13,0)*MATCH(YEAR(orderHistory[invoice_date]),$D$15,0)),MATCH(ROW(orderHistory[customer]),ROW(orderHistory[customer])),""),ROWS($A$15:A41)+$B$3)))),IF($D$13="",IF($D$15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YEAR(orderHistory[invoice_date]),$D$15,0)),MATCH(ROW(orderHistory[customer]),ROW(orderHistory[customer])),""),ROWS($A$15:A41)+$B$3))),IF($D$15="",INDEX(orderHistory[shipping_method],SMALL(IF(ISNUMBER(MATCH(orderHistory[status],$D$11,0)*MATCH(orderHistory[order_type],$D$13,0)),MATCH(ROW(orderHistory[customer]),ROW(orderHistory[customer])),""),ROWS($A$15:A41)+$B$3)),INDEX(orderHistory[shipping_metho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YEAR(orderHistory[invoice_date]),$D$15,0)),MATCH(ROW(orderHistory[customer]),ROW(orderHistory[customer])),""),ROWS($A$15:A41)+$B$3))),IF($D$15="",INDEX(orderHistory[shipping_method],SMALL(IF(ISNUMBER(MATCH(orderHistory[customer],$D$9,0)*MATCH(orderHistory[order_type],$D$13,0)),MATCH(ROW(orderHistory[customer]),ROW(orderHistory[customer])),""),ROWS($A$15:A41)+$B$3)),INDEX(orderHistory[shipping_metho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YEAR(orderHistory[shipping_method]),$D$15,0)),MATCH(ROW(orderHistory[customer]),ROW(orderHistory[customer])),""),ROWS($A$15:A41)+$B$3))),IF($D$15="",INDEX(orderHistory[shipping_method],SMALL(IF(ISNUMBER(MATCH(orderHistory[customer],$D$9,0)*MATCH(orderHistory[status],$D$11,0)*MATCH(orderHistory[order_type],$D$13,0)),MATCH(ROW(orderHistory[customer]),ROW(orderHistory[customer])),""),ROWS($A$15:A41)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V36" s="460" t="str">
        <f t="array" ref="V36">IFERROR(IF($D$9="",IF($D$11="",IF($D$13="",IF($D$15="",INDEX(orderHistory[status],SMALL(MATCH(ROW(orderHistory[customer]),ROW(orderHistory[customer])),ROWS($A$15:A41)+$B$3)),INDEX(orderHistory[status],SMALL(IF(ISNUMBER(MATCH(YEAR(orderHistory[invoice_date]),$D$15,0)),MATCH(ROW(orderHistory[customer]),ROW(orderHistory[customer])),""),ROWS($A$15:A41)+$B$3))),IF($D$15="",INDEX(orderHistory[status],SMALL(IF(ISNUMBER(MATCH(orderHistory[order_type],$D$13,0)),MATCH(ROW(orderHistory[customer]),ROW(orderHistory[customer])),""),ROWS($A$15:A41)+$B$3)),INDEX(orderHistory[status],SMALL(IF(ISNUMBER(MATCH(orderHistory[order_type],$D$13,0)*MATCH(YEAR(orderHistory[invoice_date]),$D$15,0)),MATCH(ROW(orderHistory[customer]),ROW(orderHistory[customer])),""),ROWS($A$15:A41)+$B$3)))),IF($D$13="",IF($D$15="",INDEX(orderHistory[status],SMALL(IF(ISNUMBER(MATCH(orderHistory[status],$D$11,0)),MATCH(ROW(orderHistory[customer]),ROW(orderHistory[customer])),""),ROWS($A$15:A41)+$B$3)),INDEX(orderHistory[status],SMALL(IF(ISNUMBER(MATCH(orderHistory[status],$D$11,0)*MATCH(YEAR(orderHistory[invoice_date]),$D$15,0)),MATCH(ROW(orderHistory[customer]),ROW(orderHistory[customer])),""),ROWS($A$15:A41)+$B$3))),IF($D$15="",INDEX(orderHistory[status],SMALL(IF(ISNUMBER(MATCH(orderHistory[status],$D$11,0)*MATCH(orderHistory[order_type],$D$13,0)),MATCH(ROW(orderHistory[customer]),ROW(orderHistory[customer])),""),ROWS($A$15:A41)+$B$3)),INDEX(orderHistory[statu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tatus],SMALL(IF(ISNUMBER(MATCH(orderHistory[customer],$D$9,0)),MATCH(ROW(orderHistory[customer]),ROW(orderHistory[customer])),""),ROWS($A$15:A41)+$B$3)),INDEX(orderHistory[status],SMALL(IF(ISNUMBER(MATCH(orderHistory[customer],$D$9,0)*MATCH(YEAR(orderHistory[invoice_date]),$D$15,0)),MATCH(ROW(orderHistory[customer]),ROW(orderHistory[customer])),""),ROWS($A$15:A41)+$B$3))),IF($D$15="",INDEX(orderHistory[status],SMALL(IF(ISNUMBER(MATCH(orderHistory[customer],$D$9,0)*MATCH(orderHistory[order_type],$D$13,0)),MATCH(ROW(orderHistory[customer]),ROW(orderHistory[customer])),""),ROWS($A$15:A41)+$B$3)),INDEX(orderHistory[statu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YEAR(orderHistory[status]),$D$15,0)),MATCH(ROW(orderHistory[customer]),ROW(orderHistory[customer])),""),ROWS($A$15:A41)+$B$3))),IF($D$15="",INDEX(orderHistory[status],SMALL(IF(ISNUMBER(MATCH(orderHistory[customer],$D$9,0)*MATCH(orderHistory[status],$D$11,0)*MATCH(orderHistory[order_type],$D$13,0)),MATCH(ROW(orderHistory[customer]),ROW(orderHistory[customer])),""),ROWS($A$15:A41)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W36" s="75"/>
      <c r="AQ36" s="405"/>
      <c r="AR36" s="428"/>
      <c r="AS36" s="406"/>
      <c r="AT36" s="406"/>
      <c r="AU36" s="406"/>
      <c r="AW36" s="376"/>
      <c r="BJ36" s="339"/>
      <c r="BK36" s="366"/>
      <c r="BL36" s="367"/>
      <c r="BM36" s="368"/>
      <c r="BN36" s="367"/>
      <c r="BO36" s="368"/>
      <c r="BZ36" s="495"/>
      <c r="CA36" s="477" t="str">
        <f>IF(BZ36="","",INDEX(bhpc_data[description],MATCH(BZ36,bhpc_data[sku],0)))</f>
        <v/>
      </c>
      <c r="CB36" s="478"/>
      <c r="CC36" s="479"/>
      <c r="CD36" s="494"/>
      <c r="CE36" s="481"/>
      <c r="CF36" s="482"/>
      <c r="CG36" s="483" t="str">
        <f>IFERROR(ROUNDUP(CB36/INDEX(bhpc_data[units_per_carton],MATCH(BZ36,bhpc_data[sku],0)),0),"")</f>
        <v/>
      </c>
      <c r="CH36" s="484" t="str">
        <f>IFERROR(ROUNDUP(CD36/INDEX(bhpc_data[units_per_carton],MATCH(BZ36,bhpc_data[sku],0)),0),"")</f>
        <v/>
      </c>
      <c r="CI36" s="484" t="str">
        <f>IFERROR(ROUNDUP(CF36/INDEX(bhpc_data[units_per_carton],MATCH(BZ36,bhpc_data[sku])),0),"")</f>
        <v/>
      </c>
      <c r="CJ36" s="484" t="str">
        <f>IFERROR(((CB36+CD36+CF36)/INDEX(bhpc_data[units_per_carton],MATCH(BZ36,bhpc_data[sku],0)))*INDEX(bhpc_data[net_weight],MATCH(BZ36,bhpc_data[sku],0)),"")</f>
        <v/>
      </c>
      <c r="CK36" s="484" t="str">
        <f>IFERROR(((CB36+CD36+CF36)/INDEX(bhpc_data[units_per_carton],MATCH(BZ36,bhpc_data[sku],0)))*INDEX(bhpc_data[gross_weight],MATCH(BZ36,bhpc_data[sku],0)),"")</f>
        <v/>
      </c>
      <c r="CL36" s="485" t="str">
        <f>IFERROR((CB36+CD36+CF36)/INDEX(bhpc_data[units_per_carton],MATCH(BZ36,bhpc_data[sku],0))*INDEX(bhpc_data[lenght],MATCH(BZ36,bhpc_data[sku],0))*INDEX(bhpc_data[width],MATCH(BZ36,bhpc_data[sku],0))*INDEX(bhpc_data[height],MATCH(BZ36,bhpc_data[sku],0))/1000000000,"")</f>
        <v/>
      </c>
      <c r="CM36" s="486" t="str">
        <f>IFERROR(INDEX(bhpc_data[category],MATCH(BZ36,bhpc_data[sku],0)),"")</f>
        <v/>
      </c>
      <c r="CN36" s="486" t="str">
        <f>IFERROR(INDEX(bhpc_data[size1],MATCH(BZ36,bhpc_data[sku],0)),"")</f>
        <v/>
      </c>
      <c r="CO36" s="487" t="str">
        <f>IFERROR(INDEX(bhpc_data[hs_code],MATCH(BZ36,bhpc_data[sku],0)),"")</f>
        <v/>
      </c>
      <c r="CP36" s="482"/>
      <c r="CQ36" s="488" t="str">
        <f>IFERROR(IF(BZ36="","",IF($BX$15="SALE",INDEX(inventory[COSTO UNITARIO],MATCH(BZ36,inventory[ARTICOLO],0)),IF($BX$15="SAMPLING",INDEX(inventory[COSTO UNITARIO],MATCH(BZ36,inventory[ARTICOLO],0)),""))),"")</f>
        <v/>
      </c>
      <c r="CR36" s="488" t="str">
        <f t="shared" si="0"/>
        <v/>
      </c>
      <c r="CS36" s="489" t="str">
        <f t="shared" si="1"/>
        <v/>
      </c>
      <c r="CT36" s="573" t="str">
        <f t="shared" si="2"/>
        <v/>
      </c>
      <c r="CU36" s="421"/>
      <c r="CV36" s="421"/>
      <c r="CW36" s="439"/>
      <c r="CY36" s="438"/>
      <c r="DH36" s="245"/>
      <c r="EE36" s="547" t="str" cm="1">
        <f t="array" ref="EE36">IFERROR(IF($EC$9="",IF($EC$11="",IF($EC$13="",INDEX(bhpc_data[sku],SMALL(MATCH(ROW(bhpc_data[sku]),ROW(bhpc_data[sku])),ROWS($A$15:A41)+$B$3)),INDEX(bhpc_data[sku],SMALL(IF(ISNUMBER(MATCH(bhpc_data[size1],$EC$13,0)),MATCH(ROW(bhpc_data[sku]),ROW(bhpc_data[sku])),""),ROWS($A$15:A41)+$B$3))),IF($EC$13="",INDEX(bhpc_data[sku],SMALL(IF(ISNUMBER(MATCH(bhpc_data[sex],$EC$11,0)),MATCH(ROW(bhpc_data[sku]),ROW(bhpc_data[sku])),""),ROWS($A$15:A41)+$B$3)),INDEX(bhpc_data[sku],SMALL(IF(ISNUMBER(MATCH(bhpc_data[sex],$EC$11,0)*MATCH(bhpc_data[size1],$EC$13,0)),MATCH(ROW(bhpc_data[sku]),ROW(bhpc_data[sku])),""),ROWS($A$15:A41)+$B$3)))),IF($EC$11="",IF($EC$13="",INDEX(bhpc_data[sku],SMALL(IF(ISNUMBER(MATCH(bhpc_data[category],$EC$9,0)),MATCH(ROW(bhpc_data[sku]),ROW(bhpc_data[sku])),""),ROWS($A$15:A41)+$B$3)),INDEX(bhpc_data[sku],SMALL(IF(ISNUMBER(MATCH(bhpc_data[category],$EC$9,0)*MATCH(bhpc_data[size1],$EC$13,0)),MATCH(ROW(bhpc_data[sku]),ROW(bhpc_data[sku])),""),ROWS($A$15:A41)+$B$3))),IF($EC$13="",INDEX(bhpc_data[sku],SMALL(IF(ISNUMBER(MATCH(bhpc_data[category],$EC$9,0)*MATCH(bhpc_data[sex],$EC$11,0)),MATCH(ROW(bhpc_data[sku]),ROW(bhpc_data[sku])),""),ROWS($A$15:A41)+$B$3)),INDEX(bhpc_data[sku],SMALL(IF(ISNUMBER(MATCH(bhpc_data[category],$EC$9,0)*MATCH(bhpc_data[sex],$EC$11,0)*MATCH(bhpc_data[size1],$EC$13,0)),MATCH(ROW(bhpc_data[sku]),ROW(bhpc_data[sku])),""),ROWS($A$15:A41)+$B$3))))),"")</f>
        <v>GSTM19</v>
      </c>
      <c r="EF36" s="548" t="str" cm="1">
        <f t="array" ref="EF36">IFERROR(IF($EC$9="",IF($EC$11="",IF($EC$13="",INDEX(bhpc_data[description],SMALL(MATCH(ROW(bhpc_data[sku]),ROW(bhpc_data[sku])),ROWS($A$15:A41)+$B$3)),INDEX(bhpc_data[description],SMALL(IF(ISNUMBER(MATCH(bhpc_data[size1],$EC$13,0)),MATCH(ROW(bhpc_data[sku]),ROW(bhpc_data[sku])),""),ROWS($A$15:A41)+$B$3))),IF($EC$13="",INDEX(bhpc_data[description],SMALL(IF(ISNUMBER(MATCH(bhpc_data[sex],$EC$11,0)),MATCH(ROW(bhpc_data[sku]),ROW(bhpc_data[sku])),""),ROWS($A$15:A41)+$B$3)),INDEX(bhpc_data[description],SMALL(IF(ISNUMBER(MATCH(bhpc_data[sex],$EC$11,0)*MATCH(bhpc_data[size1],$EC$13,0)),MATCH(ROW(bhpc_data[sku]),ROW(bhpc_data[sku])),""),ROWS($A$15:A41)+$B$3)))),IF($EC$11="",IF($EC$13="",INDEX(bhpc_data[description],SMALL(IF(ISNUMBER(MATCH(bhpc_data[category],$EC$9,0)),MATCH(ROW(bhpc_data[sku]),ROW(bhpc_data[sku])),""),ROWS($A$15:A41)+$B$3)),INDEX(bhpc_data[description],SMALL(IF(ISNUMBER(MATCH(bhpc_data[category],$EC$9,0)*MATCH(bhpc_data[size1],$EC$13,0)),MATCH(ROW(bhpc_data[sku]),ROW(bhpc_data[sku])),""),ROWS($A$15:A41)+$B$3))),IF($EC$13="",INDEX(bhpc_data[description],SMALL(IF(ISNUMBER(MATCH(bhpc_data[category],$EC$9,0)*MATCH(bhpc_data[sex],$EC$11,0)),MATCH(ROW(bhpc_data[sku]),ROW(bhpc_data[sku])),""),ROWS($A$15:A41)+$B$3)),INDEX(bhpc_data[description],SMALL(IF(ISNUMBER(MATCH(bhpc_data[category],$EC$9,0)*MATCH(bhpc_data[sex],$EC$11,0)*MATCH(bhpc_data[size1],$EC$13,0)),MATCH(ROW(bhpc_data[sku]),ROW(bhpc_data[sku])),""),ROWS($A$15:A41)+$B$3))))),"")</f>
        <v>BHPC TWINPACK SPORTS MEN DEO #1 #9 175ML</v>
      </c>
      <c r="EG36" s="549">
        <f>IFERROR(IF('BHPC MANAGER'!$EE36="","",INDEX(inventory[ESISTENZA],MATCH('BHPC MANAGER'!$EE36,inventory[ARTICOLO],0))),0)</f>
        <v>0</v>
      </c>
      <c r="EH36" s="550" t="s">
        <v>914</v>
      </c>
      <c r="EI36" s="550">
        <f t="shared" si="3"/>
        <v>0</v>
      </c>
      <c r="EJ36" s="551" t="s">
        <v>914</v>
      </c>
      <c r="EK36" s="552">
        <f t="shared" si="4"/>
        <v>0</v>
      </c>
      <c r="FF36" s="331"/>
      <c r="FG36" s="331"/>
      <c r="FH36" s="331"/>
      <c r="FI36" s="331"/>
      <c r="FJ36" s="331"/>
      <c r="FK36" s="331"/>
      <c r="FL36" s="331"/>
      <c r="FM36" s="331"/>
      <c r="FN36" s="331"/>
      <c r="FO36" s="331"/>
      <c r="FP36" s="331"/>
      <c r="FQ36" s="331"/>
      <c r="FR36" s="331"/>
      <c r="FS36" s="331"/>
      <c r="FT36" s="331"/>
      <c r="FU36" s="331"/>
      <c r="FV36" s="331"/>
      <c r="FW36" s="331"/>
      <c r="FX36" s="331"/>
      <c r="FY36" s="331"/>
      <c r="FZ36" s="331"/>
      <c r="GA36" s="331"/>
      <c r="GB36" s="331"/>
      <c r="GC36" s="331"/>
      <c r="GD36" s="331"/>
      <c r="GE36" s="331"/>
      <c r="GF36" s="331"/>
      <c r="GG36" s="331"/>
      <c r="GH36" s="331"/>
      <c r="GI36" s="331"/>
      <c r="GJ36" s="331"/>
      <c r="GK36" s="331"/>
      <c r="GL36" s="331"/>
      <c r="GM36" s="331"/>
      <c r="GN36" s="331"/>
      <c r="GO36" s="331"/>
      <c r="GP36" s="331"/>
      <c r="GQ36" s="331"/>
      <c r="GR36" s="331"/>
      <c r="GS36" s="331"/>
      <c r="GT36" s="331"/>
      <c r="GU36" s="331"/>
      <c r="GV36" s="331"/>
      <c r="GW36" s="331"/>
      <c r="GX36" s="331"/>
      <c r="GY36" s="331"/>
      <c r="GZ36" s="331"/>
      <c r="HA36" s="331"/>
      <c r="HB36" s="331"/>
      <c r="HC36" s="331"/>
      <c r="HD36" s="331"/>
      <c r="HE36" s="331"/>
      <c r="HF36" s="331"/>
      <c r="HG36" s="331"/>
      <c r="HH36" s="331"/>
      <c r="HI36" s="331"/>
      <c r="HJ36" s="331"/>
      <c r="HK36" s="331"/>
      <c r="HL36" s="331"/>
      <c r="HM36" s="331"/>
      <c r="HN36" s="331"/>
      <c r="HO36" s="331"/>
      <c r="HP36" s="331"/>
      <c r="HQ36" s="331"/>
      <c r="HR36" s="331"/>
      <c r="HS36" s="331"/>
      <c r="HT36" s="331"/>
    </row>
    <row r="37" spans="6:228" ht="15" customHeight="1" x14ac:dyDescent="0.35">
      <c r="F37" s="96"/>
      <c r="G37" s="850"/>
      <c r="H37" s="851"/>
      <c r="I37" s="852"/>
      <c r="J37" s="82"/>
      <c r="L37" s="452" t="str">
        <f t="array" ref="L37">IFERROR(IF($D$9="",IF($D$11="",IF($D$13="",IF($D$15="",INDEX(orderHistory[customer],SMALL(MATCH(ROW(orderHistory[customer]),ROW(orderHistory[customer])),ROWS($A$15:A42)+$B$3)),INDEX(orderHistory[customer],SMALL(IF(ISNUMBER(MATCH(YEAR(orderHistory[invoice_date]),$D$15,0)),MATCH(ROW(orderHistory[customer]),ROW(orderHistory[customer])),""),ROWS($A$15:A42)+$B$3))),IF($D$15="",INDEX(orderHistory[customer],SMALL(IF(ISNUMBER(MATCH(orderHistory[order_type],$D$13,0)),MATCH(ROW(orderHistory[customer]),ROW(orderHistory[customer])),""),ROWS($A$15:A42)+$B$3)),INDEX(orderHistory[customer],SMALL(IF(ISNUMBER(MATCH(orderHistory[order_type],$D$13,0)*MATCH(YEAR(orderHistory[invoice_date]),$D$15,0)),MATCH(ROW(orderHistory[customer]),ROW(orderHistory[customer])),""),ROWS($A$15:A42)+$B$3)))),IF($D$13="",IF($D$15="",INDEX(orderHistory[customer],SMALL(IF(ISNUMBER(MATCH(orderHistory[status],$D$11,0)),MATCH(ROW(orderHistory[customer]),ROW(orderHistory[customer])),""),ROWS($A$15:A42)+$B$3)),INDEX(orderHistory[customer],SMALL(IF(ISNUMBER(MATCH(orderHistory[status],$D$11,0)*MATCH(YEAR(orderHistory[invoice_date]),$D$15,0)),MATCH(ROW(orderHistory[customer]),ROW(orderHistory[customer])),""),ROWS($A$15:A42)+$B$3))),IF($D$15="",INDEX(orderHistory[customer],SMALL(IF(ISNUMBER(MATCH(orderHistory[status],$D$11,0)*MATCH(orderHistory[order_type],$D$13,0)),MATCH(ROW(orderHistory[customer]),ROW(orderHistory[customer])),""),ROWS($A$15:A42)+$B$3)),INDEX(orderHistory[customer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customer],SMALL(IF(ISNUMBER(MATCH(orderHistory[customer],$D$9,0)),MATCH(ROW(orderHistory[customer]),ROW(orderHistory[customer])),""),ROWS($A$15:A42)+$B$3)),INDEX(orderHistory[customer],SMALL(IF(ISNUMBER(MATCH(orderHistory[customer],$D$9,0)*MATCH(YEAR(orderHistory[invoice_date]),$D$15,0)),MATCH(ROW(orderHistory[customer]),ROW(orderHistory[customer])),""),ROWS($A$15:A42)+$B$3))),IF($D$15="",INDEX(orderHistory[customer],SMALL(IF(ISNUMBER(MATCH(orderHistory[customer],$D$9,0)*MATCH(orderHistory[order_type],$D$13,0)),MATCH(ROW(orderHistory[customer]),ROW(orderHistory[customer])),""),ROWS($A$15:A42)+$B$3)),INDEX(orderHistory[customer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YEAR(orderHistory[invoice_date]),$D$15,0)),MATCH(ROW(orderHistory[customer]),ROW(orderHistory[customer])),""),ROWS($A$15:A42)+$B$3))),IF($D$15="",INDEX(orderHistory[customer],SMALL(IF(ISNUMBER(MATCH(orderHistory[customer],$D$9,0)*MATCH(orderHistory[status],$D$11,0)*MATCH(orderHistory[order_type],$D$13,0)),MATCH(ROW(orderHistory[customer]),ROW(orderHistory[customer])),""),ROWS($A$15:A42)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M37" s="453" t="str">
        <f t="array" ref="M37">IFERROR(IF($D$9="",IF($D$11="",IF($D$13="",IF($D$15="",INDEX(orderHistory[order_no],SMALL(MATCH(ROW(orderHistory[customer]),ROW(orderHistory[customer])),ROWS($A$15:A42)+$B$3)),INDEX(orderHistory[order_no],SMALL(IF(ISNUMBER(MATCH(YEAR(orderHistory[invoice_date]),$D$15,0)),MATCH(ROW(orderHistory[customer]),ROW(orderHistory[customer])),""),ROWS($A$15:A42)+$B$3))),IF($D$15="",INDEX(orderHistory[order_no],SMALL(IF(ISNUMBER(MATCH(orderHistory[order_type],$D$13,0)),MATCH(ROW(orderHistory[customer]),ROW(orderHistory[customer])),""),ROWS($A$15:A42)+$B$3)),INDEX(orderHistory[order_no],SMALL(IF(ISNUMBER(MATCH(orderHistory[order_type],$D$13,0)*MATCH(YEAR(orderHistory[invoice_date]),$D$15,0)),MATCH(ROW(orderHistory[customer]),ROW(orderHistory[customer])),""),ROWS($A$15:A42)+$B$3)))),IF($D$13="",IF($D$15="",INDEX(orderHistory[order_no],SMALL(IF(ISNUMBER(MATCH(orderHistory[status],$D$11,0)),MATCH(ROW(orderHistory[customer]),ROW(orderHistory[customer])),""),ROWS($A$15:A42)+$B$3)),INDEX(orderHistory[order_no],SMALL(IF(ISNUMBER(MATCH(orderHistory[status],$D$11,0)*MATCH(YEAR(orderHistory[invoice_date]),$D$15,0)),MATCH(ROW(orderHistory[customer]),ROW(orderHistory[customer])),""),ROWS($A$15:A42)+$B$3))),IF($D$15="",INDEX(orderHistory[order_no],SMALL(IF(ISNUMBER(MATCH(orderHistory[status],$D$11,0)*MATCH(orderHistory[order_type],$D$13,0)),MATCH(ROW(orderHistory[customer]),ROW(orderHistory[customer])),""),ROWS($A$15:A42)+$B$3)),INDEX(orderHistory[order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no],SMALL(IF(ISNUMBER(MATCH(orderHistory[customer],$D$9,0)),MATCH(ROW(orderHistory[customer]),ROW(orderHistory[customer])),""),ROWS($A$15:A42)+$B$3)),INDEX(orderHistory[order_no],SMALL(IF(ISNUMBER(MATCH(orderHistory[customer],$D$9,0)*MATCH(YEAR(orderHistory[invoice_date]),$D$15,0)),MATCH(ROW(orderHistory[customer]),ROW(orderHistory[customer])),""),ROWS($A$15:A42)+$B$3))),IF($D$15="",INDEX(orderHistory[order_no],SMALL(IF(ISNUMBER(MATCH(orderHistory[customer],$D$9,0)*MATCH(orderHistory[order_type],$D$13,0)),MATCH(ROW(orderHistory[customer]),ROW(orderHistory[customer])),""),ROWS($A$15:A42)+$B$3)),INDEX(orderHistory[order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YEAR(orderHistory[invoice_date]),$D$15,0)),MATCH(ROW(orderHistory[customer]),ROW(orderHistory[customer])),""),ROWS($A$15:A42)+$B$3))),IF($D$15="",INDEX(orderHistory[order_no],SMALL(IF(ISNUMBER(MATCH(orderHistory[customer],$D$9,0)*MATCH(orderHistory[status],$D$11,0)*MATCH(orderHistory[order_type],$D$13,0)),MATCH(ROW(orderHistory[customer]),ROW(orderHistory[customer])),""),ROWS($A$15:A42)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N37" s="454" t="str">
        <f t="array" ref="N37">IFERROR(IF($D$9="",IF($D$11="",IF($D$13="",IF($D$15="",INDEX(orderHistory[order_type],SMALL(MATCH(ROW(orderHistory[customer]),ROW(orderHistory[customer])),ROWS($A$15:A42)+$B$3)),INDEX(orderHistory[order_type],SMALL(IF(ISNUMBER(MATCH(YEAR(orderHistory[invoice_date]),$D$15,0)),MATCH(ROW(orderHistory[customer]),ROW(orderHistory[customer])),""),ROWS($A$15:A42)+$B$3))),IF($D$15="",INDEX(orderHistory[order_type],SMALL(IF(ISNUMBER(MATCH(orderHistory[order_type],$D$13,0)),MATCH(ROW(orderHistory[customer]),ROW(orderHistory[customer])),""),ROWS($A$15:A42)+$B$3)),INDEX(orderHistory[order_type],SMALL(IF(ISNUMBER(MATCH(orderHistory[order_type],$D$13,0)*MATCH(YEAR(orderHistory[invoice_date]),$D$15,0)),MATCH(ROW(orderHistory[customer]),ROW(orderHistory[customer])),""),ROWS($A$15:A42)+$B$3)))),IF($D$13="",IF($D$15="",INDEX(orderHistory[order_type],SMALL(IF(ISNUMBER(MATCH(orderHistory[status],$D$11,0)),MATCH(ROW(orderHistory[customer]),ROW(orderHistory[customer])),""),ROWS($A$15:A42)+$B$3)),INDEX(orderHistory[order_type],SMALL(IF(ISNUMBER(MATCH(orderHistory[status],$D$11,0)*MATCH(YEAR(orderHistory[invoice_date]),$D$15,0)),MATCH(ROW(orderHistory[customer]),ROW(orderHistory[customer])),""),ROWS($A$15:A42)+$B$3))),IF($D$15="",INDEX(orderHistory[order_type],SMALL(IF(ISNUMBER(MATCH(orderHistory[status],$D$11,0)*MATCH(orderHistory[order_type],$D$13,0)),MATCH(ROW(orderHistory[customer]),ROW(orderHistory[customer])),""),ROWS($A$15:A42)+$B$3)),INDEX(orderHistory[order_typ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type],SMALL(IF(ISNUMBER(MATCH(orderHistory[customer],$D$9,0)),MATCH(ROW(orderHistory[customer]),ROW(orderHistory[customer])),""),ROWS($A$15:A42)+$B$3)),INDEX(orderHistory[order_type],SMALL(IF(ISNUMBER(MATCH(orderHistory[customer],$D$9,0)*MATCH(YEAR(orderHistory[invoice_date]),$D$15,0)),MATCH(ROW(orderHistory[customer]),ROW(orderHistory[customer])),""),ROWS($A$15:A42)+$B$3))),IF($D$15="",INDEX(orderHistory[order_type],SMALL(IF(ISNUMBER(MATCH(orderHistory[customer],$D$9,0)*MATCH(orderHistory[order_type],$D$13,0)),MATCH(ROW(orderHistory[customer]),ROW(orderHistory[customer])),""),ROWS($A$15:A42)+$B$3)),INDEX(orderHistory[order_typ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YEAR(orderHistory[invoice_date]),$D$15,0)),MATCH(ROW(orderHistory[customer]),ROW(orderHistory[customer])),""),ROWS($A$15:A42)+$B$3))),IF($D$15="",INDEX(orderHistory[order_type],SMALL(IF(ISNUMBER(MATCH(orderHistory[customer],$D$9,0)*MATCH(orderHistory[status],$D$11,0)*MATCH(orderHistory[order_type],$D$13,0)),MATCH(ROW(orderHistory[customer]),ROW(orderHistory[customer])),""),ROWS($A$15:A42)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O37" s="455" t="str">
        <f t="array" ref="O37">IFERROR(IF($D$9="",IF($D$11="",IF($D$13="",IF($D$15="",INDEX(orderHistory[order_date],SMALL(MATCH(ROW(orderHistory[customer]),ROW(orderHistory[customer])),ROWS($A$15:A42)+$B$3)),INDEX(orderHistory[order_date],SMALL(IF(ISNUMBER(MATCH(YEAR(orderHistory[invoice_date]),$D$15,0)),MATCH(ROW(orderHistory[customer]),ROW(orderHistory[customer])),""),ROWS($A$15:A42)+$B$3))),IF($D$15="",INDEX(orderHistory[order_date],SMALL(IF(ISNUMBER(MATCH(orderHistory[order_type],$D$13,0)),MATCH(ROW(orderHistory[customer]),ROW(orderHistory[customer])),""),ROWS($A$15:A42)+$B$3)),INDEX(orderHistory[order_date],SMALL(IF(ISNUMBER(MATCH(orderHistory[order_type],$D$13,0)*MATCH(YEAR(orderHistory[invoice_date]),$D$15,0)),MATCH(ROW(orderHistory[customer]),ROW(orderHistory[customer])),""),ROWS($A$15:A42)+$B$3)))),IF($D$13="",IF($D$15="",INDEX(orderHistory[order_date],SMALL(IF(ISNUMBER(MATCH(orderHistory[status],$D$11,0)),MATCH(ROW(orderHistory[customer]),ROW(orderHistory[customer])),""),ROWS($A$15:A42)+$B$3)),INDEX(orderHistory[order_date],SMALL(IF(ISNUMBER(MATCH(orderHistory[status],$D$11,0)*MATCH(YEAR(orderHistory[invoice_date]),$D$15,0)),MATCH(ROW(orderHistory[customer]),ROW(orderHistory[customer])),""),ROWS($A$15:A42)+$B$3))),IF($D$15="",INDEX(orderHistory[order_date],SMALL(IF(ISNUMBER(MATCH(orderHistory[status],$D$11,0)*MATCH(orderHistory[order_type],$D$13,0)),MATCH(ROW(orderHistory[customer]),ROW(orderHistory[customer])),""),ROWS($A$15:A42)+$B$3)),INDEX(orderHistory[order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date],SMALL(IF(ISNUMBER(MATCH(orderHistory[customer],$D$9,0)),MATCH(ROW(orderHistory[customer]),ROW(orderHistory[customer])),""),ROWS($A$15:A42)+$B$3)),INDEX(orderHistory[order_date],SMALL(IF(ISNUMBER(MATCH(orderHistory[customer],$D$9,0)*MATCH(YEAR(orderHistory[invoice_date]),$D$15,0)),MATCH(ROW(orderHistory[customer]),ROW(orderHistory[customer])),""),ROWS($A$15:A42)+$B$3))),IF($D$15="",INDEX(orderHistory[order_date],SMALL(IF(ISNUMBER(MATCH(orderHistory[customer],$D$9,0)*MATCH(orderHistory[order_type],$D$13,0)),MATCH(ROW(orderHistory[customer]),ROW(orderHistory[customer])),""),ROWS($A$15:A42)+$B$3)),INDEX(orderHistory[order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YEAR(orderHistory[invoice_date]),$D$15,0)),MATCH(ROW(orderHistory[customer]),ROW(orderHistory[customer])),""),ROWS($A$15:A42)+$B$3))),IF($D$15="",INDEX(orderHistory[order_date],SMALL(IF(ISNUMBER(MATCH(orderHistory[customer],$D$9,0)*MATCH(orderHistory[status],$D$11,0)*MATCH(orderHistory[order_type],$D$13,0)),MATCH(ROW(orderHistory[customer]),ROW(orderHistory[customer])),""),ROWS($A$15:A42)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P37" s="456" t="str">
        <f t="array" ref="P37">IFERROR(IF($D$9="",IF($D$11="",IF($D$13="",IF($D$15="",INDEX(orderHistory[invoice_no],SMALL(MATCH(ROW(orderHistory[customer]),ROW(orderHistory[customer])),ROWS($A$15:A42)+$B$3)),INDEX(orderHistory[invoice_no],SMALL(IF(ISNUMBER(MATCH(YEAR(orderHistory[invoice_date]),$D$15,0)),MATCH(ROW(orderHistory[customer]),ROW(orderHistory[customer])),""),ROWS($A$15:A42)+$B$3))),IF($D$15="",INDEX(orderHistory[invoice_no],SMALL(IF(ISNUMBER(MATCH(orderHistory[order_type],$D$13,0)),MATCH(ROW(orderHistory[customer]),ROW(orderHistory[customer])),""),ROWS($A$15:A42)+$B$3)),INDEX(orderHistory[invoice_no],SMALL(IF(ISNUMBER(MATCH(orderHistory[order_type],$D$13,0)*MATCH(YEAR(orderHistory[invoice_date]),$D$15,0)),MATCH(ROW(orderHistory[customer]),ROW(orderHistory[customer])),""),ROWS($A$15:A42)+$B$3)))),IF($D$13="",IF($D$15="",INDEX(orderHistory[invoice_no],SMALL(IF(ISNUMBER(MATCH(orderHistory[status],$D$11,0)),MATCH(ROW(orderHistory[customer]),ROW(orderHistory[customer])),""),ROWS($A$15:A42)+$B$3)),INDEX(orderHistory[invoice_no],SMALL(IF(ISNUMBER(MATCH(orderHistory[status],$D$11,0)*MATCH(YEAR(orderHistory[invoice_date]),$D$15,0)),MATCH(ROW(orderHistory[customer]),ROW(orderHistory[customer])),""),ROWS($A$15:A42)+$B$3))),IF($D$15="",INDEX(orderHistory[invoice_no],SMALL(IF(ISNUMBER(MATCH(orderHistory[status],$D$11,0)*MATCH(orderHistory[order_type],$D$13,0)),MATCH(ROW(orderHistory[customer]),ROW(orderHistory[customer])),""),ROWS($A$15:A42)+$B$3)),INDEX(orderHistory[invoice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no],SMALL(IF(ISNUMBER(MATCH(orderHistory[customer],$D$9,0)),MATCH(ROW(orderHistory[customer]),ROW(orderHistory[customer])),""),ROWS($A$15:A42)+$B$3)),INDEX(orderHistory[invoice_no],SMALL(IF(ISNUMBER(MATCH(orderHistory[customer],$D$9,0)*MATCH(YEAR(orderHistory[invoice_date]),$D$15,0)),MATCH(ROW(orderHistory[customer]),ROW(orderHistory[customer])),""),ROWS($A$15:A42)+$B$3))),IF($D$15="",INDEX(orderHistory[invoice_no],SMALL(IF(ISNUMBER(MATCH(orderHistory[customer],$D$9,0)*MATCH(orderHistory[order_type],$D$13,0)),MATCH(ROW(orderHistory[customer]),ROW(orderHistory[customer])),""),ROWS($A$15:A42)+$B$3)),INDEX(orderHistory[invoice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YEAR(orderHistory[invoice_date]),$D$15,0)),MATCH(ROW(orderHistory[customer]),ROW(orderHistory[customer])),""),ROWS($A$15:A42)+$B$3))),IF($D$15="",INDEX(orderHistory[invoice_no],SMALL(IF(ISNUMBER(MATCH(orderHistory[customer],$D$9,0)*MATCH(orderHistory[status],$D$11,0)*MATCH(orderHistory[order_type],$D$13,0)),MATCH(ROW(orderHistory[customer]),ROW(orderHistory[customer])),""),ROWS($A$15:A42)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Q37" s="457" t="str">
        <f t="array" ref="Q37">IFERROR(IF($D$9="",IF($D$11="",IF($D$13="",IF($D$15="",INDEX(orderHistory[invoice_date],SMALL(MATCH(ROW(orderHistory[customer]),ROW(orderHistory[customer])),ROWS($A$15:A42)+$B$3)),INDEX(orderHistory[invoice_date],SMALL(IF(ISNUMBER(MATCH(YEAR(orderHistory[invoice_date]),$D$15,0)),MATCH(ROW(orderHistory[customer]),ROW(orderHistory[customer])),""),ROWS($A$15:A42)+$B$3))),IF($D$15="",INDEX(orderHistory[invoice_date],SMALL(IF(ISNUMBER(MATCH(orderHistory[order_type],$D$13,0)),MATCH(ROW(orderHistory[customer]),ROW(orderHistory[customer])),""),ROWS($A$15:A42)+$B$3)),INDEX(orderHistory[invoice_date],SMALL(IF(ISNUMBER(MATCH(orderHistory[order_type],$D$13,0)*MATCH(YEAR(orderHistory[invoice_date]),$D$15,0)),MATCH(ROW(orderHistory[customer]),ROW(orderHistory[customer])),""),ROWS($A$15:A42)+$B$3)))),IF($D$13="",IF($D$15="",INDEX(orderHistory[invoice_date],SMALL(IF(ISNUMBER(MATCH(orderHistory[status],$D$11,0)),MATCH(ROW(orderHistory[customer]),ROW(orderHistory[customer])),""),ROWS($A$15:A42)+$B$3)),INDEX(orderHistory[invoice_date],SMALL(IF(ISNUMBER(MATCH(orderHistory[status],$D$11,0)*MATCH(YEAR(orderHistory[invoice_date]),$D$15,0)),MATCH(ROW(orderHistory[customer]),ROW(orderHistory[customer])),""),ROWS($A$15:A42)+$B$3))),IF($D$15="",INDEX(orderHistory[invoice_date],SMALL(IF(ISNUMBER(MATCH(orderHistory[status],$D$11,0)*MATCH(orderHistory[order_type],$D$13,0)),MATCH(ROW(orderHistory[customer]),ROW(orderHistory[customer])),""),ROWS($A$15:A42)+$B$3)),INDEX(orderHistory[invoice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date],SMALL(IF(ISNUMBER(MATCH(orderHistory[customer],$D$9,0)),MATCH(ROW(orderHistory[customer]),ROW(orderHistory[customer])),""),ROWS($A$15:A42)+$B$3)),INDEX(orderHistory[invoice_date],SMALL(IF(ISNUMBER(MATCH(orderHistory[customer],$D$9,0)*MATCH(YEAR(orderHistory[invoice_date]),$D$15,0)),MATCH(ROW(orderHistory[customer]),ROW(orderHistory[customer])),""),ROWS($A$15:A42)+$B$3))),IF($D$15="",INDEX(orderHistory[invoice_date],SMALL(IF(ISNUMBER(MATCH(orderHistory[customer],$D$9,0)*MATCH(orderHistory[order_type],$D$13,0)),MATCH(ROW(orderHistory[customer]),ROW(orderHistory[customer])),""),ROWS($A$15:A42)+$B$3)),INDEX(orderHistory[invoice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YEAR(orderHistory[invoice_date]),$D$15,0)),MATCH(ROW(orderHistory[customer]),ROW(orderHistory[customer])),""),ROWS($A$15:A42)+$B$3))),IF($D$15="",INDEX(orderHistory[invoice_date],SMALL(IF(ISNUMBER(MATCH(orderHistory[customer],$D$9,0)*MATCH(orderHistory[status],$D$11,0)*MATCH(orderHistory[order_type],$D$13,0)),MATCH(ROW(orderHistory[customer]),ROW(orderHistory[customer])),""),ROWS($A$15:A42)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R37" s="458" t="str">
        <f t="array" ref="R37">IFERROR(IF($D$9="",IF($D$11="",IF($D$13="",IF($D$15="",INDEX(orderHistory[inv_amount],SMALL(MATCH(ROW(orderHistory[customer]),ROW(orderHistory[customer])),ROWS($A$15:A42)+$B$3)),INDEX(orderHistory[inv_amount],SMALL(IF(ISNUMBER(MATCH(YEAR(orderHistory[invoice_date]),$D$15,0)),MATCH(ROW(orderHistory[customer]),ROW(orderHistory[customer])),""),ROWS($A$15:A42)+$B$3))),IF($D$15="",INDEX(orderHistory[inv_amount],SMALL(IF(ISNUMBER(MATCH(orderHistory[order_type],$D$13,0)),MATCH(ROW(orderHistory[customer]),ROW(orderHistory[customer])),""),ROWS($A$15:A42)+$B$3)),INDEX(orderHistory[inv_amount],SMALL(IF(ISNUMBER(MATCH(orderHistory[order_type],$D$13,0)*MATCH(YEAR(orderHistory[invoice_date]),$D$15,0)),MATCH(ROW(orderHistory[customer]),ROW(orderHistory[customer])),""),ROWS($A$15:A42)+$B$3)))),IF($D$13="",IF($D$15="",INDEX(orderHistory[inv_amount],SMALL(IF(ISNUMBER(MATCH(orderHistory[status],$D$11,0)),MATCH(ROW(orderHistory[customer]),ROW(orderHistory[customer])),""),ROWS($A$15:A42)+$B$3)),INDEX(orderHistory[inv_amount],SMALL(IF(ISNUMBER(MATCH(orderHistory[status],$D$11,0)*MATCH(YEAR(orderHistory[invoice_date]),$D$15,0)),MATCH(ROW(orderHistory[customer]),ROW(orderHistory[customer])),""),ROWS($A$15:A42)+$B$3))),IF($D$15="",INDEX(orderHistory[inv_amount],SMALL(IF(ISNUMBER(MATCH(orderHistory[status],$D$11,0)*MATCH(orderHistory[order_type],$D$13,0)),MATCH(ROW(orderHistory[customer]),ROW(orderHistory[customer])),""),ROWS($A$15:A42)+$B$3)),INDEX(orderHistory[inv_amount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_amount],SMALL(IF(ISNUMBER(MATCH(orderHistory[customer],$D$9,0)),MATCH(ROW(orderHistory[customer]),ROW(orderHistory[customer])),""),ROWS($A$15:A42)+$B$3)),INDEX(orderHistory[inv_amount],SMALL(IF(ISNUMBER(MATCH(orderHistory[customer],$D$9,0)*MATCH(YEAR(orderHistory[invoice_date]),$D$15,0)),MATCH(ROW(orderHistory[customer]),ROW(orderHistory[customer])),""),ROWS($A$15:A42)+$B$3))),IF($D$15="",INDEX(orderHistory[inv_amount],SMALL(IF(ISNUMBER(MATCH(orderHistory[customer],$D$9,0)*MATCH(orderHistory[order_type],$D$13,0)),MATCH(ROW(orderHistory[customer]),ROW(orderHistory[customer])),""),ROWS($A$15:A42)+$B$3)),INDEX(orderHistory[inv_amount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YEAR(orderHistory[inv_amount]),$D$15,0)),MATCH(ROW(orderHistory[customer]),ROW(orderHistory[customer])),""),ROWS($A$15:A42)+$B$3))),IF($D$15="",INDEX(orderHistory[inv_amount],SMALL(IF(ISNUMBER(MATCH(orderHistory[customer],$D$9,0)*MATCH(orderHistory[status],$D$11,0)*MATCH(orderHistory[order_type],$D$13,0)),MATCH(ROW(orderHistory[customer]),ROW(orderHistory[customer])),""),ROWS($A$15:A42)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S37" s="569" t="str">
        <f t="array" ref="S37">IFERROR(IF($D$9="",IF($D$11="",IF($D$13="",IF($D$15="",INDEX(orderHistory[lock_goods],SMALL(MATCH(ROW(orderHistory[customer]),ROW(orderHistory[customer])),ROWS($A$15:A42)+$B$3)),INDEX(orderHistory[lock_goods],SMALL(IF(ISNUMBER(MATCH(YEAR(orderHistory[invoice_date]),$D$15,0)),MATCH(ROW(orderHistory[customer]),ROW(orderHistory[customer])),""),ROWS($A$15:A42)+$B$3))),IF($D$15="",INDEX(orderHistory[lock_goods],SMALL(IF(ISNUMBER(MATCH(orderHistory[order_type],$D$13,0)),MATCH(ROW(orderHistory[customer]),ROW(orderHistory[customer])),""),ROWS($A$15:A42)+$B$3)),INDEX(orderHistory[lock_goods],SMALL(IF(ISNUMBER(MATCH(orderHistory[order_type],$D$13,0)*MATCH(YEAR(orderHistory[invoice_date]),$D$15,0)),MATCH(ROW(orderHistory[customer]),ROW(orderHistory[customer])),""),ROWS($A$15:A42)+$B$3)))),IF($D$13="",IF($D$15="",INDEX(orderHistory[lock_goods],SMALL(IF(ISNUMBER(MATCH(orderHistory[status],$D$11,0)),MATCH(ROW(orderHistory[customer]),ROW(orderHistory[customer])),""),ROWS($A$15:A42)+$B$3)),INDEX(orderHistory[lock_goods],SMALL(IF(ISNUMBER(MATCH(orderHistory[status],$D$11,0)*MATCH(YEAR(orderHistory[invoice_date]),$D$15,0)),MATCH(ROW(orderHistory[customer]),ROW(orderHistory[customer])),""),ROWS($A$15:A42)+$B$3))),IF($D$15="",INDEX(orderHistory[lock_goods],SMALL(IF(ISNUMBER(MATCH(orderHistory[status],$D$11,0)*MATCH(orderHistory[order_type],$D$13,0)),MATCH(ROW(orderHistory[customer]),ROW(orderHistory[customer])),""),ROWS($A$15:A42)+$B$3)),INDEX(orderHistory[lock_good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lock_goods],SMALL(IF(ISNUMBER(MATCH(orderHistory[customer],$D$9,0)),MATCH(ROW(orderHistory[customer]),ROW(orderHistory[customer])),""),ROWS($A$15:A42)+$B$3)),INDEX(orderHistory[lock_goods],SMALL(IF(ISNUMBER(MATCH(orderHistory[customer],$D$9,0)*MATCH(YEAR(orderHistory[invoice_date]),$D$15,0)),MATCH(ROW(orderHistory[customer]),ROW(orderHistory[customer])),""),ROWS($A$15:A42)+$B$3))),IF($D$15="",INDEX(orderHistory[lock_goods],SMALL(IF(ISNUMBER(MATCH(orderHistory[customer],$D$9,0)*MATCH(orderHistory[order_type],$D$13,0)),MATCH(ROW(orderHistory[customer]),ROW(orderHistory[customer])),""),ROWS($A$15:A42)+$B$3)),INDEX(orderHistory[lock_good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lock_goods],SMALL(IF(ISNUMBER(MATCH(orderHistory[customer],$D$9,0)*MATCH(orderHistory[status],$D$11,0)),MATCH(ROW(orderHistory[customer]),ROW(orderHistory[customer])),""),ROWS($A$15:A42)+$B$3)),INDEX(orderHistory[lock_goods],SMALL(IF(ISNUMBER(MATCH(orderHistory[customer],$D$9,0)*MATCH(orderHistory[status],$D$11,0)*MATCH(YEAR(orderHistory[payed]),$D$15,0)),MATCH(ROW(orderHistory[customer]),ROW(orderHistory[customer])),""),ROWS($A$15:A42)+$B$3))),IF($D$15="",INDEX(orderHistory[lock_goods],SMALL(IF(ISNUMBER(MATCH(orderHistory[customer],$D$9,0)*MATCH(orderHistory[status],$D$11,0)*MATCH(orderHistory[order_type],$D$13,0)),MATCH(ROW(orderHistory[customer]),ROW(orderHistory[customer])),""),ROWS($A$15:A42)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T37" s="459" t="str">
        <f t="array" ref="T37">IFERROR(IF($D$9="",IF($D$11="",IF($D$13="",IF($D$15="",INDEX(orderHistory[payed],SMALL(MATCH(ROW(orderHistory[customer]),ROW(orderHistory[customer])),ROWS($A$15:A42)+$B$3)),INDEX(orderHistory[payed],SMALL(IF(ISNUMBER(MATCH(YEAR(orderHistory[invoice_date]),$D$15,0)),MATCH(ROW(orderHistory[customer]),ROW(orderHistory[customer])),""),ROWS($A$15:A42)+$B$3))),IF($D$15="",INDEX(orderHistory[payed],SMALL(IF(ISNUMBER(MATCH(orderHistory[order_type],$D$13,0)),MATCH(ROW(orderHistory[customer]),ROW(orderHistory[customer])),""),ROWS($A$15:A42)+$B$3)),INDEX(orderHistory[payed],SMALL(IF(ISNUMBER(MATCH(orderHistory[order_type],$D$13,0)*MATCH(YEAR(orderHistory[invoice_date]),$D$15,0)),MATCH(ROW(orderHistory[customer]),ROW(orderHistory[customer])),""),ROWS($A$15:A42)+$B$3)))),IF($D$13="",IF($D$15="",INDEX(orderHistory[payed],SMALL(IF(ISNUMBER(MATCH(orderHistory[status],$D$11,0)),MATCH(ROW(orderHistory[customer]),ROW(orderHistory[customer])),""),ROWS($A$15:A42)+$B$3)),INDEX(orderHistory[payed],SMALL(IF(ISNUMBER(MATCH(orderHistory[status],$D$11,0)*MATCH(YEAR(orderHistory[invoice_date]),$D$15,0)),MATCH(ROW(orderHistory[customer]),ROW(orderHistory[customer])),""),ROWS($A$15:A42)+$B$3))),IF($D$15="",INDEX(orderHistory[payed],SMALL(IF(ISNUMBER(MATCH(orderHistory[status],$D$11,0)*MATCH(orderHistory[order_type],$D$13,0)),MATCH(ROW(orderHistory[customer]),ROW(orderHistory[customer])),""),ROWS($A$15:A42)+$B$3)),INDEX(orderHistory[paye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payed],SMALL(IF(ISNUMBER(MATCH(orderHistory[customer],$D$9,0)),MATCH(ROW(orderHistory[customer]),ROW(orderHistory[customer])),""),ROWS($A$15:A42)+$B$3)),INDEX(orderHistory[payed],SMALL(IF(ISNUMBER(MATCH(orderHistory[customer],$D$9,0)*MATCH(YEAR(orderHistory[invoice_date]),$D$15,0)),MATCH(ROW(orderHistory[customer]),ROW(orderHistory[customer])),""),ROWS($A$15:A42)+$B$3))),IF($D$15="",INDEX(orderHistory[payed],SMALL(IF(ISNUMBER(MATCH(orderHistory[customer],$D$9,0)*MATCH(orderHistory[order_type],$D$13,0)),MATCH(ROW(orderHistory[customer]),ROW(orderHistory[customer])),""),ROWS($A$15:A42)+$B$3)),INDEX(orderHistory[paye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YEAR(orderHistory[payed]),$D$15,0)),MATCH(ROW(orderHistory[customer]),ROW(orderHistory[customer])),""),ROWS($A$15:A42)+$B$3))),IF($D$15="",INDEX(orderHistory[payed],SMALL(IF(ISNUMBER(MATCH(orderHistory[customer],$D$9,0)*MATCH(orderHistory[status],$D$11,0)*MATCH(orderHistory[order_type],$D$13,0)),MATCH(ROW(orderHistory[customer]),ROW(orderHistory[customer])),""),ROWS($A$15:A42)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U37" s="454" t="str">
        <f t="array" ref="U37">IFERROR(IF($D$9="",IF($D$11="",IF($D$13="",IF($D$15="",INDEX(orderHistory[shipping_method],SMALL(MATCH(ROW(orderHistory[customer]),ROW(orderHistory[customer])),ROWS($A$15:A42)+$B$3)),INDEX(orderHistory[shipping_method],SMALL(IF(ISNUMBER(MATCH(YEAR(orderHistory[invoice_date]),$D$15,0)),MATCH(ROW(orderHistory[customer]),ROW(orderHistory[customer])),""),ROWS($A$15:A42)+$B$3))),IF($D$15="",INDEX(orderHistory[shipping_method],SMALL(IF(ISNUMBER(MATCH(orderHistory[order_type],$D$13,0)),MATCH(ROW(orderHistory[customer]),ROW(orderHistory[customer])),""),ROWS($A$15:A42)+$B$3)),INDEX(orderHistory[shipping_method],SMALL(IF(ISNUMBER(MATCH(orderHistory[order_type],$D$13,0)*MATCH(YEAR(orderHistory[invoice_date]),$D$15,0)),MATCH(ROW(orderHistory[customer]),ROW(orderHistory[customer])),""),ROWS($A$15:A42)+$B$3)))),IF($D$13="",IF($D$15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YEAR(orderHistory[invoice_date]),$D$15,0)),MATCH(ROW(orderHistory[customer]),ROW(orderHistory[customer])),""),ROWS($A$15:A42)+$B$3))),IF($D$15="",INDEX(orderHistory[shipping_method],SMALL(IF(ISNUMBER(MATCH(orderHistory[status],$D$11,0)*MATCH(orderHistory[order_type],$D$13,0)),MATCH(ROW(orderHistory[customer]),ROW(orderHistory[customer])),""),ROWS($A$15:A42)+$B$3)),INDEX(orderHistory[shipping_metho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YEAR(orderHistory[invoice_date]),$D$15,0)),MATCH(ROW(orderHistory[customer]),ROW(orderHistory[customer])),""),ROWS($A$15:A42)+$B$3))),IF($D$15="",INDEX(orderHistory[shipping_method],SMALL(IF(ISNUMBER(MATCH(orderHistory[customer],$D$9,0)*MATCH(orderHistory[order_type],$D$13,0)),MATCH(ROW(orderHistory[customer]),ROW(orderHistory[customer])),""),ROWS($A$15:A42)+$B$3)),INDEX(orderHistory[shipping_metho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YEAR(orderHistory[shipping_method]),$D$15,0)),MATCH(ROW(orderHistory[customer]),ROW(orderHistory[customer])),""),ROWS($A$15:A42)+$B$3))),IF($D$15="",INDEX(orderHistory[shipping_method],SMALL(IF(ISNUMBER(MATCH(orderHistory[customer],$D$9,0)*MATCH(orderHistory[status],$D$11,0)*MATCH(orderHistory[order_type],$D$13,0)),MATCH(ROW(orderHistory[customer]),ROW(orderHistory[customer])),""),ROWS($A$15:A42)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V37" s="460" t="str">
        <f t="array" ref="V37">IFERROR(IF($D$9="",IF($D$11="",IF($D$13="",IF($D$15="",INDEX(orderHistory[status],SMALL(MATCH(ROW(orderHistory[customer]),ROW(orderHistory[customer])),ROWS($A$15:A42)+$B$3)),INDEX(orderHistory[status],SMALL(IF(ISNUMBER(MATCH(YEAR(orderHistory[invoice_date]),$D$15,0)),MATCH(ROW(orderHistory[customer]),ROW(orderHistory[customer])),""),ROWS($A$15:A42)+$B$3))),IF($D$15="",INDEX(orderHistory[status],SMALL(IF(ISNUMBER(MATCH(orderHistory[order_type],$D$13,0)),MATCH(ROW(orderHistory[customer]),ROW(orderHistory[customer])),""),ROWS($A$15:A42)+$B$3)),INDEX(orderHistory[status],SMALL(IF(ISNUMBER(MATCH(orderHistory[order_type],$D$13,0)*MATCH(YEAR(orderHistory[invoice_date]),$D$15,0)),MATCH(ROW(orderHistory[customer]),ROW(orderHistory[customer])),""),ROWS($A$15:A42)+$B$3)))),IF($D$13="",IF($D$15="",INDEX(orderHistory[status],SMALL(IF(ISNUMBER(MATCH(orderHistory[status],$D$11,0)),MATCH(ROW(orderHistory[customer]),ROW(orderHistory[customer])),""),ROWS($A$15:A42)+$B$3)),INDEX(orderHistory[status],SMALL(IF(ISNUMBER(MATCH(orderHistory[status],$D$11,0)*MATCH(YEAR(orderHistory[invoice_date]),$D$15,0)),MATCH(ROW(orderHistory[customer]),ROW(orderHistory[customer])),""),ROWS($A$15:A42)+$B$3))),IF($D$15="",INDEX(orderHistory[status],SMALL(IF(ISNUMBER(MATCH(orderHistory[status],$D$11,0)*MATCH(orderHistory[order_type],$D$13,0)),MATCH(ROW(orderHistory[customer]),ROW(orderHistory[customer])),""),ROWS($A$15:A42)+$B$3)),INDEX(orderHistory[statu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tatus],SMALL(IF(ISNUMBER(MATCH(orderHistory[customer],$D$9,0)),MATCH(ROW(orderHistory[customer]),ROW(orderHistory[customer])),""),ROWS($A$15:A42)+$B$3)),INDEX(orderHistory[status],SMALL(IF(ISNUMBER(MATCH(orderHistory[customer],$D$9,0)*MATCH(YEAR(orderHistory[invoice_date]),$D$15,0)),MATCH(ROW(orderHistory[customer]),ROW(orderHistory[customer])),""),ROWS($A$15:A42)+$B$3))),IF($D$15="",INDEX(orderHistory[status],SMALL(IF(ISNUMBER(MATCH(orderHistory[customer],$D$9,0)*MATCH(orderHistory[order_type],$D$13,0)),MATCH(ROW(orderHistory[customer]),ROW(orderHistory[customer])),""),ROWS($A$15:A42)+$B$3)),INDEX(orderHistory[statu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YEAR(orderHistory[status]),$D$15,0)),MATCH(ROW(orderHistory[customer]),ROW(orderHistory[customer])),""),ROWS($A$15:A42)+$B$3))),IF($D$15="",INDEX(orderHistory[status],SMALL(IF(ISNUMBER(MATCH(orderHistory[customer],$D$9,0)*MATCH(orderHistory[status],$D$11,0)*MATCH(orderHistory[order_type],$D$13,0)),MATCH(ROW(orderHistory[customer]),ROW(orderHistory[customer])),""),ROWS($A$15:A42)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W37" s="75"/>
      <c r="AQ37" s="407"/>
      <c r="AR37" s="421"/>
      <c r="AU37" s="339"/>
      <c r="AW37" s="376"/>
      <c r="BJ37" s="339"/>
      <c r="BK37" s="366"/>
      <c r="BL37" s="367"/>
      <c r="BM37" s="368"/>
      <c r="BN37" s="367"/>
      <c r="BO37" s="368"/>
      <c r="BZ37" s="495"/>
      <c r="CA37" s="477" t="str">
        <f>IF(BZ37="","",INDEX(bhpc_data[description],MATCH(BZ37,bhpc_data[sku],0)))</f>
        <v/>
      </c>
      <c r="CB37" s="478"/>
      <c r="CC37" s="479"/>
      <c r="CD37" s="494"/>
      <c r="CE37" s="481"/>
      <c r="CF37" s="482"/>
      <c r="CG37" s="483" t="str">
        <f>IFERROR(ROUNDUP(CB37/INDEX(bhpc_data[units_per_carton],MATCH(BZ37,bhpc_data[sku],0)),0),"")</f>
        <v/>
      </c>
      <c r="CH37" s="484" t="str">
        <f>IFERROR(ROUNDUP(CD37/INDEX(bhpc_data[units_per_carton],MATCH(BZ37,bhpc_data[sku],0)),0),"")</f>
        <v/>
      </c>
      <c r="CI37" s="484" t="str">
        <f>IFERROR(ROUNDUP(CF37/INDEX(bhpc_data[units_per_carton],MATCH(BZ37,bhpc_data[sku])),0),"")</f>
        <v/>
      </c>
      <c r="CJ37" s="484" t="str">
        <f>IFERROR(((CB37+CD37+CF37)/INDEX(bhpc_data[units_per_carton],MATCH(BZ37,bhpc_data[sku],0)))*INDEX(bhpc_data[net_weight],MATCH(BZ37,bhpc_data[sku],0)),"")</f>
        <v/>
      </c>
      <c r="CK37" s="484" t="str">
        <f>IFERROR(((CB37+CD37+CF37)/INDEX(bhpc_data[units_per_carton],MATCH(BZ37,bhpc_data[sku],0)))*INDEX(bhpc_data[gross_weight],MATCH(BZ37,bhpc_data[sku],0)),"")</f>
        <v/>
      </c>
      <c r="CL37" s="485" t="str">
        <f>IFERROR((CB37+CD37+CF37)/INDEX(bhpc_data[units_per_carton],MATCH(BZ37,bhpc_data[sku],0))*INDEX(bhpc_data[lenght],MATCH(BZ37,bhpc_data[sku],0))*INDEX(bhpc_data[width],MATCH(BZ37,bhpc_data[sku],0))*INDEX(bhpc_data[height],MATCH(BZ37,bhpc_data[sku],0))/1000000000,"")</f>
        <v/>
      </c>
      <c r="CM37" s="486" t="str">
        <f>IFERROR(INDEX(bhpc_data[category],MATCH(BZ37,bhpc_data[sku],0)),"")</f>
        <v/>
      </c>
      <c r="CN37" s="486" t="str">
        <f>IFERROR(INDEX(bhpc_data[size1],MATCH(BZ37,bhpc_data[sku],0)),"")</f>
        <v/>
      </c>
      <c r="CO37" s="487" t="str">
        <f>IFERROR(INDEX(bhpc_data[hs_code],MATCH(BZ37,bhpc_data[sku],0)),"")</f>
        <v/>
      </c>
      <c r="CP37" s="482"/>
      <c r="CQ37" s="488" t="str">
        <f>IFERROR(IF(BZ37="","",IF($BX$15="SALE",INDEX(inventory[COSTO UNITARIO],MATCH(BZ37,inventory[ARTICOLO],0)),IF($BX$15="SAMPLING",INDEX(inventory[COSTO UNITARIO],MATCH(BZ37,inventory[ARTICOLO],0)),""))),"")</f>
        <v/>
      </c>
      <c r="CR37" s="488" t="str">
        <f t="shared" si="0"/>
        <v/>
      </c>
      <c r="CS37" s="489" t="str">
        <f t="shared" si="1"/>
        <v/>
      </c>
      <c r="CT37" s="573" t="str">
        <f t="shared" si="2"/>
        <v/>
      </c>
      <c r="CU37" s="421"/>
      <c r="CX37" s="438"/>
      <c r="CY37" s="438"/>
      <c r="DH37" s="245"/>
      <c r="EE37" s="541" t="str" cm="1">
        <f t="array" ref="EE37">IFERROR(IF($EC$9="",IF($EC$11="",IF($EC$13="",INDEX(bhpc_data[sku],SMALL(MATCH(ROW(bhpc_data[sku]),ROW(bhpc_data[sku])),ROWS($A$15:A42)+$B$3)),INDEX(bhpc_data[sku],SMALL(IF(ISNUMBER(MATCH(bhpc_data[size1],$EC$13,0)),MATCH(ROW(bhpc_data[sku]),ROW(bhpc_data[sku])),""),ROWS($A$15:A42)+$B$3))),IF($EC$13="",INDEX(bhpc_data[sku],SMALL(IF(ISNUMBER(MATCH(bhpc_data[sex],$EC$11,0)),MATCH(ROW(bhpc_data[sku]),ROW(bhpc_data[sku])),""),ROWS($A$15:A42)+$B$3)),INDEX(bhpc_data[sku],SMALL(IF(ISNUMBER(MATCH(bhpc_data[sex],$EC$11,0)*MATCH(bhpc_data[size1],$EC$13,0)),MATCH(ROW(bhpc_data[sku]),ROW(bhpc_data[sku])),""),ROWS($A$15:A42)+$B$3)))),IF($EC$11="",IF($EC$13="",INDEX(bhpc_data[sku],SMALL(IF(ISNUMBER(MATCH(bhpc_data[category],$EC$9,0)),MATCH(ROW(bhpc_data[sku]),ROW(bhpc_data[sku])),""),ROWS($A$15:A42)+$B$3)),INDEX(bhpc_data[sku],SMALL(IF(ISNUMBER(MATCH(bhpc_data[category],$EC$9,0)*MATCH(bhpc_data[size1],$EC$13,0)),MATCH(ROW(bhpc_data[sku]),ROW(bhpc_data[sku])),""),ROWS($A$15:A42)+$B$3))),IF($EC$13="",INDEX(bhpc_data[sku],SMALL(IF(ISNUMBER(MATCH(bhpc_data[category],$EC$9,0)*MATCH(bhpc_data[sex],$EC$11,0)),MATCH(ROW(bhpc_data[sku]),ROW(bhpc_data[sku])),""),ROWS($A$15:A42)+$B$3)),INDEX(bhpc_data[sku],SMALL(IF(ISNUMBER(MATCH(bhpc_data[category],$EC$9,0)*MATCH(bhpc_data[sex],$EC$11,0)*MATCH(bhpc_data[size1],$EC$13,0)),MATCH(ROW(bhpc_data[sku]),ROW(bhpc_data[sku])),""),ROWS($A$15:A42)+$B$3))))),"")</f>
        <v>GSTM28</v>
      </c>
      <c r="EF37" s="542" t="str" cm="1">
        <f t="array" ref="EF37">IFERROR(IF($EC$9="",IF($EC$11="",IF($EC$13="",INDEX(bhpc_data[description],SMALL(MATCH(ROW(bhpc_data[sku]),ROW(bhpc_data[sku])),ROWS($A$15:A42)+$B$3)),INDEX(bhpc_data[description],SMALL(IF(ISNUMBER(MATCH(bhpc_data[size1],$EC$13,0)),MATCH(ROW(bhpc_data[sku]),ROW(bhpc_data[sku])),""),ROWS($A$15:A42)+$B$3))),IF($EC$13="",INDEX(bhpc_data[description],SMALL(IF(ISNUMBER(MATCH(bhpc_data[sex],$EC$11,0)),MATCH(ROW(bhpc_data[sku]),ROW(bhpc_data[sku])),""),ROWS($A$15:A42)+$B$3)),INDEX(bhpc_data[description],SMALL(IF(ISNUMBER(MATCH(bhpc_data[sex],$EC$11,0)*MATCH(bhpc_data[size1],$EC$13,0)),MATCH(ROW(bhpc_data[sku]),ROW(bhpc_data[sku])),""),ROWS($A$15:A42)+$B$3)))),IF($EC$11="",IF($EC$13="",INDEX(bhpc_data[description],SMALL(IF(ISNUMBER(MATCH(bhpc_data[category],$EC$9,0)),MATCH(ROW(bhpc_data[sku]),ROW(bhpc_data[sku])),""),ROWS($A$15:A42)+$B$3)),INDEX(bhpc_data[description],SMALL(IF(ISNUMBER(MATCH(bhpc_data[category],$EC$9,0)*MATCH(bhpc_data[size1],$EC$13,0)),MATCH(ROW(bhpc_data[sku]),ROW(bhpc_data[sku])),""),ROWS($A$15:A42)+$B$3))),IF($EC$13="",INDEX(bhpc_data[description],SMALL(IF(ISNUMBER(MATCH(bhpc_data[category],$EC$9,0)*MATCH(bhpc_data[sex],$EC$11,0)),MATCH(ROW(bhpc_data[sku]),ROW(bhpc_data[sku])),""),ROWS($A$15:A42)+$B$3)),INDEX(bhpc_data[description],SMALL(IF(ISNUMBER(MATCH(bhpc_data[category],$EC$9,0)*MATCH(bhpc_data[sex],$EC$11,0)*MATCH(bhpc_data[size1],$EC$13,0)),MATCH(ROW(bhpc_data[sku]),ROW(bhpc_data[sku])),""),ROWS($A$15:A42)+$B$3))))),"")</f>
        <v>BHPC TWINPACK SPORTS MEN DEO #2 #8 175ML</v>
      </c>
      <c r="EG37" s="543">
        <f>IFERROR(IF('BHPC MANAGER'!$EE37="","",INDEX(inventory[ESISTENZA],MATCH('BHPC MANAGER'!$EE37,inventory[ARTICOLO],0))),0)</f>
        <v>0</v>
      </c>
      <c r="EH37" s="544" t="s">
        <v>914</v>
      </c>
      <c r="EI37" s="544">
        <f t="shared" si="3"/>
        <v>0</v>
      </c>
      <c r="EJ37" s="545" t="s">
        <v>914</v>
      </c>
      <c r="EK37" s="546">
        <f t="shared" si="4"/>
        <v>0</v>
      </c>
      <c r="FF37" s="331"/>
      <c r="FG37" s="331"/>
      <c r="FH37" s="331"/>
      <c r="FI37" s="331"/>
      <c r="FJ37" s="331"/>
      <c r="FK37" s="331"/>
      <c r="FL37" s="331"/>
      <c r="FM37" s="331"/>
      <c r="FN37" s="331"/>
      <c r="FO37" s="331"/>
      <c r="FP37" s="331"/>
      <c r="FQ37" s="331"/>
      <c r="FR37" s="331"/>
      <c r="FS37" s="331"/>
      <c r="FT37" s="331"/>
      <c r="FU37" s="331"/>
      <c r="FV37" s="331"/>
      <c r="FW37" s="331"/>
      <c r="FX37" s="331"/>
      <c r="FY37" s="331"/>
      <c r="FZ37" s="331"/>
      <c r="GA37" s="331"/>
      <c r="GB37" s="331"/>
      <c r="GC37" s="331"/>
      <c r="GD37" s="331"/>
      <c r="GE37" s="331"/>
      <c r="GF37" s="331"/>
      <c r="GG37" s="331"/>
      <c r="GH37" s="331"/>
      <c r="GI37" s="331"/>
      <c r="GJ37" s="331"/>
      <c r="GK37" s="331"/>
      <c r="GL37" s="331"/>
      <c r="GM37" s="331"/>
      <c r="GN37" s="331"/>
      <c r="GO37" s="331"/>
      <c r="GP37" s="331"/>
      <c r="GQ37" s="331"/>
      <c r="GR37" s="331"/>
      <c r="GS37" s="331"/>
      <c r="GT37" s="331"/>
      <c r="GU37" s="331"/>
      <c r="GV37" s="331"/>
      <c r="GW37" s="331"/>
      <c r="GX37" s="331"/>
      <c r="GY37" s="331"/>
      <c r="GZ37" s="331"/>
      <c r="HA37" s="331"/>
      <c r="HB37" s="331"/>
      <c r="HC37" s="331"/>
      <c r="HD37" s="331"/>
      <c r="HE37" s="331"/>
      <c r="HF37" s="331"/>
      <c r="HG37" s="331"/>
      <c r="HH37" s="331"/>
      <c r="HI37" s="331"/>
      <c r="HJ37" s="331"/>
      <c r="HK37" s="331"/>
      <c r="HL37" s="331"/>
      <c r="HM37" s="331"/>
      <c r="HN37" s="331"/>
      <c r="HO37" s="331"/>
      <c r="HP37" s="331"/>
      <c r="HQ37" s="331"/>
      <c r="HR37" s="331"/>
      <c r="HS37" s="331"/>
      <c r="HT37" s="331"/>
    </row>
    <row r="38" spans="6:228" ht="15" customHeight="1" x14ac:dyDescent="0.35">
      <c r="F38" s="96"/>
      <c r="G38" s="850"/>
      <c r="H38" s="851"/>
      <c r="I38" s="852"/>
      <c r="J38" s="82"/>
      <c r="L38" s="452" t="str">
        <f t="array" ref="L38">IFERROR(IF($D$9="",IF($D$11="",IF($D$13="",IF($D$15="",INDEX(orderHistory[customer],SMALL(MATCH(ROW(orderHistory[customer]),ROW(orderHistory[customer])),ROWS($A$15:A43)+$B$3)),INDEX(orderHistory[customer],SMALL(IF(ISNUMBER(MATCH(YEAR(orderHistory[invoice_date]),$D$15,0)),MATCH(ROW(orderHistory[customer]),ROW(orderHistory[customer])),""),ROWS($A$15:A43)+$B$3))),IF($D$15="",INDEX(orderHistory[customer],SMALL(IF(ISNUMBER(MATCH(orderHistory[order_type],$D$13,0)),MATCH(ROW(orderHistory[customer]),ROW(orderHistory[customer])),""),ROWS($A$15:A43)+$B$3)),INDEX(orderHistory[customer],SMALL(IF(ISNUMBER(MATCH(orderHistory[order_type],$D$13,0)*MATCH(YEAR(orderHistory[invoice_date]),$D$15,0)),MATCH(ROW(orderHistory[customer]),ROW(orderHistory[customer])),""),ROWS($A$15:A43)+$B$3)))),IF($D$13="",IF($D$15="",INDEX(orderHistory[customer],SMALL(IF(ISNUMBER(MATCH(orderHistory[status],$D$11,0)),MATCH(ROW(orderHistory[customer]),ROW(orderHistory[customer])),""),ROWS($A$15:A43)+$B$3)),INDEX(orderHistory[customer],SMALL(IF(ISNUMBER(MATCH(orderHistory[status],$D$11,0)*MATCH(YEAR(orderHistory[invoice_date]),$D$15,0)),MATCH(ROW(orderHistory[customer]),ROW(orderHistory[customer])),""),ROWS($A$15:A43)+$B$3))),IF($D$15="",INDEX(orderHistory[customer],SMALL(IF(ISNUMBER(MATCH(orderHistory[status],$D$11,0)*MATCH(orderHistory[order_type],$D$13,0)),MATCH(ROW(orderHistory[customer]),ROW(orderHistory[customer])),""),ROWS($A$15:A43)+$B$3)),INDEX(orderHistory[customer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customer],SMALL(IF(ISNUMBER(MATCH(orderHistory[customer],$D$9,0)),MATCH(ROW(orderHistory[customer]),ROW(orderHistory[customer])),""),ROWS($A$15:A43)+$B$3)),INDEX(orderHistory[customer],SMALL(IF(ISNUMBER(MATCH(orderHistory[customer],$D$9,0)*MATCH(YEAR(orderHistory[invoice_date]),$D$15,0)),MATCH(ROW(orderHistory[customer]),ROW(orderHistory[customer])),""),ROWS($A$15:A43)+$B$3))),IF($D$15="",INDEX(orderHistory[customer],SMALL(IF(ISNUMBER(MATCH(orderHistory[customer],$D$9,0)*MATCH(orderHistory[order_type],$D$13,0)),MATCH(ROW(orderHistory[customer]),ROW(orderHistory[customer])),""),ROWS($A$15:A43)+$B$3)),INDEX(orderHistory[customer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YEAR(orderHistory[invoice_date]),$D$15,0)),MATCH(ROW(orderHistory[customer]),ROW(orderHistory[customer])),""),ROWS($A$15:A43)+$B$3))),IF($D$15="",INDEX(orderHistory[customer],SMALL(IF(ISNUMBER(MATCH(orderHistory[customer],$D$9,0)*MATCH(orderHistory[status],$D$11,0)*MATCH(orderHistory[order_type],$D$13,0)),MATCH(ROW(orderHistory[customer]),ROW(orderHistory[customer])),""),ROWS($A$15:A43)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M38" s="453" t="str">
        <f t="array" ref="M38">IFERROR(IF($D$9="",IF($D$11="",IF($D$13="",IF($D$15="",INDEX(orderHistory[order_no],SMALL(MATCH(ROW(orderHistory[customer]),ROW(orderHistory[customer])),ROWS($A$15:A43)+$B$3)),INDEX(orderHistory[order_no],SMALL(IF(ISNUMBER(MATCH(YEAR(orderHistory[invoice_date]),$D$15,0)),MATCH(ROW(orderHistory[customer]),ROW(orderHistory[customer])),""),ROWS($A$15:A43)+$B$3))),IF($D$15="",INDEX(orderHistory[order_no],SMALL(IF(ISNUMBER(MATCH(orderHistory[order_type],$D$13,0)),MATCH(ROW(orderHistory[customer]),ROW(orderHistory[customer])),""),ROWS($A$15:A43)+$B$3)),INDEX(orderHistory[order_no],SMALL(IF(ISNUMBER(MATCH(orderHistory[order_type],$D$13,0)*MATCH(YEAR(orderHistory[invoice_date]),$D$15,0)),MATCH(ROW(orderHistory[customer]),ROW(orderHistory[customer])),""),ROWS($A$15:A43)+$B$3)))),IF($D$13="",IF($D$15="",INDEX(orderHistory[order_no],SMALL(IF(ISNUMBER(MATCH(orderHistory[status],$D$11,0)),MATCH(ROW(orderHistory[customer]),ROW(orderHistory[customer])),""),ROWS($A$15:A43)+$B$3)),INDEX(orderHistory[order_no],SMALL(IF(ISNUMBER(MATCH(orderHistory[status],$D$11,0)*MATCH(YEAR(orderHistory[invoice_date]),$D$15,0)),MATCH(ROW(orderHistory[customer]),ROW(orderHistory[customer])),""),ROWS($A$15:A43)+$B$3))),IF($D$15="",INDEX(orderHistory[order_no],SMALL(IF(ISNUMBER(MATCH(orderHistory[status],$D$11,0)*MATCH(orderHistory[order_type],$D$13,0)),MATCH(ROW(orderHistory[customer]),ROW(orderHistory[customer])),""),ROWS($A$15:A43)+$B$3)),INDEX(orderHistory[order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no],SMALL(IF(ISNUMBER(MATCH(orderHistory[customer],$D$9,0)),MATCH(ROW(orderHistory[customer]),ROW(orderHistory[customer])),""),ROWS($A$15:A43)+$B$3)),INDEX(orderHistory[order_no],SMALL(IF(ISNUMBER(MATCH(orderHistory[customer],$D$9,0)*MATCH(YEAR(orderHistory[invoice_date]),$D$15,0)),MATCH(ROW(orderHistory[customer]),ROW(orderHistory[customer])),""),ROWS($A$15:A43)+$B$3))),IF($D$15="",INDEX(orderHistory[order_no],SMALL(IF(ISNUMBER(MATCH(orderHistory[customer],$D$9,0)*MATCH(orderHistory[order_type],$D$13,0)),MATCH(ROW(orderHistory[customer]),ROW(orderHistory[customer])),""),ROWS($A$15:A43)+$B$3)),INDEX(orderHistory[order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YEAR(orderHistory[invoice_date]),$D$15,0)),MATCH(ROW(orderHistory[customer]),ROW(orderHistory[customer])),""),ROWS($A$15:A43)+$B$3))),IF($D$15="",INDEX(orderHistory[order_no],SMALL(IF(ISNUMBER(MATCH(orderHistory[customer],$D$9,0)*MATCH(orderHistory[status],$D$11,0)*MATCH(orderHistory[order_type],$D$13,0)),MATCH(ROW(orderHistory[customer]),ROW(orderHistory[customer])),""),ROWS($A$15:A43)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N38" s="454" t="str">
        <f t="array" ref="N38">IFERROR(IF($D$9="",IF($D$11="",IF($D$13="",IF($D$15="",INDEX(orderHistory[order_type],SMALL(MATCH(ROW(orderHistory[customer]),ROW(orderHistory[customer])),ROWS($A$15:A43)+$B$3)),INDEX(orderHistory[order_type],SMALL(IF(ISNUMBER(MATCH(YEAR(orderHistory[invoice_date]),$D$15,0)),MATCH(ROW(orderHistory[customer]),ROW(orderHistory[customer])),""),ROWS($A$15:A43)+$B$3))),IF($D$15="",INDEX(orderHistory[order_type],SMALL(IF(ISNUMBER(MATCH(orderHistory[order_type],$D$13,0)),MATCH(ROW(orderHistory[customer]),ROW(orderHistory[customer])),""),ROWS($A$15:A43)+$B$3)),INDEX(orderHistory[order_type],SMALL(IF(ISNUMBER(MATCH(orderHistory[order_type],$D$13,0)*MATCH(YEAR(orderHistory[invoice_date]),$D$15,0)),MATCH(ROW(orderHistory[customer]),ROW(orderHistory[customer])),""),ROWS($A$15:A43)+$B$3)))),IF($D$13="",IF($D$15="",INDEX(orderHistory[order_type],SMALL(IF(ISNUMBER(MATCH(orderHistory[status],$D$11,0)),MATCH(ROW(orderHistory[customer]),ROW(orderHistory[customer])),""),ROWS($A$15:A43)+$B$3)),INDEX(orderHistory[order_type],SMALL(IF(ISNUMBER(MATCH(orderHistory[status],$D$11,0)*MATCH(YEAR(orderHistory[invoice_date]),$D$15,0)),MATCH(ROW(orderHistory[customer]),ROW(orderHistory[customer])),""),ROWS($A$15:A43)+$B$3))),IF($D$15="",INDEX(orderHistory[order_type],SMALL(IF(ISNUMBER(MATCH(orderHistory[status],$D$11,0)*MATCH(orderHistory[order_type],$D$13,0)),MATCH(ROW(orderHistory[customer]),ROW(orderHistory[customer])),""),ROWS($A$15:A43)+$B$3)),INDEX(orderHistory[order_typ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type],SMALL(IF(ISNUMBER(MATCH(orderHistory[customer],$D$9,0)),MATCH(ROW(orderHistory[customer]),ROW(orderHistory[customer])),""),ROWS($A$15:A43)+$B$3)),INDEX(orderHistory[order_type],SMALL(IF(ISNUMBER(MATCH(orderHistory[customer],$D$9,0)*MATCH(YEAR(orderHistory[invoice_date]),$D$15,0)),MATCH(ROW(orderHistory[customer]),ROW(orderHistory[customer])),""),ROWS($A$15:A43)+$B$3))),IF($D$15="",INDEX(orderHistory[order_type],SMALL(IF(ISNUMBER(MATCH(orderHistory[customer],$D$9,0)*MATCH(orderHistory[order_type],$D$13,0)),MATCH(ROW(orderHistory[customer]),ROW(orderHistory[customer])),""),ROWS($A$15:A43)+$B$3)),INDEX(orderHistory[order_typ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YEAR(orderHistory[invoice_date]),$D$15,0)),MATCH(ROW(orderHistory[customer]),ROW(orderHistory[customer])),""),ROWS($A$15:A43)+$B$3))),IF($D$15="",INDEX(orderHistory[order_type],SMALL(IF(ISNUMBER(MATCH(orderHistory[customer],$D$9,0)*MATCH(orderHistory[status],$D$11,0)*MATCH(orderHistory[order_type],$D$13,0)),MATCH(ROW(orderHistory[customer]),ROW(orderHistory[customer])),""),ROWS($A$15:A43)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O38" s="455" t="str">
        <f t="array" ref="O38">IFERROR(IF($D$9="",IF($D$11="",IF($D$13="",IF($D$15="",INDEX(orderHistory[order_date],SMALL(MATCH(ROW(orderHistory[customer]),ROW(orderHistory[customer])),ROWS($A$15:A43)+$B$3)),INDEX(orderHistory[order_date],SMALL(IF(ISNUMBER(MATCH(YEAR(orderHistory[invoice_date]),$D$15,0)),MATCH(ROW(orderHistory[customer]),ROW(orderHistory[customer])),""),ROWS($A$15:A43)+$B$3))),IF($D$15="",INDEX(orderHistory[order_date],SMALL(IF(ISNUMBER(MATCH(orderHistory[order_type],$D$13,0)),MATCH(ROW(orderHistory[customer]),ROW(orderHistory[customer])),""),ROWS($A$15:A43)+$B$3)),INDEX(orderHistory[order_date],SMALL(IF(ISNUMBER(MATCH(orderHistory[order_type],$D$13,0)*MATCH(YEAR(orderHistory[invoice_date]),$D$15,0)),MATCH(ROW(orderHistory[customer]),ROW(orderHistory[customer])),""),ROWS($A$15:A43)+$B$3)))),IF($D$13="",IF($D$15="",INDEX(orderHistory[order_date],SMALL(IF(ISNUMBER(MATCH(orderHistory[status],$D$11,0)),MATCH(ROW(orderHistory[customer]),ROW(orderHistory[customer])),""),ROWS($A$15:A43)+$B$3)),INDEX(orderHistory[order_date],SMALL(IF(ISNUMBER(MATCH(orderHistory[status],$D$11,0)*MATCH(YEAR(orderHistory[invoice_date]),$D$15,0)),MATCH(ROW(orderHistory[customer]),ROW(orderHistory[customer])),""),ROWS($A$15:A43)+$B$3))),IF($D$15="",INDEX(orderHistory[order_date],SMALL(IF(ISNUMBER(MATCH(orderHistory[status],$D$11,0)*MATCH(orderHistory[order_type],$D$13,0)),MATCH(ROW(orderHistory[customer]),ROW(orderHistory[customer])),""),ROWS($A$15:A43)+$B$3)),INDEX(orderHistory[order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date],SMALL(IF(ISNUMBER(MATCH(orderHistory[customer],$D$9,0)),MATCH(ROW(orderHistory[customer]),ROW(orderHistory[customer])),""),ROWS($A$15:A43)+$B$3)),INDEX(orderHistory[order_date],SMALL(IF(ISNUMBER(MATCH(orderHistory[customer],$D$9,0)*MATCH(YEAR(orderHistory[invoice_date]),$D$15,0)),MATCH(ROW(orderHistory[customer]),ROW(orderHistory[customer])),""),ROWS($A$15:A43)+$B$3))),IF($D$15="",INDEX(orderHistory[order_date],SMALL(IF(ISNUMBER(MATCH(orderHistory[customer],$D$9,0)*MATCH(orderHistory[order_type],$D$13,0)),MATCH(ROW(orderHistory[customer]),ROW(orderHistory[customer])),""),ROWS($A$15:A43)+$B$3)),INDEX(orderHistory[order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YEAR(orderHistory[invoice_date]),$D$15,0)),MATCH(ROW(orderHistory[customer]),ROW(orderHistory[customer])),""),ROWS($A$15:A43)+$B$3))),IF($D$15="",INDEX(orderHistory[order_date],SMALL(IF(ISNUMBER(MATCH(orderHistory[customer],$D$9,0)*MATCH(orderHistory[status],$D$11,0)*MATCH(orderHistory[order_type],$D$13,0)),MATCH(ROW(orderHistory[customer]),ROW(orderHistory[customer])),""),ROWS($A$15:A43)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P38" s="456" t="str">
        <f t="array" ref="P38">IFERROR(IF($D$9="",IF($D$11="",IF($D$13="",IF($D$15="",INDEX(orderHistory[invoice_no],SMALL(MATCH(ROW(orderHistory[customer]),ROW(orderHistory[customer])),ROWS($A$15:A43)+$B$3)),INDEX(orderHistory[invoice_no],SMALL(IF(ISNUMBER(MATCH(YEAR(orderHistory[invoice_date]),$D$15,0)),MATCH(ROW(orderHistory[customer]),ROW(orderHistory[customer])),""),ROWS($A$15:A43)+$B$3))),IF($D$15="",INDEX(orderHistory[invoice_no],SMALL(IF(ISNUMBER(MATCH(orderHistory[order_type],$D$13,0)),MATCH(ROW(orderHistory[customer]),ROW(orderHistory[customer])),""),ROWS($A$15:A43)+$B$3)),INDEX(orderHistory[invoice_no],SMALL(IF(ISNUMBER(MATCH(orderHistory[order_type],$D$13,0)*MATCH(YEAR(orderHistory[invoice_date]),$D$15,0)),MATCH(ROW(orderHistory[customer]),ROW(orderHistory[customer])),""),ROWS($A$15:A43)+$B$3)))),IF($D$13="",IF($D$15="",INDEX(orderHistory[invoice_no],SMALL(IF(ISNUMBER(MATCH(orderHistory[status],$D$11,0)),MATCH(ROW(orderHistory[customer]),ROW(orderHistory[customer])),""),ROWS($A$15:A43)+$B$3)),INDEX(orderHistory[invoice_no],SMALL(IF(ISNUMBER(MATCH(orderHistory[status],$D$11,0)*MATCH(YEAR(orderHistory[invoice_date]),$D$15,0)),MATCH(ROW(orderHistory[customer]),ROW(orderHistory[customer])),""),ROWS($A$15:A43)+$B$3))),IF($D$15="",INDEX(orderHistory[invoice_no],SMALL(IF(ISNUMBER(MATCH(orderHistory[status],$D$11,0)*MATCH(orderHistory[order_type],$D$13,0)),MATCH(ROW(orderHistory[customer]),ROW(orderHistory[customer])),""),ROWS($A$15:A43)+$B$3)),INDEX(orderHistory[invoice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no],SMALL(IF(ISNUMBER(MATCH(orderHistory[customer],$D$9,0)),MATCH(ROW(orderHistory[customer]),ROW(orderHistory[customer])),""),ROWS($A$15:A43)+$B$3)),INDEX(orderHistory[invoice_no],SMALL(IF(ISNUMBER(MATCH(orderHistory[customer],$D$9,0)*MATCH(YEAR(orderHistory[invoice_date]),$D$15,0)),MATCH(ROW(orderHistory[customer]),ROW(orderHistory[customer])),""),ROWS($A$15:A43)+$B$3))),IF($D$15="",INDEX(orderHistory[invoice_no],SMALL(IF(ISNUMBER(MATCH(orderHistory[customer],$D$9,0)*MATCH(orderHistory[order_type],$D$13,0)),MATCH(ROW(orderHistory[customer]),ROW(orderHistory[customer])),""),ROWS($A$15:A43)+$B$3)),INDEX(orderHistory[invoice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YEAR(orderHistory[invoice_date]),$D$15,0)),MATCH(ROW(orderHistory[customer]),ROW(orderHistory[customer])),""),ROWS($A$15:A43)+$B$3))),IF($D$15="",INDEX(orderHistory[invoice_no],SMALL(IF(ISNUMBER(MATCH(orderHistory[customer],$D$9,0)*MATCH(orderHistory[status],$D$11,0)*MATCH(orderHistory[order_type],$D$13,0)),MATCH(ROW(orderHistory[customer]),ROW(orderHistory[customer])),""),ROWS($A$15:A43)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Q38" s="457" t="str">
        <f t="array" ref="Q38">IFERROR(IF($D$9="",IF($D$11="",IF($D$13="",IF($D$15="",INDEX(orderHistory[invoice_date],SMALL(MATCH(ROW(orderHistory[customer]),ROW(orderHistory[customer])),ROWS($A$15:A43)+$B$3)),INDEX(orderHistory[invoice_date],SMALL(IF(ISNUMBER(MATCH(YEAR(orderHistory[invoice_date]),$D$15,0)),MATCH(ROW(orderHistory[customer]),ROW(orderHistory[customer])),""),ROWS($A$15:A43)+$B$3))),IF($D$15="",INDEX(orderHistory[invoice_date],SMALL(IF(ISNUMBER(MATCH(orderHistory[order_type],$D$13,0)),MATCH(ROW(orderHistory[customer]),ROW(orderHistory[customer])),""),ROWS($A$15:A43)+$B$3)),INDEX(orderHistory[invoice_date],SMALL(IF(ISNUMBER(MATCH(orderHistory[order_type],$D$13,0)*MATCH(YEAR(orderHistory[invoice_date]),$D$15,0)),MATCH(ROW(orderHistory[customer]),ROW(orderHistory[customer])),""),ROWS($A$15:A43)+$B$3)))),IF($D$13="",IF($D$15="",INDEX(orderHistory[invoice_date],SMALL(IF(ISNUMBER(MATCH(orderHistory[status],$D$11,0)),MATCH(ROW(orderHistory[customer]),ROW(orderHistory[customer])),""),ROWS($A$15:A43)+$B$3)),INDEX(orderHistory[invoice_date],SMALL(IF(ISNUMBER(MATCH(orderHistory[status],$D$11,0)*MATCH(YEAR(orderHistory[invoice_date]),$D$15,0)),MATCH(ROW(orderHistory[customer]),ROW(orderHistory[customer])),""),ROWS($A$15:A43)+$B$3))),IF($D$15="",INDEX(orderHistory[invoice_date],SMALL(IF(ISNUMBER(MATCH(orderHistory[status],$D$11,0)*MATCH(orderHistory[order_type],$D$13,0)),MATCH(ROW(orderHistory[customer]),ROW(orderHistory[customer])),""),ROWS($A$15:A43)+$B$3)),INDEX(orderHistory[invoice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date],SMALL(IF(ISNUMBER(MATCH(orderHistory[customer],$D$9,0)),MATCH(ROW(orderHistory[customer]),ROW(orderHistory[customer])),""),ROWS($A$15:A43)+$B$3)),INDEX(orderHistory[invoice_date],SMALL(IF(ISNUMBER(MATCH(orderHistory[customer],$D$9,0)*MATCH(YEAR(orderHistory[invoice_date]),$D$15,0)),MATCH(ROW(orderHistory[customer]),ROW(orderHistory[customer])),""),ROWS($A$15:A43)+$B$3))),IF($D$15="",INDEX(orderHistory[invoice_date],SMALL(IF(ISNUMBER(MATCH(orderHistory[customer],$D$9,0)*MATCH(orderHistory[order_type],$D$13,0)),MATCH(ROW(orderHistory[customer]),ROW(orderHistory[customer])),""),ROWS($A$15:A43)+$B$3)),INDEX(orderHistory[invoice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YEAR(orderHistory[invoice_date]),$D$15,0)),MATCH(ROW(orderHistory[customer]),ROW(orderHistory[customer])),""),ROWS($A$15:A43)+$B$3))),IF($D$15="",INDEX(orderHistory[invoice_date],SMALL(IF(ISNUMBER(MATCH(orderHistory[customer],$D$9,0)*MATCH(orderHistory[status],$D$11,0)*MATCH(orderHistory[order_type],$D$13,0)),MATCH(ROW(orderHistory[customer]),ROW(orderHistory[customer])),""),ROWS($A$15:A43)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R38" s="458" t="str">
        <f t="array" ref="R38">IFERROR(IF($D$9="",IF($D$11="",IF($D$13="",IF($D$15="",INDEX(orderHistory[inv_amount],SMALL(MATCH(ROW(orderHistory[customer]),ROW(orderHistory[customer])),ROWS($A$15:A43)+$B$3)),INDEX(orderHistory[inv_amount],SMALL(IF(ISNUMBER(MATCH(YEAR(orderHistory[invoice_date]),$D$15,0)),MATCH(ROW(orderHistory[customer]),ROW(orderHistory[customer])),""),ROWS($A$15:A43)+$B$3))),IF($D$15="",INDEX(orderHistory[inv_amount],SMALL(IF(ISNUMBER(MATCH(orderHistory[order_type],$D$13,0)),MATCH(ROW(orderHistory[customer]),ROW(orderHistory[customer])),""),ROWS($A$15:A43)+$B$3)),INDEX(orderHistory[inv_amount],SMALL(IF(ISNUMBER(MATCH(orderHistory[order_type],$D$13,0)*MATCH(YEAR(orderHistory[invoice_date]),$D$15,0)),MATCH(ROW(orderHistory[customer]),ROW(orderHistory[customer])),""),ROWS($A$15:A43)+$B$3)))),IF($D$13="",IF($D$15="",INDEX(orderHistory[inv_amount],SMALL(IF(ISNUMBER(MATCH(orderHistory[status],$D$11,0)),MATCH(ROW(orderHistory[customer]),ROW(orderHistory[customer])),""),ROWS($A$15:A43)+$B$3)),INDEX(orderHistory[inv_amount],SMALL(IF(ISNUMBER(MATCH(orderHistory[status],$D$11,0)*MATCH(YEAR(orderHistory[invoice_date]),$D$15,0)),MATCH(ROW(orderHistory[customer]),ROW(orderHistory[customer])),""),ROWS($A$15:A43)+$B$3))),IF($D$15="",INDEX(orderHistory[inv_amount],SMALL(IF(ISNUMBER(MATCH(orderHistory[status],$D$11,0)*MATCH(orderHistory[order_type],$D$13,0)),MATCH(ROW(orderHistory[customer]),ROW(orderHistory[customer])),""),ROWS($A$15:A43)+$B$3)),INDEX(orderHistory[inv_amount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_amount],SMALL(IF(ISNUMBER(MATCH(orderHistory[customer],$D$9,0)),MATCH(ROW(orderHistory[customer]),ROW(orderHistory[customer])),""),ROWS($A$15:A43)+$B$3)),INDEX(orderHistory[inv_amount],SMALL(IF(ISNUMBER(MATCH(orderHistory[customer],$D$9,0)*MATCH(YEAR(orderHistory[invoice_date]),$D$15,0)),MATCH(ROW(orderHistory[customer]),ROW(orderHistory[customer])),""),ROWS($A$15:A43)+$B$3))),IF($D$15="",INDEX(orderHistory[inv_amount],SMALL(IF(ISNUMBER(MATCH(orderHistory[customer],$D$9,0)*MATCH(orderHistory[order_type],$D$13,0)),MATCH(ROW(orderHistory[customer]),ROW(orderHistory[customer])),""),ROWS($A$15:A43)+$B$3)),INDEX(orderHistory[inv_amount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YEAR(orderHistory[inv_amount]),$D$15,0)),MATCH(ROW(orderHistory[customer]),ROW(orderHistory[customer])),""),ROWS($A$15:A43)+$B$3))),IF($D$15="",INDEX(orderHistory[inv_amount],SMALL(IF(ISNUMBER(MATCH(orderHistory[customer],$D$9,0)*MATCH(orderHistory[status],$D$11,0)*MATCH(orderHistory[order_type],$D$13,0)),MATCH(ROW(orderHistory[customer]),ROW(orderHistory[customer])),""),ROWS($A$15:A43)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S38" s="569" t="str">
        <f t="array" ref="S38">IFERROR(IF($D$9="",IF($D$11="",IF($D$13="",IF($D$15="",INDEX(orderHistory[lock_goods],SMALL(MATCH(ROW(orderHistory[customer]),ROW(orderHistory[customer])),ROWS($A$15:A43)+$B$3)),INDEX(orderHistory[lock_goods],SMALL(IF(ISNUMBER(MATCH(YEAR(orderHistory[invoice_date]),$D$15,0)),MATCH(ROW(orderHistory[customer]),ROW(orderHistory[customer])),""),ROWS($A$15:A43)+$B$3))),IF($D$15="",INDEX(orderHistory[lock_goods],SMALL(IF(ISNUMBER(MATCH(orderHistory[order_type],$D$13,0)),MATCH(ROW(orderHistory[customer]),ROW(orderHistory[customer])),""),ROWS($A$15:A43)+$B$3)),INDEX(orderHistory[lock_goods],SMALL(IF(ISNUMBER(MATCH(orderHistory[order_type],$D$13,0)*MATCH(YEAR(orderHistory[invoice_date]),$D$15,0)),MATCH(ROW(orderHistory[customer]),ROW(orderHistory[customer])),""),ROWS($A$15:A43)+$B$3)))),IF($D$13="",IF($D$15="",INDEX(orderHistory[lock_goods],SMALL(IF(ISNUMBER(MATCH(orderHistory[status],$D$11,0)),MATCH(ROW(orderHistory[customer]),ROW(orderHistory[customer])),""),ROWS($A$15:A43)+$B$3)),INDEX(orderHistory[lock_goods],SMALL(IF(ISNUMBER(MATCH(orderHistory[status],$D$11,0)*MATCH(YEAR(orderHistory[invoice_date]),$D$15,0)),MATCH(ROW(orderHistory[customer]),ROW(orderHistory[customer])),""),ROWS($A$15:A43)+$B$3))),IF($D$15="",INDEX(orderHistory[lock_goods],SMALL(IF(ISNUMBER(MATCH(orderHistory[status],$D$11,0)*MATCH(orderHistory[order_type],$D$13,0)),MATCH(ROW(orderHistory[customer]),ROW(orderHistory[customer])),""),ROWS($A$15:A43)+$B$3)),INDEX(orderHistory[lock_good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lock_goods],SMALL(IF(ISNUMBER(MATCH(orderHistory[customer],$D$9,0)),MATCH(ROW(orderHistory[customer]),ROW(orderHistory[customer])),""),ROWS($A$15:A43)+$B$3)),INDEX(orderHistory[lock_goods],SMALL(IF(ISNUMBER(MATCH(orderHistory[customer],$D$9,0)*MATCH(YEAR(orderHistory[invoice_date]),$D$15,0)),MATCH(ROW(orderHistory[customer]),ROW(orderHistory[customer])),""),ROWS($A$15:A43)+$B$3))),IF($D$15="",INDEX(orderHistory[lock_goods],SMALL(IF(ISNUMBER(MATCH(orderHistory[customer],$D$9,0)*MATCH(orderHistory[order_type],$D$13,0)),MATCH(ROW(orderHistory[customer]),ROW(orderHistory[customer])),""),ROWS($A$15:A43)+$B$3)),INDEX(orderHistory[lock_good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lock_goods],SMALL(IF(ISNUMBER(MATCH(orderHistory[customer],$D$9,0)*MATCH(orderHistory[status],$D$11,0)),MATCH(ROW(orderHistory[customer]),ROW(orderHistory[customer])),""),ROWS($A$15:A43)+$B$3)),INDEX(orderHistory[lock_goods],SMALL(IF(ISNUMBER(MATCH(orderHistory[customer],$D$9,0)*MATCH(orderHistory[status],$D$11,0)*MATCH(YEAR(orderHistory[payed]),$D$15,0)),MATCH(ROW(orderHistory[customer]),ROW(orderHistory[customer])),""),ROWS($A$15:A43)+$B$3))),IF($D$15="",INDEX(orderHistory[lock_goods],SMALL(IF(ISNUMBER(MATCH(orderHistory[customer],$D$9,0)*MATCH(orderHistory[status],$D$11,0)*MATCH(orderHistory[order_type],$D$13,0)),MATCH(ROW(orderHistory[customer]),ROW(orderHistory[customer])),""),ROWS($A$15:A43)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T38" s="459" t="str">
        <f t="array" ref="T38">IFERROR(IF($D$9="",IF($D$11="",IF($D$13="",IF($D$15="",INDEX(orderHistory[payed],SMALL(MATCH(ROW(orderHistory[customer]),ROW(orderHistory[customer])),ROWS($A$15:A43)+$B$3)),INDEX(orderHistory[payed],SMALL(IF(ISNUMBER(MATCH(YEAR(orderHistory[invoice_date]),$D$15,0)),MATCH(ROW(orderHistory[customer]),ROW(orderHistory[customer])),""),ROWS($A$15:A43)+$B$3))),IF($D$15="",INDEX(orderHistory[payed],SMALL(IF(ISNUMBER(MATCH(orderHistory[order_type],$D$13,0)),MATCH(ROW(orderHistory[customer]),ROW(orderHistory[customer])),""),ROWS($A$15:A43)+$B$3)),INDEX(orderHistory[payed],SMALL(IF(ISNUMBER(MATCH(orderHistory[order_type],$D$13,0)*MATCH(YEAR(orderHistory[invoice_date]),$D$15,0)),MATCH(ROW(orderHistory[customer]),ROW(orderHistory[customer])),""),ROWS($A$15:A43)+$B$3)))),IF($D$13="",IF($D$15="",INDEX(orderHistory[payed],SMALL(IF(ISNUMBER(MATCH(orderHistory[status],$D$11,0)),MATCH(ROW(orderHistory[customer]),ROW(orderHistory[customer])),""),ROWS($A$15:A43)+$B$3)),INDEX(orderHistory[payed],SMALL(IF(ISNUMBER(MATCH(orderHistory[status],$D$11,0)*MATCH(YEAR(orderHistory[invoice_date]),$D$15,0)),MATCH(ROW(orderHistory[customer]),ROW(orderHistory[customer])),""),ROWS($A$15:A43)+$B$3))),IF($D$15="",INDEX(orderHistory[payed],SMALL(IF(ISNUMBER(MATCH(orderHistory[status],$D$11,0)*MATCH(orderHistory[order_type],$D$13,0)),MATCH(ROW(orderHistory[customer]),ROW(orderHistory[customer])),""),ROWS($A$15:A43)+$B$3)),INDEX(orderHistory[paye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payed],SMALL(IF(ISNUMBER(MATCH(orderHistory[customer],$D$9,0)),MATCH(ROW(orderHistory[customer]),ROW(orderHistory[customer])),""),ROWS($A$15:A43)+$B$3)),INDEX(orderHistory[payed],SMALL(IF(ISNUMBER(MATCH(orderHistory[customer],$D$9,0)*MATCH(YEAR(orderHistory[invoice_date]),$D$15,0)),MATCH(ROW(orderHistory[customer]),ROW(orderHistory[customer])),""),ROWS($A$15:A43)+$B$3))),IF($D$15="",INDEX(orderHistory[payed],SMALL(IF(ISNUMBER(MATCH(orderHistory[customer],$D$9,0)*MATCH(orderHistory[order_type],$D$13,0)),MATCH(ROW(orderHistory[customer]),ROW(orderHistory[customer])),""),ROWS($A$15:A43)+$B$3)),INDEX(orderHistory[paye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YEAR(orderHistory[payed]),$D$15,0)),MATCH(ROW(orderHistory[customer]),ROW(orderHistory[customer])),""),ROWS($A$15:A43)+$B$3))),IF($D$15="",INDEX(orderHistory[payed],SMALL(IF(ISNUMBER(MATCH(orderHistory[customer],$D$9,0)*MATCH(orderHistory[status],$D$11,0)*MATCH(orderHistory[order_type],$D$13,0)),MATCH(ROW(orderHistory[customer]),ROW(orderHistory[customer])),""),ROWS($A$15:A43)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U38" s="454" t="str">
        <f t="array" ref="U38">IFERROR(IF($D$9="",IF($D$11="",IF($D$13="",IF($D$15="",INDEX(orderHistory[shipping_method],SMALL(MATCH(ROW(orderHistory[customer]),ROW(orderHistory[customer])),ROWS($A$15:A43)+$B$3)),INDEX(orderHistory[shipping_method],SMALL(IF(ISNUMBER(MATCH(YEAR(orderHistory[invoice_date]),$D$15,0)),MATCH(ROW(orderHistory[customer]),ROW(orderHistory[customer])),""),ROWS($A$15:A43)+$B$3))),IF($D$15="",INDEX(orderHistory[shipping_method],SMALL(IF(ISNUMBER(MATCH(orderHistory[order_type],$D$13,0)),MATCH(ROW(orderHistory[customer]),ROW(orderHistory[customer])),""),ROWS($A$15:A43)+$B$3)),INDEX(orderHistory[shipping_method],SMALL(IF(ISNUMBER(MATCH(orderHistory[order_type],$D$13,0)*MATCH(YEAR(orderHistory[invoice_date]),$D$15,0)),MATCH(ROW(orderHistory[customer]),ROW(orderHistory[customer])),""),ROWS($A$15:A43)+$B$3)))),IF($D$13="",IF($D$15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YEAR(orderHistory[invoice_date]),$D$15,0)),MATCH(ROW(orderHistory[customer]),ROW(orderHistory[customer])),""),ROWS($A$15:A43)+$B$3))),IF($D$15="",INDEX(orderHistory[shipping_method],SMALL(IF(ISNUMBER(MATCH(orderHistory[status],$D$11,0)*MATCH(orderHistory[order_type],$D$13,0)),MATCH(ROW(orderHistory[customer]),ROW(orderHistory[customer])),""),ROWS($A$15:A43)+$B$3)),INDEX(orderHistory[shipping_metho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YEAR(orderHistory[invoice_date]),$D$15,0)),MATCH(ROW(orderHistory[customer]),ROW(orderHistory[customer])),""),ROWS($A$15:A43)+$B$3))),IF($D$15="",INDEX(orderHistory[shipping_method],SMALL(IF(ISNUMBER(MATCH(orderHistory[customer],$D$9,0)*MATCH(orderHistory[order_type],$D$13,0)),MATCH(ROW(orderHistory[customer]),ROW(orderHistory[customer])),""),ROWS($A$15:A43)+$B$3)),INDEX(orderHistory[shipping_metho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YEAR(orderHistory[shipping_method]),$D$15,0)),MATCH(ROW(orderHistory[customer]),ROW(orderHistory[customer])),""),ROWS($A$15:A43)+$B$3))),IF($D$15="",INDEX(orderHistory[shipping_method],SMALL(IF(ISNUMBER(MATCH(orderHistory[customer],$D$9,0)*MATCH(orderHistory[status],$D$11,0)*MATCH(orderHistory[order_type],$D$13,0)),MATCH(ROW(orderHistory[customer]),ROW(orderHistory[customer])),""),ROWS($A$15:A43)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V38" s="460" t="str">
        <f t="array" ref="V38">IFERROR(IF($D$9="",IF($D$11="",IF($D$13="",IF($D$15="",INDEX(orderHistory[status],SMALL(MATCH(ROW(orderHistory[customer]),ROW(orderHistory[customer])),ROWS($A$15:A43)+$B$3)),INDEX(orderHistory[status],SMALL(IF(ISNUMBER(MATCH(YEAR(orderHistory[invoice_date]),$D$15,0)),MATCH(ROW(orderHistory[customer]),ROW(orderHistory[customer])),""),ROWS($A$15:A43)+$B$3))),IF($D$15="",INDEX(orderHistory[status],SMALL(IF(ISNUMBER(MATCH(orderHistory[order_type],$D$13,0)),MATCH(ROW(orderHistory[customer]),ROW(orderHistory[customer])),""),ROWS($A$15:A43)+$B$3)),INDEX(orderHistory[status],SMALL(IF(ISNUMBER(MATCH(orderHistory[order_type],$D$13,0)*MATCH(YEAR(orderHistory[invoice_date]),$D$15,0)),MATCH(ROW(orderHistory[customer]),ROW(orderHistory[customer])),""),ROWS($A$15:A43)+$B$3)))),IF($D$13="",IF($D$15="",INDEX(orderHistory[status],SMALL(IF(ISNUMBER(MATCH(orderHistory[status],$D$11,0)),MATCH(ROW(orderHistory[customer]),ROW(orderHistory[customer])),""),ROWS($A$15:A43)+$B$3)),INDEX(orderHistory[status],SMALL(IF(ISNUMBER(MATCH(orderHistory[status],$D$11,0)*MATCH(YEAR(orderHistory[invoice_date]),$D$15,0)),MATCH(ROW(orderHistory[customer]),ROW(orderHistory[customer])),""),ROWS($A$15:A43)+$B$3))),IF($D$15="",INDEX(orderHistory[status],SMALL(IF(ISNUMBER(MATCH(orderHistory[status],$D$11,0)*MATCH(orderHistory[order_type],$D$13,0)),MATCH(ROW(orderHistory[customer]),ROW(orderHistory[customer])),""),ROWS($A$15:A43)+$B$3)),INDEX(orderHistory[statu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tatus],SMALL(IF(ISNUMBER(MATCH(orderHistory[customer],$D$9,0)),MATCH(ROW(orderHistory[customer]),ROW(orderHistory[customer])),""),ROWS($A$15:A43)+$B$3)),INDEX(orderHistory[status],SMALL(IF(ISNUMBER(MATCH(orderHistory[customer],$D$9,0)*MATCH(YEAR(orderHistory[invoice_date]),$D$15,0)),MATCH(ROW(orderHistory[customer]),ROW(orderHistory[customer])),""),ROWS($A$15:A43)+$B$3))),IF($D$15="",INDEX(orderHistory[status],SMALL(IF(ISNUMBER(MATCH(orderHistory[customer],$D$9,0)*MATCH(orderHistory[order_type],$D$13,0)),MATCH(ROW(orderHistory[customer]),ROW(orderHistory[customer])),""),ROWS($A$15:A43)+$B$3)),INDEX(orderHistory[statu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YEAR(orderHistory[status]),$D$15,0)),MATCH(ROW(orderHistory[customer]),ROW(orderHistory[customer])),""),ROWS($A$15:A43)+$B$3))),IF($D$15="",INDEX(orderHistory[status],SMALL(IF(ISNUMBER(MATCH(orderHistory[customer],$D$9,0)*MATCH(orderHistory[status],$D$11,0)*MATCH(orderHistory[order_type],$D$13,0)),MATCH(ROW(orderHistory[customer]),ROW(orderHistory[customer])),""),ROWS($A$15:A43)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W38" s="75"/>
      <c r="AQ38" s="378"/>
      <c r="AR38" s="862"/>
      <c r="AS38" s="863"/>
      <c r="AT38" s="864"/>
      <c r="AU38" s="339"/>
      <c r="AW38" s="376"/>
      <c r="BJ38" s="339"/>
      <c r="BK38" s="366"/>
      <c r="BL38" s="367"/>
      <c r="BM38" s="368"/>
      <c r="BN38" s="367"/>
      <c r="BO38" s="368"/>
      <c r="BZ38" s="476"/>
      <c r="CA38" s="477" t="str">
        <f>IF(BZ38="","",INDEX(bhpc_data[description],MATCH(BZ38,bhpc_data[sku],0)))</f>
        <v/>
      </c>
      <c r="CB38" s="480"/>
      <c r="CC38" s="479"/>
      <c r="CD38" s="493"/>
      <c r="CE38" s="481"/>
      <c r="CF38" s="482"/>
      <c r="CG38" s="483" t="str">
        <f>IFERROR(ROUNDUP(CB38/INDEX(bhpc_data[units_per_carton],MATCH(BZ38,bhpc_data[sku],0)),0),"")</f>
        <v/>
      </c>
      <c r="CH38" s="484" t="str">
        <f>IFERROR(ROUNDUP(CD38/INDEX(bhpc_data[units_per_carton],MATCH(BZ38,bhpc_data[sku],0)),0),"")</f>
        <v/>
      </c>
      <c r="CI38" s="484" t="str">
        <f>IFERROR(ROUNDUP(CF38/INDEX(bhpc_data[units_per_carton],MATCH(BZ38,bhpc_data[sku])),0),"")</f>
        <v/>
      </c>
      <c r="CJ38" s="484" t="str">
        <f>IFERROR(((CB38+CD38+CF38)/INDEX(bhpc_data[units_per_carton],MATCH(BZ38,bhpc_data[sku],0)))*INDEX(bhpc_data[net_weight],MATCH(BZ38,bhpc_data[sku],0)),"")</f>
        <v/>
      </c>
      <c r="CK38" s="484" t="str">
        <f>IFERROR(((CB38+CD38+CF38)/INDEX(bhpc_data[units_per_carton],MATCH(BZ38,bhpc_data[sku],0)))*INDEX(bhpc_data[gross_weight],MATCH(BZ38,bhpc_data[sku],0)),"")</f>
        <v/>
      </c>
      <c r="CL38" s="485" t="str">
        <f>IFERROR((CB38+CD38+CF38)/INDEX(bhpc_data[units_per_carton],MATCH(BZ38,bhpc_data[sku],0))*INDEX(bhpc_data[lenght],MATCH(BZ38,bhpc_data[sku],0))*INDEX(bhpc_data[width],MATCH(BZ38,bhpc_data[sku],0))*INDEX(bhpc_data[height],MATCH(BZ38,bhpc_data[sku],0))/1000000000,"")</f>
        <v/>
      </c>
      <c r="CM38" s="486" t="str">
        <f>IFERROR(INDEX(bhpc_data[category],MATCH(BZ38,bhpc_data[sku],0)),"")</f>
        <v/>
      </c>
      <c r="CN38" s="486" t="str">
        <f>IFERROR(INDEX(bhpc_data[size1],MATCH(BZ38,bhpc_data[sku],0)),"")</f>
        <v/>
      </c>
      <c r="CO38" s="487" t="str">
        <f>IFERROR(INDEX(bhpc_data[hs_code],MATCH(BZ38,bhpc_data[sku],0)),"")</f>
        <v/>
      </c>
      <c r="CP38" s="482"/>
      <c r="CQ38" s="488" t="str">
        <f>IFERROR(IF(BZ38="","",IF($BX$15="SALE",INDEX(inventory[COSTO UNITARIO],MATCH(BZ38,inventory[ARTICOLO],0)),IF($BX$15="SAMPLING",INDEX(inventory[COSTO UNITARIO],MATCH(BZ38,inventory[ARTICOLO],0)),""))),"")</f>
        <v/>
      </c>
      <c r="CR38" s="488" t="str">
        <f t="shared" si="0"/>
        <v/>
      </c>
      <c r="CS38" s="489" t="str">
        <f t="shared" si="1"/>
        <v/>
      </c>
      <c r="CT38" s="573" t="str">
        <f t="shared" si="2"/>
        <v/>
      </c>
      <c r="CU38" s="421"/>
      <c r="CV38" s="421"/>
      <c r="CW38" s="441"/>
      <c r="CX38" s="421"/>
      <c r="DA38" s="350" t="str">
        <f>IFERROR(VLOOKUP(BZ38,bhpc_data[],22,FALSE),"")</f>
        <v/>
      </c>
      <c r="DH38" s="245"/>
      <c r="EE38" s="547" t="str" cm="1">
        <f t="array" ref="EE38">IFERROR(IF($EC$9="",IF($EC$11="",IF($EC$13="",INDEX(bhpc_data[sku],SMALL(MATCH(ROW(bhpc_data[sku]),ROW(bhpc_data[sku])),ROWS($A$15:A43)+$B$3)),INDEX(bhpc_data[sku],SMALL(IF(ISNUMBER(MATCH(bhpc_data[size1],$EC$13,0)),MATCH(ROW(bhpc_data[sku]),ROW(bhpc_data[sku])),""),ROWS($A$15:A43)+$B$3))),IF($EC$13="",INDEX(bhpc_data[sku],SMALL(IF(ISNUMBER(MATCH(bhpc_data[sex],$EC$11,0)),MATCH(ROW(bhpc_data[sku]),ROW(bhpc_data[sku])),""),ROWS($A$15:A43)+$B$3)),INDEX(bhpc_data[sku],SMALL(IF(ISNUMBER(MATCH(bhpc_data[sex],$EC$11,0)*MATCH(bhpc_data[size1],$EC$13,0)),MATCH(ROW(bhpc_data[sku]),ROW(bhpc_data[sku])),""),ROWS($A$15:A43)+$B$3)))),IF($EC$11="",IF($EC$13="",INDEX(bhpc_data[sku],SMALL(IF(ISNUMBER(MATCH(bhpc_data[category],$EC$9,0)),MATCH(ROW(bhpc_data[sku]),ROW(bhpc_data[sku])),""),ROWS($A$15:A43)+$B$3)),INDEX(bhpc_data[sku],SMALL(IF(ISNUMBER(MATCH(bhpc_data[category],$EC$9,0)*MATCH(bhpc_data[size1],$EC$13,0)),MATCH(ROW(bhpc_data[sku]),ROW(bhpc_data[sku])),""),ROWS($A$15:A43)+$B$3))),IF($EC$13="",INDEX(bhpc_data[sku],SMALL(IF(ISNUMBER(MATCH(bhpc_data[category],$EC$9,0)*MATCH(bhpc_data[sex],$EC$11,0)),MATCH(ROW(bhpc_data[sku]),ROW(bhpc_data[sku])),""),ROWS($A$15:A43)+$B$3)),INDEX(bhpc_data[sku],SMALL(IF(ISNUMBER(MATCH(bhpc_data[category],$EC$9,0)*MATCH(bhpc_data[sex],$EC$11,0)*MATCH(bhpc_data[size1],$EC$13,0)),MATCH(ROW(bhpc_data[sku]),ROW(bhpc_data[sku])),""),ROWS($A$15:A43)+$B$3))))),"")</f>
        <v>GSTM29</v>
      </c>
      <c r="EF38" s="548" t="str" cm="1">
        <f t="array" ref="EF38">IFERROR(IF($EC$9="",IF($EC$11="",IF($EC$13="",INDEX(bhpc_data[description],SMALL(MATCH(ROW(bhpc_data[sku]),ROW(bhpc_data[sku])),ROWS($A$15:A43)+$B$3)),INDEX(bhpc_data[description],SMALL(IF(ISNUMBER(MATCH(bhpc_data[size1],$EC$13,0)),MATCH(ROW(bhpc_data[sku]),ROW(bhpc_data[sku])),""),ROWS($A$15:A43)+$B$3))),IF($EC$13="",INDEX(bhpc_data[description],SMALL(IF(ISNUMBER(MATCH(bhpc_data[sex],$EC$11,0)),MATCH(ROW(bhpc_data[sku]),ROW(bhpc_data[sku])),""),ROWS($A$15:A43)+$B$3)),INDEX(bhpc_data[description],SMALL(IF(ISNUMBER(MATCH(bhpc_data[sex],$EC$11,0)*MATCH(bhpc_data[size1],$EC$13,0)),MATCH(ROW(bhpc_data[sku]),ROW(bhpc_data[sku])),""),ROWS($A$15:A43)+$B$3)))),IF($EC$11="",IF($EC$13="",INDEX(bhpc_data[description],SMALL(IF(ISNUMBER(MATCH(bhpc_data[category],$EC$9,0)),MATCH(ROW(bhpc_data[sku]),ROW(bhpc_data[sku])),""),ROWS($A$15:A43)+$B$3)),INDEX(bhpc_data[description],SMALL(IF(ISNUMBER(MATCH(bhpc_data[category],$EC$9,0)*MATCH(bhpc_data[size1],$EC$13,0)),MATCH(ROW(bhpc_data[sku]),ROW(bhpc_data[sku])),""),ROWS($A$15:A43)+$B$3))),IF($EC$13="",INDEX(bhpc_data[description],SMALL(IF(ISNUMBER(MATCH(bhpc_data[category],$EC$9,0)*MATCH(bhpc_data[sex],$EC$11,0)),MATCH(ROW(bhpc_data[sku]),ROW(bhpc_data[sku])),""),ROWS($A$15:A43)+$B$3)),INDEX(bhpc_data[description],SMALL(IF(ISNUMBER(MATCH(bhpc_data[category],$EC$9,0)*MATCH(bhpc_data[sex],$EC$11,0)*MATCH(bhpc_data[size1],$EC$13,0)),MATCH(ROW(bhpc_data[sku]),ROW(bhpc_data[sku])),""),ROWS($A$15:A43)+$B$3))))),"")</f>
        <v>BHPC TWINPACK SPORTS MEN DEO #2 #9 175ML</v>
      </c>
      <c r="EG38" s="549">
        <f>IFERROR(IF('BHPC MANAGER'!$EE38="","",INDEX(inventory[ESISTENZA],MATCH('BHPC MANAGER'!$EE38,inventory[ARTICOLO],0))),0)</f>
        <v>0</v>
      </c>
      <c r="EH38" s="550" t="s">
        <v>914</v>
      </c>
      <c r="EI38" s="550">
        <f t="shared" si="3"/>
        <v>0</v>
      </c>
      <c r="EJ38" s="551" t="s">
        <v>914</v>
      </c>
      <c r="EK38" s="552">
        <f t="shared" si="4"/>
        <v>0</v>
      </c>
      <c r="FF38" s="331"/>
      <c r="FG38" s="331"/>
      <c r="FH38" s="331"/>
      <c r="FI38" s="331"/>
      <c r="FJ38" s="331"/>
      <c r="FK38" s="331"/>
      <c r="FL38" s="331"/>
      <c r="FM38" s="331"/>
      <c r="FN38" s="331"/>
      <c r="FO38" s="331"/>
      <c r="FP38" s="331"/>
      <c r="FQ38" s="331"/>
      <c r="FR38" s="331"/>
      <c r="FS38" s="331"/>
      <c r="FT38" s="331"/>
      <c r="FU38" s="331"/>
      <c r="FV38" s="331"/>
      <c r="FW38" s="331"/>
      <c r="FX38" s="331"/>
      <c r="FY38" s="331"/>
      <c r="FZ38" s="331"/>
      <c r="GA38" s="331"/>
      <c r="GB38" s="331"/>
      <c r="GC38" s="331"/>
      <c r="GD38" s="331"/>
      <c r="GE38" s="331"/>
      <c r="GF38" s="331"/>
      <c r="GG38" s="331"/>
      <c r="GH38" s="331"/>
      <c r="GI38" s="331"/>
      <c r="GJ38" s="331"/>
      <c r="GK38" s="331"/>
      <c r="GL38" s="331"/>
      <c r="GM38" s="331"/>
      <c r="GN38" s="331"/>
      <c r="GO38" s="331"/>
      <c r="GP38" s="331"/>
      <c r="GQ38" s="331"/>
      <c r="GR38" s="331"/>
      <c r="GS38" s="331"/>
      <c r="GT38" s="331"/>
      <c r="GU38" s="331"/>
      <c r="GV38" s="331"/>
      <c r="GW38" s="331"/>
      <c r="GX38" s="331"/>
      <c r="GY38" s="331"/>
      <c r="GZ38" s="331"/>
      <c r="HA38" s="331"/>
      <c r="HB38" s="331"/>
      <c r="HC38" s="331"/>
      <c r="HD38" s="331"/>
      <c r="HE38" s="331"/>
      <c r="HF38" s="331"/>
      <c r="HG38" s="331"/>
      <c r="HH38" s="331"/>
      <c r="HI38" s="331"/>
      <c r="HJ38" s="331"/>
      <c r="HK38" s="331"/>
      <c r="HL38" s="331"/>
      <c r="HM38" s="331"/>
      <c r="HN38" s="331"/>
      <c r="HO38" s="331"/>
      <c r="HP38" s="331"/>
      <c r="HQ38" s="331"/>
      <c r="HR38" s="331"/>
      <c r="HS38" s="331"/>
      <c r="HT38" s="331"/>
    </row>
    <row r="39" spans="6:228" ht="15" customHeight="1" x14ac:dyDescent="0.35">
      <c r="F39" s="96"/>
      <c r="G39" s="850"/>
      <c r="H39" s="851"/>
      <c r="I39" s="852"/>
      <c r="J39" s="82"/>
      <c r="L39" s="452" t="str">
        <f t="array" ref="L39">IFERROR(IF($D$9="",IF($D$11="",IF($D$13="",IF($D$15="",INDEX(orderHistory[customer],SMALL(MATCH(ROW(orderHistory[customer]),ROW(orderHistory[customer])),ROWS($A$15:A44)+$B$3)),INDEX(orderHistory[customer],SMALL(IF(ISNUMBER(MATCH(YEAR(orderHistory[invoice_date]),$D$15,0)),MATCH(ROW(orderHistory[customer]),ROW(orderHistory[customer])),""),ROWS($A$15:A44)+$B$3))),IF($D$15="",INDEX(orderHistory[customer],SMALL(IF(ISNUMBER(MATCH(orderHistory[order_type],$D$13,0)),MATCH(ROW(orderHistory[customer]),ROW(orderHistory[customer])),""),ROWS($A$15:A44)+$B$3)),INDEX(orderHistory[customer],SMALL(IF(ISNUMBER(MATCH(orderHistory[order_type],$D$13,0)*MATCH(YEAR(orderHistory[invoice_date]),$D$15,0)),MATCH(ROW(orderHistory[customer]),ROW(orderHistory[customer])),""),ROWS($A$15:A44)+$B$3)))),IF($D$13="",IF($D$15="",INDEX(orderHistory[customer],SMALL(IF(ISNUMBER(MATCH(orderHistory[status],$D$11,0)),MATCH(ROW(orderHistory[customer]),ROW(orderHistory[customer])),""),ROWS($A$15:A44)+$B$3)),INDEX(orderHistory[customer],SMALL(IF(ISNUMBER(MATCH(orderHistory[status],$D$11,0)*MATCH(YEAR(orderHistory[invoice_date]),$D$15,0)),MATCH(ROW(orderHistory[customer]),ROW(orderHistory[customer])),""),ROWS($A$15:A44)+$B$3))),IF($D$15="",INDEX(orderHistory[customer],SMALL(IF(ISNUMBER(MATCH(orderHistory[status],$D$11,0)*MATCH(orderHistory[order_type],$D$13,0)),MATCH(ROW(orderHistory[customer]),ROW(orderHistory[customer])),""),ROWS($A$15:A44)+$B$3)),INDEX(orderHistory[customer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customer],SMALL(IF(ISNUMBER(MATCH(orderHistory[customer],$D$9,0)),MATCH(ROW(orderHistory[customer]),ROW(orderHistory[customer])),""),ROWS($A$15:A44)+$B$3)),INDEX(orderHistory[customer],SMALL(IF(ISNUMBER(MATCH(orderHistory[customer],$D$9,0)*MATCH(YEAR(orderHistory[invoice_date]),$D$15,0)),MATCH(ROW(orderHistory[customer]),ROW(orderHistory[customer])),""),ROWS($A$15:A44)+$B$3))),IF($D$15="",INDEX(orderHistory[customer],SMALL(IF(ISNUMBER(MATCH(orderHistory[customer],$D$9,0)*MATCH(orderHistory[order_type],$D$13,0)),MATCH(ROW(orderHistory[customer]),ROW(orderHistory[customer])),""),ROWS($A$15:A44)+$B$3)),INDEX(orderHistory[customer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YEAR(orderHistory[invoice_date]),$D$15,0)),MATCH(ROW(orderHistory[customer]),ROW(orderHistory[customer])),""),ROWS($A$15:A44)+$B$3))),IF($D$15="",INDEX(orderHistory[customer],SMALL(IF(ISNUMBER(MATCH(orderHistory[customer],$D$9,0)*MATCH(orderHistory[status],$D$11,0)*MATCH(orderHistory[order_type],$D$13,0)),MATCH(ROW(orderHistory[customer]),ROW(orderHistory[customer])),""),ROWS($A$15:A44)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M39" s="453" t="str">
        <f t="array" ref="M39">IFERROR(IF($D$9="",IF($D$11="",IF($D$13="",IF($D$15="",INDEX(orderHistory[order_no],SMALL(MATCH(ROW(orderHistory[customer]),ROW(orderHistory[customer])),ROWS($A$15:A44)+$B$3)),INDEX(orderHistory[order_no],SMALL(IF(ISNUMBER(MATCH(YEAR(orderHistory[invoice_date]),$D$15,0)),MATCH(ROW(orderHistory[customer]),ROW(orderHistory[customer])),""),ROWS($A$15:A44)+$B$3))),IF($D$15="",INDEX(orderHistory[order_no],SMALL(IF(ISNUMBER(MATCH(orderHistory[order_type],$D$13,0)),MATCH(ROW(orderHistory[customer]),ROW(orderHistory[customer])),""),ROWS($A$15:A44)+$B$3)),INDEX(orderHistory[order_no],SMALL(IF(ISNUMBER(MATCH(orderHistory[order_type],$D$13,0)*MATCH(YEAR(orderHistory[invoice_date]),$D$15,0)),MATCH(ROW(orderHistory[customer]),ROW(orderHistory[customer])),""),ROWS($A$15:A44)+$B$3)))),IF($D$13="",IF($D$15="",INDEX(orderHistory[order_no],SMALL(IF(ISNUMBER(MATCH(orderHistory[status],$D$11,0)),MATCH(ROW(orderHistory[customer]),ROW(orderHistory[customer])),""),ROWS($A$15:A44)+$B$3)),INDEX(orderHistory[order_no],SMALL(IF(ISNUMBER(MATCH(orderHistory[status],$D$11,0)*MATCH(YEAR(orderHistory[invoice_date]),$D$15,0)),MATCH(ROW(orderHistory[customer]),ROW(orderHistory[customer])),""),ROWS($A$15:A44)+$B$3))),IF($D$15="",INDEX(orderHistory[order_no],SMALL(IF(ISNUMBER(MATCH(orderHistory[status],$D$11,0)*MATCH(orderHistory[order_type],$D$13,0)),MATCH(ROW(orderHistory[customer]),ROW(orderHistory[customer])),""),ROWS($A$15:A44)+$B$3)),INDEX(orderHistory[order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no],SMALL(IF(ISNUMBER(MATCH(orderHistory[customer],$D$9,0)),MATCH(ROW(orderHistory[customer]),ROW(orderHistory[customer])),""),ROWS($A$15:A44)+$B$3)),INDEX(orderHistory[order_no],SMALL(IF(ISNUMBER(MATCH(orderHistory[customer],$D$9,0)*MATCH(YEAR(orderHistory[invoice_date]),$D$15,0)),MATCH(ROW(orderHistory[customer]),ROW(orderHistory[customer])),""),ROWS($A$15:A44)+$B$3))),IF($D$15="",INDEX(orderHistory[order_no],SMALL(IF(ISNUMBER(MATCH(orderHistory[customer],$D$9,0)*MATCH(orderHistory[order_type],$D$13,0)),MATCH(ROW(orderHistory[customer]),ROW(orderHistory[customer])),""),ROWS($A$15:A44)+$B$3)),INDEX(orderHistory[order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YEAR(orderHistory[invoice_date]),$D$15,0)),MATCH(ROW(orderHistory[customer]),ROW(orderHistory[customer])),""),ROWS($A$15:A44)+$B$3))),IF($D$15="",INDEX(orderHistory[order_no],SMALL(IF(ISNUMBER(MATCH(orderHistory[customer],$D$9,0)*MATCH(orderHistory[status],$D$11,0)*MATCH(orderHistory[order_type],$D$13,0)),MATCH(ROW(orderHistory[customer]),ROW(orderHistory[customer])),""),ROWS($A$15:A44)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N39" s="454" t="str">
        <f t="array" ref="N39">IFERROR(IF($D$9="",IF($D$11="",IF($D$13="",IF($D$15="",INDEX(orderHistory[order_type],SMALL(MATCH(ROW(orderHistory[customer]),ROW(orderHistory[customer])),ROWS($A$15:A44)+$B$3)),INDEX(orderHistory[order_type],SMALL(IF(ISNUMBER(MATCH(YEAR(orderHistory[invoice_date]),$D$15,0)),MATCH(ROW(orderHistory[customer]),ROW(orderHistory[customer])),""),ROWS($A$15:A44)+$B$3))),IF($D$15="",INDEX(orderHistory[order_type],SMALL(IF(ISNUMBER(MATCH(orderHistory[order_type],$D$13,0)),MATCH(ROW(orderHistory[customer]),ROW(orderHistory[customer])),""),ROWS($A$15:A44)+$B$3)),INDEX(orderHistory[order_type],SMALL(IF(ISNUMBER(MATCH(orderHistory[order_type],$D$13,0)*MATCH(YEAR(orderHistory[invoice_date]),$D$15,0)),MATCH(ROW(orderHistory[customer]),ROW(orderHistory[customer])),""),ROWS($A$15:A44)+$B$3)))),IF($D$13="",IF($D$15="",INDEX(orderHistory[order_type],SMALL(IF(ISNUMBER(MATCH(orderHistory[status],$D$11,0)),MATCH(ROW(orderHistory[customer]),ROW(orderHistory[customer])),""),ROWS($A$15:A44)+$B$3)),INDEX(orderHistory[order_type],SMALL(IF(ISNUMBER(MATCH(orderHistory[status],$D$11,0)*MATCH(YEAR(orderHistory[invoice_date]),$D$15,0)),MATCH(ROW(orderHistory[customer]),ROW(orderHistory[customer])),""),ROWS($A$15:A44)+$B$3))),IF($D$15="",INDEX(orderHistory[order_type],SMALL(IF(ISNUMBER(MATCH(orderHistory[status],$D$11,0)*MATCH(orderHistory[order_type],$D$13,0)),MATCH(ROW(orderHistory[customer]),ROW(orderHistory[customer])),""),ROWS($A$15:A44)+$B$3)),INDEX(orderHistory[order_typ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type],SMALL(IF(ISNUMBER(MATCH(orderHistory[customer],$D$9,0)),MATCH(ROW(orderHistory[customer]),ROW(orderHistory[customer])),""),ROWS($A$15:A44)+$B$3)),INDEX(orderHistory[order_type],SMALL(IF(ISNUMBER(MATCH(orderHistory[customer],$D$9,0)*MATCH(YEAR(orderHistory[invoice_date]),$D$15,0)),MATCH(ROW(orderHistory[customer]),ROW(orderHistory[customer])),""),ROWS($A$15:A44)+$B$3))),IF($D$15="",INDEX(orderHistory[order_type],SMALL(IF(ISNUMBER(MATCH(orderHistory[customer],$D$9,0)*MATCH(orderHistory[order_type],$D$13,0)),MATCH(ROW(orderHistory[customer]),ROW(orderHistory[customer])),""),ROWS($A$15:A44)+$B$3)),INDEX(orderHistory[order_typ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YEAR(orderHistory[invoice_date]),$D$15,0)),MATCH(ROW(orderHistory[customer]),ROW(orderHistory[customer])),""),ROWS($A$15:A44)+$B$3))),IF($D$15="",INDEX(orderHistory[order_type],SMALL(IF(ISNUMBER(MATCH(orderHistory[customer],$D$9,0)*MATCH(orderHistory[status],$D$11,0)*MATCH(orderHistory[order_type],$D$13,0)),MATCH(ROW(orderHistory[customer]),ROW(orderHistory[customer])),""),ROWS($A$15:A44)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O39" s="455" t="str">
        <f t="array" ref="O39">IFERROR(IF($D$9="",IF($D$11="",IF($D$13="",IF($D$15="",INDEX(orderHistory[order_date],SMALL(MATCH(ROW(orderHistory[customer]),ROW(orderHistory[customer])),ROWS($A$15:A44)+$B$3)),INDEX(orderHistory[order_date],SMALL(IF(ISNUMBER(MATCH(YEAR(orderHistory[invoice_date]),$D$15,0)),MATCH(ROW(orderHistory[customer]),ROW(orderHistory[customer])),""),ROWS($A$15:A44)+$B$3))),IF($D$15="",INDEX(orderHistory[order_date],SMALL(IF(ISNUMBER(MATCH(orderHistory[order_type],$D$13,0)),MATCH(ROW(orderHistory[customer]),ROW(orderHistory[customer])),""),ROWS($A$15:A44)+$B$3)),INDEX(orderHistory[order_date],SMALL(IF(ISNUMBER(MATCH(orderHistory[order_type],$D$13,0)*MATCH(YEAR(orderHistory[invoice_date]),$D$15,0)),MATCH(ROW(orderHistory[customer]),ROW(orderHistory[customer])),""),ROWS($A$15:A44)+$B$3)))),IF($D$13="",IF($D$15="",INDEX(orderHistory[order_date],SMALL(IF(ISNUMBER(MATCH(orderHistory[status],$D$11,0)),MATCH(ROW(orderHistory[customer]),ROW(orderHistory[customer])),""),ROWS($A$15:A44)+$B$3)),INDEX(orderHistory[order_date],SMALL(IF(ISNUMBER(MATCH(orderHistory[status],$D$11,0)*MATCH(YEAR(orderHistory[invoice_date]),$D$15,0)),MATCH(ROW(orderHistory[customer]),ROW(orderHistory[customer])),""),ROWS($A$15:A44)+$B$3))),IF($D$15="",INDEX(orderHistory[order_date],SMALL(IF(ISNUMBER(MATCH(orderHistory[status],$D$11,0)*MATCH(orderHistory[order_type],$D$13,0)),MATCH(ROW(orderHistory[customer]),ROW(orderHistory[customer])),""),ROWS($A$15:A44)+$B$3)),INDEX(orderHistory[order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date],SMALL(IF(ISNUMBER(MATCH(orderHistory[customer],$D$9,0)),MATCH(ROW(orderHistory[customer]),ROW(orderHistory[customer])),""),ROWS($A$15:A44)+$B$3)),INDEX(orderHistory[order_date],SMALL(IF(ISNUMBER(MATCH(orderHistory[customer],$D$9,0)*MATCH(YEAR(orderHistory[invoice_date]),$D$15,0)),MATCH(ROW(orderHistory[customer]),ROW(orderHistory[customer])),""),ROWS($A$15:A44)+$B$3))),IF($D$15="",INDEX(orderHistory[order_date],SMALL(IF(ISNUMBER(MATCH(orderHistory[customer],$D$9,0)*MATCH(orderHistory[order_type],$D$13,0)),MATCH(ROW(orderHistory[customer]),ROW(orderHistory[customer])),""),ROWS($A$15:A44)+$B$3)),INDEX(orderHistory[order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YEAR(orderHistory[invoice_date]),$D$15,0)),MATCH(ROW(orderHistory[customer]),ROW(orderHistory[customer])),""),ROWS($A$15:A44)+$B$3))),IF($D$15="",INDEX(orderHistory[order_date],SMALL(IF(ISNUMBER(MATCH(orderHistory[customer],$D$9,0)*MATCH(orderHistory[status],$D$11,0)*MATCH(orderHistory[order_type],$D$13,0)),MATCH(ROW(orderHistory[customer]),ROW(orderHistory[customer])),""),ROWS($A$15:A44)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P39" s="456" t="str">
        <f t="array" ref="P39">IFERROR(IF($D$9="",IF($D$11="",IF($D$13="",IF($D$15="",INDEX(orderHistory[invoice_no],SMALL(MATCH(ROW(orderHistory[customer]),ROW(orderHistory[customer])),ROWS($A$15:A44)+$B$3)),INDEX(orderHistory[invoice_no],SMALL(IF(ISNUMBER(MATCH(YEAR(orderHistory[invoice_date]),$D$15,0)),MATCH(ROW(orderHistory[customer]),ROW(orderHistory[customer])),""),ROWS($A$15:A44)+$B$3))),IF($D$15="",INDEX(orderHistory[invoice_no],SMALL(IF(ISNUMBER(MATCH(orderHistory[order_type],$D$13,0)),MATCH(ROW(orderHistory[customer]),ROW(orderHistory[customer])),""),ROWS($A$15:A44)+$B$3)),INDEX(orderHistory[invoice_no],SMALL(IF(ISNUMBER(MATCH(orderHistory[order_type],$D$13,0)*MATCH(YEAR(orderHistory[invoice_date]),$D$15,0)),MATCH(ROW(orderHistory[customer]),ROW(orderHistory[customer])),""),ROWS($A$15:A44)+$B$3)))),IF($D$13="",IF($D$15="",INDEX(orderHistory[invoice_no],SMALL(IF(ISNUMBER(MATCH(orderHistory[status],$D$11,0)),MATCH(ROW(orderHistory[customer]),ROW(orderHistory[customer])),""),ROWS($A$15:A44)+$B$3)),INDEX(orderHistory[invoice_no],SMALL(IF(ISNUMBER(MATCH(orderHistory[status],$D$11,0)*MATCH(YEAR(orderHistory[invoice_date]),$D$15,0)),MATCH(ROW(orderHistory[customer]),ROW(orderHistory[customer])),""),ROWS($A$15:A44)+$B$3))),IF($D$15="",INDEX(orderHistory[invoice_no],SMALL(IF(ISNUMBER(MATCH(orderHistory[status],$D$11,0)*MATCH(orderHistory[order_type],$D$13,0)),MATCH(ROW(orderHistory[customer]),ROW(orderHistory[customer])),""),ROWS($A$15:A44)+$B$3)),INDEX(orderHistory[invoice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no],SMALL(IF(ISNUMBER(MATCH(orderHistory[customer],$D$9,0)),MATCH(ROW(orderHistory[customer]),ROW(orderHistory[customer])),""),ROWS($A$15:A44)+$B$3)),INDEX(orderHistory[invoice_no],SMALL(IF(ISNUMBER(MATCH(orderHistory[customer],$D$9,0)*MATCH(YEAR(orderHistory[invoice_date]),$D$15,0)),MATCH(ROW(orderHistory[customer]),ROW(orderHistory[customer])),""),ROWS($A$15:A44)+$B$3))),IF($D$15="",INDEX(orderHistory[invoice_no],SMALL(IF(ISNUMBER(MATCH(orderHistory[customer],$D$9,0)*MATCH(orderHistory[order_type],$D$13,0)),MATCH(ROW(orderHistory[customer]),ROW(orderHistory[customer])),""),ROWS($A$15:A44)+$B$3)),INDEX(orderHistory[invoice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YEAR(orderHistory[invoice_date]),$D$15,0)),MATCH(ROW(orderHistory[customer]),ROW(orderHistory[customer])),""),ROWS($A$15:A44)+$B$3))),IF($D$15="",INDEX(orderHistory[invoice_no],SMALL(IF(ISNUMBER(MATCH(orderHistory[customer],$D$9,0)*MATCH(orderHistory[status],$D$11,0)*MATCH(orderHistory[order_type],$D$13,0)),MATCH(ROW(orderHistory[customer]),ROW(orderHistory[customer])),""),ROWS($A$15:A44)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Q39" s="457" t="str">
        <f t="array" ref="Q39">IFERROR(IF($D$9="",IF($D$11="",IF($D$13="",IF($D$15="",INDEX(orderHistory[invoice_date],SMALL(MATCH(ROW(orderHistory[customer]),ROW(orderHistory[customer])),ROWS($A$15:A44)+$B$3)),INDEX(orderHistory[invoice_date],SMALL(IF(ISNUMBER(MATCH(YEAR(orderHistory[invoice_date]),$D$15,0)),MATCH(ROW(orderHistory[customer]),ROW(orderHistory[customer])),""),ROWS($A$15:A44)+$B$3))),IF($D$15="",INDEX(orderHistory[invoice_date],SMALL(IF(ISNUMBER(MATCH(orderHistory[order_type],$D$13,0)),MATCH(ROW(orderHistory[customer]),ROW(orderHistory[customer])),""),ROWS($A$15:A44)+$B$3)),INDEX(orderHistory[invoice_date],SMALL(IF(ISNUMBER(MATCH(orderHistory[order_type],$D$13,0)*MATCH(YEAR(orderHistory[invoice_date]),$D$15,0)),MATCH(ROW(orderHistory[customer]),ROW(orderHistory[customer])),""),ROWS($A$15:A44)+$B$3)))),IF($D$13="",IF($D$15="",INDEX(orderHistory[invoice_date],SMALL(IF(ISNUMBER(MATCH(orderHistory[status],$D$11,0)),MATCH(ROW(orderHistory[customer]),ROW(orderHistory[customer])),""),ROWS($A$15:A44)+$B$3)),INDEX(orderHistory[invoice_date],SMALL(IF(ISNUMBER(MATCH(orderHistory[status],$D$11,0)*MATCH(YEAR(orderHistory[invoice_date]),$D$15,0)),MATCH(ROW(orderHistory[customer]),ROW(orderHistory[customer])),""),ROWS($A$15:A44)+$B$3))),IF($D$15="",INDEX(orderHistory[invoice_date],SMALL(IF(ISNUMBER(MATCH(orderHistory[status],$D$11,0)*MATCH(orderHistory[order_type],$D$13,0)),MATCH(ROW(orderHistory[customer]),ROW(orderHistory[customer])),""),ROWS($A$15:A44)+$B$3)),INDEX(orderHistory[invoice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date],SMALL(IF(ISNUMBER(MATCH(orderHistory[customer],$D$9,0)),MATCH(ROW(orderHistory[customer]),ROW(orderHistory[customer])),""),ROWS($A$15:A44)+$B$3)),INDEX(orderHistory[invoice_date],SMALL(IF(ISNUMBER(MATCH(orderHistory[customer],$D$9,0)*MATCH(YEAR(orderHistory[invoice_date]),$D$15,0)),MATCH(ROW(orderHistory[customer]),ROW(orderHistory[customer])),""),ROWS($A$15:A44)+$B$3))),IF($D$15="",INDEX(orderHistory[invoice_date],SMALL(IF(ISNUMBER(MATCH(orderHistory[customer],$D$9,0)*MATCH(orderHistory[order_type],$D$13,0)),MATCH(ROW(orderHistory[customer]),ROW(orderHistory[customer])),""),ROWS($A$15:A44)+$B$3)),INDEX(orderHistory[invoice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YEAR(orderHistory[invoice_date]),$D$15,0)),MATCH(ROW(orderHistory[customer]),ROW(orderHistory[customer])),""),ROWS($A$15:A44)+$B$3))),IF($D$15="",INDEX(orderHistory[invoice_date],SMALL(IF(ISNUMBER(MATCH(orderHistory[customer],$D$9,0)*MATCH(orderHistory[status],$D$11,0)*MATCH(orderHistory[order_type],$D$13,0)),MATCH(ROW(orderHistory[customer]),ROW(orderHistory[customer])),""),ROWS($A$15:A44)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R39" s="458" t="str">
        <f t="array" ref="R39">IFERROR(IF($D$9="",IF($D$11="",IF($D$13="",IF($D$15="",INDEX(orderHistory[inv_amount],SMALL(MATCH(ROW(orderHistory[customer]),ROW(orderHistory[customer])),ROWS($A$15:A44)+$B$3)),INDEX(orderHistory[inv_amount],SMALL(IF(ISNUMBER(MATCH(YEAR(orderHistory[invoice_date]),$D$15,0)),MATCH(ROW(orderHistory[customer]),ROW(orderHistory[customer])),""),ROWS($A$15:A44)+$B$3))),IF($D$15="",INDEX(orderHistory[inv_amount],SMALL(IF(ISNUMBER(MATCH(orderHistory[order_type],$D$13,0)),MATCH(ROW(orderHistory[customer]),ROW(orderHistory[customer])),""),ROWS($A$15:A44)+$B$3)),INDEX(orderHistory[inv_amount],SMALL(IF(ISNUMBER(MATCH(orderHistory[order_type],$D$13,0)*MATCH(YEAR(orderHistory[invoice_date]),$D$15,0)),MATCH(ROW(orderHistory[customer]),ROW(orderHistory[customer])),""),ROWS($A$15:A44)+$B$3)))),IF($D$13="",IF($D$15="",INDEX(orderHistory[inv_amount],SMALL(IF(ISNUMBER(MATCH(orderHistory[status],$D$11,0)),MATCH(ROW(orderHistory[customer]),ROW(orderHistory[customer])),""),ROWS($A$15:A44)+$B$3)),INDEX(orderHistory[inv_amount],SMALL(IF(ISNUMBER(MATCH(orderHistory[status],$D$11,0)*MATCH(YEAR(orderHistory[invoice_date]),$D$15,0)),MATCH(ROW(orderHistory[customer]),ROW(orderHistory[customer])),""),ROWS($A$15:A44)+$B$3))),IF($D$15="",INDEX(orderHistory[inv_amount],SMALL(IF(ISNUMBER(MATCH(orderHistory[status],$D$11,0)*MATCH(orderHistory[order_type],$D$13,0)),MATCH(ROW(orderHistory[customer]),ROW(orderHistory[customer])),""),ROWS($A$15:A44)+$B$3)),INDEX(orderHistory[inv_amount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_amount],SMALL(IF(ISNUMBER(MATCH(orderHistory[customer],$D$9,0)),MATCH(ROW(orderHistory[customer]),ROW(orderHistory[customer])),""),ROWS($A$15:A44)+$B$3)),INDEX(orderHistory[inv_amount],SMALL(IF(ISNUMBER(MATCH(orderHistory[customer],$D$9,0)*MATCH(YEAR(orderHistory[invoice_date]),$D$15,0)),MATCH(ROW(orderHistory[customer]),ROW(orderHistory[customer])),""),ROWS($A$15:A44)+$B$3))),IF($D$15="",INDEX(orderHistory[inv_amount],SMALL(IF(ISNUMBER(MATCH(orderHistory[customer],$D$9,0)*MATCH(orderHistory[order_type],$D$13,0)),MATCH(ROW(orderHistory[customer]),ROW(orderHistory[customer])),""),ROWS($A$15:A44)+$B$3)),INDEX(orderHistory[inv_amount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YEAR(orderHistory[inv_amount]),$D$15,0)),MATCH(ROW(orderHistory[customer]),ROW(orderHistory[customer])),""),ROWS($A$15:A44)+$B$3))),IF($D$15="",INDEX(orderHistory[inv_amount],SMALL(IF(ISNUMBER(MATCH(orderHistory[customer],$D$9,0)*MATCH(orderHistory[status],$D$11,0)*MATCH(orderHistory[order_type],$D$13,0)),MATCH(ROW(orderHistory[customer]),ROW(orderHistory[customer])),""),ROWS($A$15:A44)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S39" s="569" t="str">
        <f t="array" ref="S39">IFERROR(IF($D$9="",IF($D$11="",IF($D$13="",IF($D$15="",INDEX(orderHistory[lock_goods],SMALL(MATCH(ROW(orderHistory[customer]),ROW(orderHistory[customer])),ROWS($A$15:A44)+$B$3)),INDEX(orderHistory[lock_goods],SMALL(IF(ISNUMBER(MATCH(YEAR(orderHistory[invoice_date]),$D$15,0)),MATCH(ROW(orderHistory[customer]),ROW(orderHistory[customer])),""),ROWS($A$15:A44)+$B$3))),IF($D$15="",INDEX(orderHistory[lock_goods],SMALL(IF(ISNUMBER(MATCH(orderHistory[order_type],$D$13,0)),MATCH(ROW(orderHistory[customer]),ROW(orderHistory[customer])),""),ROWS($A$15:A44)+$B$3)),INDEX(orderHistory[lock_goods],SMALL(IF(ISNUMBER(MATCH(orderHistory[order_type],$D$13,0)*MATCH(YEAR(orderHistory[invoice_date]),$D$15,0)),MATCH(ROW(orderHistory[customer]),ROW(orderHistory[customer])),""),ROWS($A$15:A44)+$B$3)))),IF($D$13="",IF($D$15="",INDEX(orderHistory[lock_goods],SMALL(IF(ISNUMBER(MATCH(orderHistory[status],$D$11,0)),MATCH(ROW(orderHistory[customer]),ROW(orderHistory[customer])),""),ROWS($A$15:A44)+$B$3)),INDEX(orderHistory[lock_goods],SMALL(IF(ISNUMBER(MATCH(orderHistory[status],$D$11,0)*MATCH(YEAR(orderHistory[invoice_date]),$D$15,0)),MATCH(ROW(orderHistory[customer]),ROW(orderHistory[customer])),""),ROWS($A$15:A44)+$B$3))),IF($D$15="",INDEX(orderHistory[lock_goods],SMALL(IF(ISNUMBER(MATCH(orderHistory[status],$D$11,0)*MATCH(orderHistory[order_type],$D$13,0)),MATCH(ROW(orderHistory[customer]),ROW(orderHistory[customer])),""),ROWS($A$15:A44)+$B$3)),INDEX(orderHistory[lock_good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lock_goods],SMALL(IF(ISNUMBER(MATCH(orderHistory[customer],$D$9,0)),MATCH(ROW(orderHistory[customer]),ROW(orderHistory[customer])),""),ROWS($A$15:A44)+$B$3)),INDEX(orderHistory[lock_goods],SMALL(IF(ISNUMBER(MATCH(orderHistory[customer],$D$9,0)*MATCH(YEAR(orderHistory[invoice_date]),$D$15,0)),MATCH(ROW(orderHistory[customer]),ROW(orderHistory[customer])),""),ROWS($A$15:A44)+$B$3))),IF($D$15="",INDEX(orderHistory[lock_goods],SMALL(IF(ISNUMBER(MATCH(orderHistory[customer],$D$9,0)*MATCH(orderHistory[order_type],$D$13,0)),MATCH(ROW(orderHistory[customer]),ROW(orderHistory[customer])),""),ROWS($A$15:A44)+$B$3)),INDEX(orderHistory[lock_good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lock_goods],SMALL(IF(ISNUMBER(MATCH(orderHistory[customer],$D$9,0)*MATCH(orderHistory[status],$D$11,0)),MATCH(ROW(orderHistory[customer]),ROW(orderHistory[customer])),""),ROWS($A$15:A44)+$B$3)),INDEX(orderHistory[lock_goods],SMALL(IF(ISNUMBER(MATCH(orderHistory[customer],$D$9,0)*MATCH(orderHistory[status],$D$11,0)*MATCH(YEAR(orderHistory[payed]),$D$15,0)),MATCH(ROW(orderHistory[customer]),ROW(orderHistory[customer])),""),ROWS($A$15:A44)+$B$3))),IF($D$15="",INDEX(orderHistory[lock_goods],SMALL(IF(ISNUMBER(MATCH(orderHistory[customer],$D$9,0)*MATCH(orderHistory[status],$D$11,0)*MATCH(orderHistory[order_type],$D$13,0)),MATCH(ROW(orderHistory[customer]),ROW(orderHistory[customer])),""),ROWS($A$15:A44)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T39" s="459" t="str">
        <f t="array" ref="T39">IFERROR(IF($D$9="",IF($D$11="",IF($D$13="",IF($D$15="",INDEX(orderHistory[payed],SMALL(MATCH(ROW(orderHistory[customer]),ROW(orderHistory[customer])),ROWS($A$15:A44)+$B$3)),INDEX(orderHistory[payed],SMALL(IF(ISNUMBER(MATCH(YEAR(orderHistory[invoice_date]),$D$15,0)),MATCH(ROW(orderHistory[customer]),ROW(orderHistory[customer])),""),ROWS($A$15:A44)+$B$3))),IF($D$15="",INDEX(orderHistory[payed],SMALL(IF(ISNUMBER(MATCH(orderHistory[order_type],$D$13,0)),MATCH(ROW(orderHistory[customer]),ROW(orderHistory[customer])),""),ROWS($A$15:A44)+$B$3)),INDEX(orderHistory[payed],SMALL(IF(ISNUMBER(MATCH(orderHistory[order_type],$D$13,0)*MATCH(YEAR(orderHistory[invoice_date]),$D$15,0)),MATCH(ROW(orderHistory[customer]),ROW(orderHistory[customer])),""),ROWS($A$15:A44)+$B$3)))),IF($D$13="",IF($D$15="",INDEX(orderHistory[payed],SMALL(IF(ISNUMBER(MATCH(orderHistory[status],$D$11,0)),MATCH(ROW(orderHistory[customer]),ROW(orderHistory[customer])),""),ROWS($A$15:A44)+$B$3)),INDEX(orderHistory[payed],SMALL(IF(ISNUMBER(MATCH(orderHistory[status],$D$11,0)*MATCH(YEAR(orderHistory[invoice_date]),$D$15,0)),MATCH(ROW(orderHistory[customer]),ROW(orderHistory[customer])),""),ROWS($A$15:A44)+$B$3))),IF($D$15="",INDEX(orderHistory[payed],SMALL(IF(ISNUMBER(MATCH(orderHistory[status],$D$11,0)*MATCH(orderHistory[order_type],$D$13,0)),MATCH(ROW(orderHistory[customer]),ROW(orderHistory[customer])),""),ROWS($A$15:A44)+$B$3)),INDEX(orderHistory[paye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payed],SMALL(IF(ISNUMBER(MATCH(orderHistory[customer],$D$9,0)),MATCH(ROW(orderHistory[customer]),ROW(orderHistory[customer])),""),ROWS($A$15:A44)+$B$3)),INDEX(orderHistory[payed],SMALL(IF(ISNUMBER(MATCH(orderHistory[customer],$D$9,0)*MATCH(YEAR(orderHistory[invoice_date]),$D$15,0)),MATCH(ROW(orderHistory[customer]),ROW(orderHistory[customer])),""),ROWS($A$15:A44)+$B$3))),IF($D$15="",INDEX(orderHistory[payed],SMALL(IF(ISNUMBER(MATCH(orderHistory[customer],$D$9,0)*MATCH(orderHistory[order_type],$D$13,0)),MATCH(ROW(orderHistory[customer]),ROW(orderHistory[customer])),""),ROWS($A$15:A44)+$B$3)),INDEX(orderHistory[paye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YEAR(orderHistory[payed]),$D$15,0)),MATCH(ROW(orderHistory[customer]),ROW(orderHistory[customer])),""),ROWS($A$15:A44)+$B$3))),IF($D$15="",INDEX(orderHistory[payed],SMALL(IF(ISNUMBER(MATCH(orderHistory[customer],$D$9,0)*MATCH(orderHistory[status],$D$11,0)*MATCH(orderHistory[order_type],$D$13,0)),MATCH(ROW(orderHistory[customer]),ROW(orderHistory[customer])),""),ROWS($A$15:A44)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U39" s="454" t="str">
        <f t="array" ref="U39">IFERROR(IF($D$9="",IF($D$11="",IF($D$13="",IF($D$15="",INDEX(orderHistory[shipping_method],SMALL(MATCH(ROW(orderHistory[customer]),ROW(orderHistory[customer])),ROWS($A$15:A44)+$B$3)),INDEX(orderHistory[shipping_method],SMALL(IF(ISNUMBER(MATCH(YEAR(orderHistory[invoice_date]),$D$15,0)),MATCH(ROW(orderHistory[customer]),ROW(orderHistory[customer])),""),ROWS($A$15:A44)+$B$3))),IF($D$15="",INDEX(orderHistory[shipping_method],SMALL(IF(ISNUMBER(MATCH(orderHistory[order_type],$D$13,0)),MATCH(ROW(orderHistory[customer]),ROW(orderHistory[customer])),""),ROWS($A$15:A44)+$B$3)),INDEX(orderHistory[shipping_method],SMALL(IF(ISNUMBER(MATCH(orderHistory[order_type],$D$13,0)*MATCH(YEAR(orderHistory[invoice_date]),$D$15,0)),MATCH(ROW(orderHistory[customer]),ROW(orderHistory[customer])),""),ROWS($A$15:A44)+$B$3)))),IF($D$13="",IF($D$15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YEAR(orderHistory[invoice_date]),$D$15,0)),MATCH(ROW(orderHistory[customer]),ROW(orderHistory[customer])),""),ROWS($A$15:A44)+$B$3))),IF($D$15="",INDEX(orderHistory[shipping_method],SMALL(IF(ISNUMBER(MATCH(orderHistory[status],$D$11,0)*MATCH(orderHistory[order_type],$D$13,0)),MATCH(ROW(orderHistory[customer]),ROW(orderHistory[customer])),""),ROWS($A$15:A44)+$B$3)),INDEX(orderHistory[shipping_metho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YEAR(orderHistory[invoice_date]),$D$15,0)),MATCH(ROW(orderHistory[customer]),ROW(orderHistory[customer])),""),ROWS($A$15:A44)+$B$3))),IF($D$15="",INDEX(orderHistory[shipping_method],SMALL(IF(ISNUMBER(MATCH(orderHistory[customer],$D$9,0)*MATCH(orderHistory[order_type],$D$13,0)),MATCH(ROW(orderHistory[customer]),ROW(orderHistory[customer])),""),ROWS($A$15:A44)+$B$3)),INDEX(orderHistory[shipping_metho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YEAR(orderHistory[shipping_method]),$D$15,0)),MATCH(ROW(orderHistory[customer]),ROW(orderHistory[customer])),""),ROWS($A$15:A44)+$B$3))),IF($D$15="",INDEX(orderHistory[shipping_method],SMALL(IF(ISNUMBER(MATCH(orderHistory[customer],$D$9,0)*MATCH(orderHistory[status],$D$11,0)*MATCH(orderHistory[order_type],$D$13,0)),MATCH(ROW(orderHistory[customer]),ROW(orderHistory[customer])),""),ROWS($A$15:A44)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V39" s="460" t="str">
        <f t="array" ref="V39">IFERROR(IF($D$9="",IF($D$11="",IF($D$13="",IF($D$15="",INDEX(orderHistory[status],SMALL(MATCH(ROW(orderHistory[customer]),ROW(orderHistory[customer])),ROWS($A$15:A44)+$B$3)),INDEX(orderHistory[status],SMALL(IF(ISNUMBER(MATCH(YEAR(orderHistory[invoice_date]),$D$15,0)),MATCH(ROW(orderHistory[customer]),ROW(orderHistory[customer])),""),ROWS($A$15:A44)+$B$3))),IF($D$15="",INDEX(orderHistory[status],SMALL(IF(ISNUMBER(MATCH(orderHistory[order_type],$D$13,0)),MATCH(ROW(orderHistory[customer]),ROW(orderHistory[customer])),""),ROWS($A$15:A44)+$B$3)),INDEX(orderHistory[status],SMALL(IF(ISNUMBER(MATCH(orderHistory[order_type],$D$13,0)*MATCH(YEAR(orderHistory[invoice_date]),$D$15,0)),MATCH(ROW(orderHistory[customer]),ROW(orderHistory[customer])),""),ROWS($A$15:A44)+$B$3)))),IF($D$13="",IF($D$15="",INDEX(orderHistory[status],SMALL(IF(ISNUMBER(MATCH(orderHistory[status],$D$11,0)),MATCH(ROW(orderHistory[customer]),ROW(orderHistory[customer])),""),ROWS($A$15:A44)+$B$3)),INDEX(orderHistory[status],SMALL(IF(ISNUMBER(MATCH(orderHistory[status],$D$11,0)*MATCH(YEAR(orderHistory[invoice_date]),$D$15,0)),MATCH(ROW(orderHistory[customer]),ROW(orderHistory[customer])),""),ROWS($A$15:A44)+$B$3))),IF($D$15="",INDEX(orderHistory[status],SMALL(IF(ISNUMBER(MATCH(orderHistory[status],$D$11,0)*MATCH(orderHistory[order_type],$D$13,0)),MATCH(ROW(orderHistory[customer]),ROW(orderHistory[customer])),""),ROWS($A$15:A44)+$B$3)),INDEX(orderHistory[statu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tatus],SMALL(IF(ISNUMBER(MATCH(orderHistory[customer],$D$9,0)),MATCH(ROW(orderHistory[customer]),ROW(orderHistory[customer])),""),ROWS($A$15:A44)+$B$3)),INDEX(orderHistory[status],SMALL(IF(ISNUMBER(MATCH(orderHistory[customer],$D$9,0)*MATCH(YEAR(orderHistory[invoice_date]),$D$15,0)),MATCH(ROW(orderHistory[customer]),ROW(orderHistory[customer])),""),ROWS($A$15:A44)+$B$3))),IF($D$15="",INDEX(orderHistory[status],SMALL(IF(ISNUMBER(MATCH(orderHistory[customer],$D$9,0)*MATCH(orderHistory[order_type],$D$13,0)),MATCH(ROW(orderHistory[customer]),ROW(orderHistory[customer])),""),ROWS($A$15:A44)+$B$3)),INDEX(orderHistory[statu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YEAR(orderHistory[status]),$D$15,0)),MATCH(ROW(orderHistory[customer]),ROW(orderHistory[customer])),""),ROWS($A$15:A44)+$B$3))),IF($D$15="",INDEX(orderHistory[status],SMALL(IF(ISNUMBER(MATCH(orderHistory[customer],$D$9,0)*MATCH(orderHistory[status],$D$11,0)*MATCH(orderHistory[order_type],$D$13,0)),MATCH(ROW(orderHistory[customer]),ROW(orderHistory[customer])),""),ROWS($A$15:A44)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W39" s="75"/>
      <c r="AQ39" s="378"/>
      <c r="AR39" s="429"/>
      <c r="AS39" s="421"/>
      <c r="AT39" s="430"/>
      <c r="AU39" s="339"/>
      <c r="AW39" s="376"/>
      <c r="BJ39" s="339"/>
      <c r="BK39" s="366"/>
      <c r="BL39" s="367"/>
      <c r="BM39" s="368"/>
      <c r="BN39" s="367"/>
      <c r="BO39" s="368"/>
      <c r="BZ39" s="495"/>
      <c r="CA39" s="477" t="str">
        <f>IF(BZ39="","",INDEX(bhpc_data[description],MATCH(BZ39,bhpc_data[sku],0)))</f>
        <v/>
      </c>
      <c r="CB39" s="480"/>
      <c r="CC39" s="479"/>
      <c r="CD39" s="494"/>
      <c r="CE39" s="481"/>
      <c r="CF39" s="482"/>
      <c r="CG39" s="483" t="str">
        <f>IFERROR(ROUNDUP(CB39/INDEX(bhpc_data[units_per_carton],MATCH(BZ39,bhpc_data[sku],0)),0),"")</f>
        <v/>
      </c>
      <c r="CH39" s="484" t="str">
        <f>IFERROR(ROUNDUP(CD39/INDEX(bhpc_data[units_per_carton],MATCH(BZ39,bhpc_data[sku],0)),0),"")</f>
        <v/>
      </c>
      <c r="CI39" s="484" t="str">
        <f>IFERROR(ROUNDUP(CF39/INDEX(bhpc_data[units_per_carton],MATCH(BZ39,bhpc_data[sku])),0),"")</f>
        <v/>
      </c>
      <c r="CJ39" s="484" t="str">
        <f>IFERROR(((CB39+CD39+CF39)/INDEX(bhpc_data[units_per_carton],MATCH(BZ39,bhpc_data[sku],0)))*INDEX(bhpc_data[net_weight],MATCH(BZ39,bhpc_data[sku],0)),"")</f>
        <v/>
      </c>
      <c r="CK39" s="484" t="str">
        <f>IFERROR(((CB39+CD39+CF39)/INDEX(bhpc_data[units_per_carton],MATCH(BZ39,bhpc_data[sku],0)))*INDEX(bhpc_data[gross_weight],MATCH(BZ39,bhpc_data[sku],0)),"")</f>
        <v/>
      </c>
      <c r="CL39" s="485" t="str">
        <f>IFERROR((CB39+CD39+CF39)/INDEX(bhpc_data[units_per_carton],MATCH(BZ39,bhpc_data[sku],0))*INDEX(bhpc_data[lenght],MATCH(BZ39,bhpc_data[sku],0))*INDEX(bhpc_data[width],MATCH(BZ39,bhpc_data[sku],0))*INDEX(bhpc_data[height],MATCH(BZ39,bhpc_data[sku],0))/1000000000,"")</f>
        <v/>
      </c>
      <c r="CM39" s="486" t="str">
        <f>IFERROR(INDEX(bhpc_data[category],MATCH(BZ39,bhpc_data[sku],0)),"")</f>
        <v/>
      </c>
      <c r="CN39" s="486" t="str">
        <f>IFERROR(INDEX(bhpc_data[size1],MATCH(BZ39,bhpc_data[sku],0)),"")</f>
        <v/>
      </c>
      <c r="CO39" s="487" t="str">
        <f>IFERROR(INDEX(bhpc_data[hs_code],MATCH(BZ39,bhpc_data[sku],0)),"")</f>
        <v/>
      </c>
      <c r="CP39" s="482"/>
      <c r="CQ39" s="492" t="str">
        <f>IFERROR(IF(BZ39="","",IF($BX$15="SALE",INDEX(inventory[COSTO UNITARIO],MATCH(BZ39,inventory[ARTICOLO],0)),IF($BX$15="SAMPLING",INDEX(inventory[COSTO UNITARIO],MATCH(BZ39,inventory[ARTICOLO],0)),""))),"")</f>
        <v/>
      </c>
      <c r="CR39" s="492" t="str">
        <f t="shared" si="0"/>
        <v/>
      </c>
      <c r="CS39" s="489" t="str">
        <f t="shared" si="1"/>
        <v/>
      </c>
      <c r="CT39" s="573" t="str">
        <f t="shared" si="2"/>
        <v/>
      </c>
      <c r="DA39" s="350" t="str">
        <f>IFERROR(VLOOKUP(BZ39,bhpc_data[],22,FALSE),"")</f>
        <v/>
      </c>
      <c r="DH39" s="245"/>
      <c r="EE39" s="541" t="str" cm="1">
        <f t="array" ref="EE39">IFERROR(IF($EC$9="",IF($EC$11="",IF($EC$13="",INDEX(bhpc_data[sku],SMALL(MATCH(ROW(bhpc_data[sku]),ROW(bhpc_data[sku])),ROWS($A$15:A44)+$B$3)),INDEX(bhpc_data[sku],SMALL(IF(ISNUMBER(MATCH(bhpc_data[size1],$EC$13,0)),MATCH(ROW(bhpc_data[sku]),ROW(bhpc_data[sku])),""),ROWS($A$15:A44)+$B$3))),IF($EC$13="",INDEX(bhpc_data[sku],SMALL(IF(ISNUMBER(MATCH(bhpc_data[sex],$EC$11,0)),MATCH(ROW(bhpc_data[sku]),ROW(bhpc_data[sku])),""),ROWS($A$15:A44)+$B$3)),INDEX(bhpc_data[sku],SMALL(IF(ISNUMBER(MATCH(bhpc_data[sex],$EC$11,0)*MATCH(bhpc_data[size1],$EC$13,0)),MATCH(ROW(bhpc_data[sku]),ROW(bhpc_data[sku])),""),ROWS($A$15:A44)+$B$3)))),IF($EC$11="",IF($EC$13="",INDEX(bhpc_data[sku],SMALL(IF(ISNUMBER(MATCH(bhpc_data[category],$EC$9,0)),MATCH(ROW(bhpc_data[sku]),ROW(bhpc_data[sku])),""),ROWS($A$15:A44)+$B$3)),INDEX(bhpc_data[sku],SMALL(IF(ISNUMBER(MATCH(bhpc_data[category],$EC$9,0)*MATCH(bhpc_data[size1],$EC$13,0)),MATCH(ROW(bhpc_data[sku]),ROW(bhpc_data[sku])),""),ROWS($A$15:A44)+$B$3))),IF($EC$13="",INDEX(bhpc_data[sku],SMALL(IF(ISNUMBER(MATCH(bhpc_data[category],$EC$9,0)*MATCH(bhpc_data[sex],$EC$11,0)),MATCH(ROW(bhpc_data[sku]),ROW(bhpc_data[sku])),""),ROWS($A$15:A44)+$B$3)),INDEX(bhpc_data[sku],SMALL(IF(ISNUMBER(MATCH(bhpc_data[category],$EC$9,0)*MATCH(bhpc_data[sex],$EC$11,0)*MATCH(bhpc_data[size1],$EC$13,0)),MATCH(ROW(bhpc_data[sku]),ROW(bhpc_data[sku])),""),ROWS($A$15:A44)+$B$3))))),"")</f>
        <v>GSTM89</v>
      </c>
      <c r="EF39" s="542" t="str" cm="1">
        <f t="array" ref="EF39">IFERROR(IF($EC$9="",IF($EC$11="",IF($EC$13="",INDEX(bhpc_data[description],SMALL(MATCH(ROW(bhpc_data[sku]),ROW(bhpc_data[sku])),ROWS($A$15:A44)+$B$3)),INDEX(bhpc_data[description],SMALL(IF(ISNUMBER(MATCH(bhpc_data[size1],$EC$13,0)),MATCH(ROW(bhpc_data[sku]),ROW(bhpc_data[sku])),""),ROWS($A$15:A44)+$B$3))),IF($EC$13="",INDEX(bhpc_data[description],SMALL(IF(ISNUMBER(MATCH(bhpc_data[sex],$EC$11,0)),MATCH(ROW(bhpc_data[sku]),ROW(bhpc_data[sku])),""),ROWS($A$15:A44)+$B$3)),INDEX(bhpc_data[description],SMALL(IF(ISNUMBER(MATCH(bhpc_data[sex],$EC$11,0)*MATCH(bhpc_data[size1],$EC$13,0)),MATCH(ROW(bhpc_data[sku]),ROW(bhpc_data[sku])),""),ROWS($A$15:A44)+$B$3)))),IF($EC$11="",IF($EC$13="",INDEX(bhpc_data[description],SMALL(IF(ISNUMBER(MATCH(bhpc_data[category],$EC$9,0)),MATCH(ROW(bhpc_data[sku]),ROW(bhpc_data[sku])),""),ROWS($A$15:A44)+$B$3)),INDEX(bhpc_data[description],SMALL(IF(ISNUMBER(MATCH(bhpc_data[category],$EC$9,0)*MATCH(bhpc_data[size1],$EC$13,0)),MATCH(ROW(bhpc_data[sku]),ROW(bhpc_data[sku])),""),ROWS($A$15:A44)+$B$3))),IF($EC$13="",INDEX(bhpc_data[description],SMALL(IF(ISNUMBER(MATCH(bhpc_data[category],$EC$9,0)*MATCH(bhpc_data[sex],$EC$11,0)),MATCH(ROW(bhpc_data[sku]),ROW(bhpc_data[sku])),""),ROWS($A$15:A44)+$B$3)),INDEX(bhpc_data[description],SMALL(IF(ISNUMBER(MATCH(bhpc_data[category],$EC$9,0)*MATCH(bhpc_data[sex],$EC$11,0)*MATCH(bhpc_data[size1],$EC$13,0)),MATCH(ROW(bhpc_data[sku]),ROW(bhpc_data[sku])),""),ROWS($A$15:A44)+$B$3))))),"")</f>
        <v>BHPC TWINPACK SPORTS MEN DEO #8 #9 175ML</v>
      </c>
      <c r="EG39" s="543">
        <f>IFERROR(IF('BHPC MANAGER'!$EE39="","",INDEX(inventory[ESISTENZA],MATCH('BHPC MANAGER'!$EE39,inventory[ARTICOLO],0))),0)</f>
        <v>0</v>
      </c>
      <c r="EH39" s="544" t="s">
        <v>914</v>
      </c>
      <c r="EI39" s="544">
        <f t="shared" si="3"/>
        <v>0</v>
      </c>
      <c r="EJ39" s="545" t="s">
        <v>914</v>
      </c>
      <c r="EK39" s="546">
        <f t="shared" si="4"/>
        <v>0</v>
      </c>
      <c r="FF39" s="331"/>
      <c r="FG39" s="331"/>
      <c r="FH39" s="331"/>
      <c r="FI39" s="331"/>
      <c r="FJ39" s="331"/>
      <c r="FK39" s="331"/>
      <c r="FL39" s="331"/>
      <c r="FM39" s="331"/>
      <c r="FN39" s="331"/>
      <c r="FO39" s="331"/>
      <c r="FP39" s="331"/>
      <c r="FQ39" s="331"/>
      <c r="FR39" s="331"/>
      <c r="FS39" s="331"/>
      <c r="FT39" s="331"/>
      <c r="FU39" s="331"/>
      <c r="FV39" s="331"/>
      <c r="FW39" s="331"/>
      <c r="FX39" s="331"/>
      <c r="FY39" s="331"/>
      <c r="FZ39" s="331"/>
      <c r="GA39" s="331"/>
      <c r="GB39" s="331"/>
      <c r="GC39" s="331"/>
      <c r="GD39" s="331"/>
      <c r="GE39" s="331"/>
      <c r="GF39" s="331"/>
      <c r="GG39" s="331"/>
      <c r="GH39" s="331"/>
      <c r="GI39" s="331"/>
      <c r="GJ39" s="331"/>
      <c r="GK39" s="331"/>
      <c r="GL39" s="331"/>
      <c r="GM39" s="331"/>
      <c r="GN39" s="331"/>
      <c r="GO39" s="331"/>
      <c r="GP39" s="331"/>
      <c r="GQ39" s="331"/>
      <c r="GR39" s="331"/>
      <c r="GS39" s="331"/>
      <c r="GT39" s="331"/>
      <c r="GU39" s="331"/>
      <c r="GV39" s="331"/>
      <c r="GW39" s="331"/>
      <c r="GX39" s="331"/>
      <c r="GY39" s="331"/>
      <c r="GZ39" s="331"/>
      <c r="HA39" s="331"/>
      <c r="HB39" s="331"/>
      <c r="HC39" s="331"/>
      <c r="HD39" s="331"/>
      <c r="HE39" s="331"/>
      <c r="HF39" s="331"/>
      <c r="HG39" s="331"/>
      <c r="HH39" s="331"/>
      <c r="HI39" s="331"/>
      <c r="HJ39" s="331"/>
      <c r="HK39" s="331"/>
      <c r="HL39" s="331"/>
      <c r="HM39" s="331"/>
      <c r="HN39" s="331"/>
      <c r="HO39" s="331"/>
      <c r="HP39" s="331"/>
      <c r="HQ39" s="331"/>
      <c r="HR39" s="331"/>
      <c r="HS39" s="331"/>
      <c r="HT39" s="331"/>
    </row>
    <row r="40" spans="6:228" ht="15" customHeight="1" thickBot="1" x14ac:dyDescent="0.4">
      <c r="F40" s="96"/>
      <c r="G40" s="850"/>
      <c r="H40" s="851"/>
      <c r="I40" s="852"/>
      <c r="J40" s="82"/>
      <c r="L40" s="452" t="str">
        <f t="array" ref="L40">IFERROR(IF($D$9="",IF($D$11="",IF($D$13="",IF($D$15="",INDEX(orderHistory[customer],SMALL(MATCH(ROW(orderHistory[customer]),ROW(orderHistory[customer])),ROWS($A$15:A45)+$B$3)),INDEX(orderHistory[customer],SMALL(IF(ISNUMBER(MATCH(YEAR(orderHistory[invoice_date]),$D$15,0)),MATCH(ROW(orderHistory[customer]),ROW(orderHistory[customer])),""),ROWS($A$15:A45)+$B$3))),IF($D$15="",INDEX(orderHistory[customer],SMALL(IF(ISNUMBER(MATCH(orderHistory[order_type],$D$13,0)),MATCH(ROW(orderHistory[customer]),ROW(orderHistory[customer])),""),ROWS($A$15:A45)+$B$3)),INDEX(orderHistory[customer],SMALL(IF(ISNUMBER(MATCH(orderHistory[order_type],$D$13,0)*MATCH(YEAR(orderHistory[invoice_date]),$D$15,0)),MATCH(ROW(orderHistory[customer]),ROW(orderHistory[customer])),""),ROWS($A$15:A45)+$B$3)))),IF($D$13="",IF($D$15="",INDEX(orderHistory[customer],SMALL(IF(ISNUMBER(MATCH(orderHistory[status],$D$11,0)),MATCH(ROW(orderHistory[customer]),ROW(orderHistory[customer])),""),ROWS($A$15:A45)+$B$3)),INDEX(orderHistory[customer],SMALL(IF(ISNUMBER(MATCH(orderHistory[status],$D$11,0)*MATCH(YEAR(orderHistory[invoice_date]),$D$15,0)),MATCH(ROW(orderHistory[customer]),ROW(orderHistory[customer])),""),ROWS($A$15:A45)+$B$3))),IF($D$15="",INDEX(orderHistory[customer],SMALL(IF(ISNUMBER(MATCH(orderHistory[status],$D$11,0)*MATCH(orderHistory[order_type],$D$13,0)),MATCH(ROW(orderHistory[customer]),ROW(orderHistory[customer])),""),ROWS($A$15:A45)+$B$3)),INDEX(orderHistory[customer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customer],SMALL(IF(ISNUMBER(MATCH(orderHistory[customer],$D$9,0)),MATCH(ROW(orderHistory[customer]),ROW(orderHistory[customer])),""),ROWS($A$15:A45)+$B$3)),INDEX(orderHistory[customer],SMALL(IF(ISNUMBER(MATCH(orderHistory[customer],$D$9,0)*MATCH(YEAR(orderHistory[invoice_date]),$D$15,0)),MATCH(ROW(orderHistory[customer]),ROW(orderHistory[customer])),""),ROWS($A$15:A45)+$B$3))),IF($D$15="",INDEX(orderHistory[customer],SMALL(IF(ISNUMBER(MATCH(orderHistory[customer],$D$9,0)*MATCH(orderHistory[order_type],$D$13,0)),MATCH(ROW(orderHistory[customer]),ROW(orderHistory[customer])),""),ROWS($A$15:A45)+$B$3)),INDEX(orderHistory[customer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YEAR(orderHistory[invoice_date]),$D$15,0)),MATCH(ROW(orderHistory[customer]),ROW(orderHistory[customer])),""),ROWS($A$15:A45)+$B$3))),IF($D$15="",INDEX(orderHistory[customer],SMALL(IF(ISNUMBER(MATCH(orderHistory[customer],$D$9,0)*MATCH(orderHistory[status],$D$11,0)*MATCH(orderHistory[order_type],$D$13,0)),MATCH(ROW(orderHistory[customer]),ROW(orderHistory[customer])),""),ROWS($A$15:A45)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M40" s="453" t="str">
        <f t="array" ref="M40">IFERROR(IF($D$9="",IF($D$11="",IF($D$13="",IF($D$15="",INDEX(orderHistory[order_no],SMALL(MATCH(ROW(orderHistory[customer]),ROW(orderHistory[customer])),ROWS($A$15:A45)+$B$3)),INDEX(orderHistory[order_no],SMALL(IF(ISNUMBER(MATCH(YEAR(orderHistory[invoice_date]),$D$15,0)),MATCH(ROW(orderHistory[customer]),ROW(orderHistory[customer])),""),ROWS($A$15:A45)+$B$3))),IF($D$15="",INDEX(orderHistory[order_no],SMALL(IF(ISNUMBER(MATCH(orderHistory[order_type],$D$13,0)),MATCH(ROW(orderHistory[customer]),ROW(orderHistory[customer])),""),ROWS($A$15:A45)+$B$3)),INDEX(orderHistory[order_no],SMALL(IF(ISNUMBER(MATCH(orderHistory[order_type],$D$13,0)*MATCH(YEAR(orderHistory[invoice_date]),$D$15,0)),MATCH(ROW(orderHistory[customer]),ROW(orderHistory[customer])),""),ROWS($A$15:A45)+$B$3)))),IF($D$13="",IF($D$15="",INDEX(orderHistory[order_no],SMALL(IF(ISNUMBER(MATCH(orderHistory[status],$D$11,0)),MATCH(ROW(orderHistory[customer]),ROW(orderHistory[customer])),""),ROWS($A$15:A45)+$B$3)),INDEX(orderHistory[order_no],SMALL(IF(ISNUMBER(MATCH(orderHistory[status],$D$11,0)*MATCH(YEAR(orderHistory[invoice_date]),$D$15,0)),MATCH(ROW(orderHistory[customer]),ROW(orderHistory[customer])),""),ROWS($A$15:A45)+$B$3))),IF($D$15="",INDEX(orderHistory[order_no],SMALL(IF(ISNUMBER(MATCH(orderHistory[status],$D$11,0)*MATCH(orderHistory[order_type],$D$13,0)),MATCH(ROW(orderHistory[customer]),ROW(orderHistory[customer])),""),ROWS($A$15:A45)+$B$3)),INDEX(orderHistory[order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no],SMALL(IF(ISNUMBER(MATCH(orderHistory[customer],$D$9,0)),MATCH(ROW(orderHistory[customer]),ROW(orderHistory[customer])),""),ROWS($A$15:A45)+$B$3)),INDEX(orderHistory[order_no],SMALL(IF(ISNUMBER(MATCH(orderHistory[customer],$D$9,0)*MATCH(YEAR(orderHistory[invoice_date]),$D$15,0)),MATCH(ROW(orderHistory[customer]),ROW(orderHistory[customer])),""),ROWS($A$15:A45)+$B$3))),IF($D$15="",INDEX(orderHistory[order_no],SMALL(IF(ISNUMBER(MATCH(orderHistory[customer],$D$9,0)*MATCH(orderHistory[order_type],$D$13,0)),MATCH(ROW(orderHistory[customer]),ROW(orderHistory[customer])),""),ROWS($A$15:A45)+$B$3)),INDEX(orderHistory[order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YEAR(orderHistory[invoice_date]),$D$15,0)),MATCH(ROW(orderHistory[customer]),ROW(orderHistory[customer])),""),ROWS($A$15:A45)+$B$3))),IF($D$15="",INDEX(orderHistory[order_no],SMALL(IF(ISNUMBER(MATCH(orderHistory[customer],$D$9,0)*MATCH(orderHistory[status],$D$11,0)*MATCH(orderHistory[order_type],$D$13,0)),MATCH(ROW(orderHistory[customer]),ROW(orderHistory[customer])),""),ROWS($A$15:A45)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N40" s="454" t="str">
        <f t="array" ref="N40">IFERROR(IF($D$9="",IF($D$11="",IF($D$13="",IF($D$15="",INDEX(orderHistory[order_type],SMALL(MATCH(ROW(orderHistory[customer]),ROW(orderHistory[customer])),ROWS($A$15:A45)+$B$3)),INDEX(orderHistory[order_type],SMALL(IF(ISNUMBER(MATCH(YEAR(orderHistory[invoice_date]),$D$15,0)),MATCH(ROW(orderHistory[customer]),ROW(orderHistory[customer])),""),ROWS($A$15:A45)+$B$3))),IF($D$15="",INDEX(orderHistory[order_type],SMALL(IF(ISNUMBER(MATCH(orderHistory[order_type],$D$13,0)),MATCH(ROW(orderHistory[customer]),ROW(orderHistory[customer])),""),ROWS($A$15:A45)+$B$3)),INDEX(orderHistory[order_type],SMALL(IF(ISNUMBER(MATCH(orderHistory[order_type],$D$13,0)*MATCH(YEAR(orderHistory[invoice_date]),$D$15,0)),MATCH(ROW(orderHistory[customer]),ROW(orderHistory[customer])),""),ROWS($A$15:A45)+$B$3)))),IF($D$13="",IF($D$15="",INDEX(orderHistory[order_type],SMALL(IF(ISNUMBER(MATCH(orderHistory[status],$D$11,0)),MATCH(ROW(orderHistory[customer]),ROW(orderHistory[customer])),""),ROWS($A$15:A45)+$B$3)),INDEX(orderHistory[order_type],SMALL(IF(ISNUMBER(MATCH(orderHistory[status],$D$11,0)*MATCH(YEAR(orderHistory[invoice_date]),$D$15,0)),MATCH(ROW(orderHistory[customer]),ROW(orderHistory[customer])),""),ROWS($A$15:A45)+$B$3))),IF($D$15="",INDEX(orderHistory[order_type],SMALL(IF(ISNUMBER(MATCH(orderHistory[status],$D$11,0)*MATCH(orderHistory[order_type],$D$13,0)),MATCH(ROW(orderHistory[customer]),ROW(orderHistory[customer])),""),ROWS($A$15:A45)+$B$3)),INDEX(orderHistory[order_typ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type],SMALL(IF(ISNUMBER(MATCH(orderHistory[customer],$D$9,0)),MATCH(ROW(orderHistory[customer]),ROW(orderHistory[customer])),""),ROWS($A$15:A45)+$B$3)),INDEX(orderHistory[order_type],SMALL(IF(ISNUMBER(MATCH(orderHistory[customer],$D$9,0)*MATCH(YEAR(orderHistory[invoice_date]),$D$15,0)),MATCH(ROW(orderHistory[customer]),ROW(orderHistory[customer])),""),ROWS($A$15:A45)+$B$3))),IF($D$15="",INDEX(orderHistory[order_type],SMALL(IF(ISNUMBER(MATCH(orderHistory[customer],$D$9,0)*MATCH(orderHistory[order_type],$D$13,0)),MATCH(ROW(orderHistory[customer]),ROW(orderHistory[customer])),""),ROWS($A$15:A45)+$B$3)),INDEX(orderHistory[order_typ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YEAR(orderHistory[invoice_date]),$D$15,0)),MATCH(ROW(orderHistory[customer]),ROW(orderHistory[customer])),""),ROWS($A$15:A45)+$B$3))),IF($D$15="",INDEX(orderHistory[order_type],SMALL(IF(ISNUMBER(MATCH(orderHistory[customer],$D$9,0)*MATCH(orderHistory[status],$D$11,0)*MATCH(orderHistory[order_type],$D$13,0)),MATCH(ROW(orderHistory[customer]),ROW(orderHistory[customer])),""),ROWS($A$15:A45)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O40" s="455" t="str">
        <f t="array" ref="O40">IFERROR(IF($D$9="",IF($D$11="",IF($D$13="",IF($D$15="",INDEX(orderHistory[order_date],SMALL(MATCH(ROW(orderHistory[customer]),ROW(orderHistory[customer])),ROWS($A$15:A45)+$B$3)),INDEX(orderHistory[order_date],SMALL(IF(ISNUMBER(MATCH(YEAR(orderHistory[invoice_date]),$D$15,0)),MATCH(ROW(orderHistory[customer]),ROW(orderHistory[customer])),""),ROWS($A$15:A45)+$B$3))),IF($D$15="",INDEX(orderHistory[order_date],SMALL(IF(ISNUMBER(MATCH(orderHistory[order_type],$D$13,0)),MATCH(ROW(orderHistory[customer]),ROW(orderHistory[customer])),""),ROWS($A$15:A45)+$B$3)),INDEX(orderHistory[order_date],SMALL(IF(ISNUMBER(MATCH(orderHistory[order_type],$D$13,0)*MATCH(YEAR(orderHistory[invoice_date]),$D$15,0)),MATCH(ROW(orderHistory[customer]),ROW(orderHistory[customer])),""),ROWS($A$15:A45)+$B$3)))),IF($D$13="",IF($D$15="",INDEX(orderHistory[order_date],SMALL(IF(ISNUMBER(MATCH(orderHistory[status],$D$11,0)),MATCH(ROW(orderHistory[customer]),ROW(orderHistory[customer])),""),ROWS($A$15:A45)+$B$3)),INDEX(orderHistory[order_date],SMALL(IF(ISNUMBER(MATCH(orderHistory[status],$D$11,0)*MATCH(YEAR(orderHistory[invoice_date]),$D$15,0)),MATCH(ROW(orderHistory[customer]),ROW(orderHistory[customer])),""),ROWS($A$15:A45)+$B$3))),IF($D$15="",INDEX(orderHistory[order_date],SMALL(IF(ISNUMBER(MATCH(orderHistory[status],$D$11,0)*MATCH(orderHistory[order_type],$D$13,0)),MATCH(ROW(orderHistory[customer]),ROW(orderHistory[customer])),""),ROWS($A$15:A45)+$B$3)),INDEX(orderHistory[order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date],SMALL(IF(ISNUMBER(MATCH(orderHistory[customer],$D$9,0)),MATCH(ROW(orderHistory[customer]),ROW(orderHistory[customer])),""),ROWS($A$15:A45)+$B$3)),INDEX(orderHistory[order_date],SMALL(IF(ISNUMBER(MATCH(orderHistory[customer],$D$9,0)*MATCH(YEAR(orderHistory[invoice_date]),$D$15,0)),MATCH(ROW(orderHistory[customer]),ROW(orderHistory[customer])),""),ROWS($A$15:A45)+$B$3))),IF($D$15="",INDEX(orderHistory[order_date],SMALL(IF(ISNUMBER(MATCH(orderHistory[customer],$D$9,0)*MATCH(orderHistory[order_type],$D$13,0)),MATCH(ROW(orderHistory[customer]),ROW(orderHistory[customer])),""),ROWS($A$15:A45)+$B$3)),INDEX(orderHistory[order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YEAR(orderHistory[invoice_date]),$D$15,0)),MATCH(ROW(orderHistory[customer]),ROW(orderHistory[customer])),""),ROWS($A$15:A45)+$B$3))),IF($D$15="",INDEX(orderHistory[order_date],SMALL(IF(ISNUMBER(MATCH(orderHistory[customer],$D$9,0)*MATCH(orderHistory[status],$D$11,0)*MATCH(orderHistory[order_type],$D$13,0)),MATCH(ROW(orderHistory[customer]),ROW(orderHistory[customer])),""),ROWS($A$15:A45)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P40" s="456" t="str">
        <f t="array" ref="P40">IFERROR(IF($D$9="",IF($D$11="",IF($D$13="",IF($D$15="",INDEX(orderHistory[invoice_no],SMALL(MATCH(ROW(orderHistory[customer]),ROW(orderHistory[customer])),ROWS($A$15:A45)+$B$3)),INDEX(orderHistory[invoice_no],SMALL(IF(ISNUMBER(MATCH(YEAR(orderHistory[invoice_date]),$D$15,0)),MATCH(ROW(orderHistory[customer]),ROW(orderHistory[customer])),""),ROWS($A$15:A45)+$B$3))),IF($D$15="",INDEX(orderHistory[invoice_no],SMALL(IF(ISNUMBER(MATCH(orderHistory[order_type],$D$13,0)),MATCH(ROW(orderHistory[customer]),ROW(orderHistory[customer])),""),ROWS($A$15:A45)+$B$3)),INDEX(orderHistory[invoice_no],SMALL(IF(ISNUMBER(MATCH(orderHistory[order_type],$D$13,0)*MATCH(YEAR(orderHistory[invoice_date]),$D$15,0)),MATCH(ROW(orderHistory[customer]),ROW(orderHistory[customer])),""),ROWS($A$15:A45)+$B$3)))),IF($D$13="",IF($D$15="",INDEX(orderHistory[invoice_no],SMALL(IF(ISNUMBER(MATCH(orderHistory[status],$D$11,0)),MATCH(ROW(orderHistory[customer]),ROW(orderHistory[customer])),""),ROWS($A$15:A45)+$B$3)),INDEX(orderHistory[invoice_no],SMALL(IF(ISNUMBER(MATCH(orderHistory[status],$D$11,0)*MATCH(YEAR(orderHistory[invoice_date]),$D$15,0)),MATCH(ROW(orderHistory[customer]),ROW(orderHistory[customer])),""),ROWS($A$15:A45)+$B$3))),IF($D$15="",INDEX(orderHistory[invoice_no],SMALL(IF(ISNUMBER(MATCH(orderHistory[status],$D$11,0)*MATCH(orderHistory[order_type],$D$13,0)),MATCH(ROW(orderHistory[customer]),ROW(orderHistory[customer])),""),ROWS($A$15:A45)+$B$3)),INDEX(orderHistory[invoice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no],SMALL(IF(ISNUMBER(MATCH(orderHistory[customer],$D$9,0)),MATCH(ROW(orderHistory[customer]),ROW(orderHistory[customer])),""),ROWS($A$15:A45)+$B$3)),INDEX(orderHistory[invoice_no],SMALL(IF(ISNUMBER(MATCH(orderHistory[customer],$D$9,0)*MATCH(YEAR(orderHistory[invoice_date]),$D$15,0)),MATCH(ROW(orderHistory[customer]),ROW(orderHistory[customer])),""),ROWS($A$15:A45)+$B$3))),IF($D$15="",INDEX(orderHistory[invoice_no],SMALL(IF(ISNUMBER(MATCH(orderHistory[customer],$D$9,0)*MATCH(orderHistory[order_type],$D$13,0)),MATCH(ROW(orderHistory[customer]),ROW(orderHistory[customer])),""),ROWS($A$15:A45)+$B$3)),INDEX(orderHistory[invoice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YEAR(orderHistory[invoice_date]),$D$15,0)),MATCH(ROW(orderHistory[customer]),ROW(orderHistory[customer])),""),ROWS($A$15:A45)+$B$3))),IF($D$15="",INDEX(orderHistory[invoice_no],SMALL(IF(ISNUMBER(MATCH(orderHistory[customer],$D$9,0)*MATCH(orderHistory[status],$D$11,0)*MATCH(orderHistory[order_type],$D$13,0)),MATCH(ROW(orderHistory[customer]),ROW(orderHistory[customer])),""),ROWS($A$15:A45)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Q40" s="457" t="str">
        <f t="array" ref="Q40">IFERROR(IF($D$9="",IF($D$11="",IF($D$13="",IF($D$15="",INDEX(orderHistory[invoice_date],SMALL(MATCH(ROW(orderHistory[customer]),ROW(orderHistory[customer])),ROWS($A$15:A45)+$B$3)),INDEX(orderHistory[invoice_date],SMALL(IF(ISNUMBER(MATCH(YEAR(orderHistory[invoice_date]),$D$15,0)),MATCH(ROW(orderHistory[customer]),ROW(orderHistory[customer])),""),ROWS($A$15:A45)+$B$3))),IF($D$15="",INDEX(orderHistory[invoice_date],SMALL(IF(ISNUMBER(MATCH(orderHistory[order_type],$D$13,0)),MATCH(ROW(orderHistory[customer]),ROW(orderHistory[customer])),""),ROWS($A$15:A45)+$B$3)),INDEX(orderHistory[invoice_date],SMALL(IF(ISNUMBER(MATCH(orderHistory[order_type],$D$13,0)*MATCH(YEAR(orderHistory[invoice_date]),$D$15,0)),MATCH(ROW(orderHistory[customer]),ROW(orderHistory[customer])),""),ROWS($A$15:A45)+$B$3)))),IF($D$13="",IF($D$15="",INDEX(orderHistory[invoice_date],SMALL(IF(ISNUMBER(MATCH(orderHistory[status],$D$11,0)),MATCH(ROW(orderHistory[customer]),ROW(orderHistory[customer])),""),ROWS($A$15:A45)+$B$3)),INDEX(orderHistory[invoice_date],SMALL(IF(ISNUMBER(MATCH(orderHistory[status],$D$11,0)*MATCH(YEAR(orderHistory[invoice_date]),$D$15,0)),MATCH(ROW(orderHistory[customer]),ROW(orderHistory[customer])),""),ROWS($A$15:A45)+$B$3))),IF($D$15="",INDEX(orderHistory[invoice_date],SMALL(IF(ISNUMBER(MATCH(orderHistory[status],$D$11,0)*MATCH(orderHistory[order_type],$D$13,0)),MATCH(ROW(orderHistory[customer]),ROW(orderHistory[customer])),""),ROWS($A$15:A45)+$B$3)),INDEX(orderHistory[invoice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date],SMALL(IF(ISNUMBER(MATCH(orderHistory[customer],$D$9,0)),MATCH(ROW(orderHistory[customer]),ROW(orderHistory[customer])),""),ROWS($A$15:A45)+$B$3)),INDEX(orderHistory[invoice_date],SMALL(IF(ISNUMBER(MATCH(orderHistory[customer],$D$9,0)*MATCH(YEAR(orderHistory[invoice_date]),$D$15,0)),MATCH(ROW(orderHistory[customer]),ROW(orderHistory[customer])),""),ROWS($A$15:A45)+$B$3))),IF($D$15="",INDEX(orderHistory[invoice_date],SMALL(IF(ISNUMBER(MATCH(orderHistory[customer],$D$9,0)*MATCH(orderHistory[order_type],$D$13,0)),MATCH(ROW(orderHistory[customer]),ROW(orderHistory[customer])),""),ROWS($A$15:A45)+$B$3)),INDEX(orderHistory[invoice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YEAR(orderHistory[invoice_date]),$D$15,0)),MATCH(ROW(orderHistory[customer]),ROW(orderHistory[customer])),""),ROWS($A$15:A45)+$B$3))),IF($D$15="",INDEX(orderHistory[invoice_date],SMALL(IF(ISNUMBER(MATCH(orderHistory[customer],$D$9,0)*MATCH(orderHistory[status],$D$11,0)*MATCH(orderHistory[order_type],$D$13,0)),MATCH(ROW(orderHistory[customer]),ROW(orderHistory[customer])),""),ROWS($A$15:A45)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R40" s="458" t="str">
        <f t="array" ref="R40">IFERROR(IF($D$9="",IF($D$11="",IF($D$13="",IF($D$15="",INDEX(orderHistory[inv_amount],SMALL(MATCH(ROW(orderHistory[customer]),ROW(orderHistory[customer])),ROWS($A$15:A45)+$B$3)),INDEX(orderHistory[inv_amount],SMALL(IF(ISNUMBER(MATCH(YEAR(orderHistory[invoice_date]),$D$15,0)),MATCH(ROW(orderHistory[customer]),ROW(orderHistory[customer])),""),ROWS($A$15:A45)+$B$3))),IF($D$15="",INDEX(orderHistory[inv_amount],SMALL(IF(ISNUMBER(MATCH(orderHistory[order_type],$D$13,0)),MATCH(ROW(orderHistory[customer]),ROW(orderHistory[customer])),""),ROWS($A$15:A45)+$B$3)),INDEX(orderHistory[inv_amount],SMALL(IF(ISNUMBER(MATCH(orderHistory[order_type],$D$13,0)*MATCH(YEAR(orderHistory[invoice_date]),$D$15,0)),MATCH(ROW(orderHistory[customer]),ROW(orderHistory[customer])),""),ROWS($A$15:A45)+$B$3)))),IF($D$13="",IF($D$15="",INDEX(orderHistory[inv_amount],SMALL(IF(ISNUMBER(MATCH(orderHistory[status],$D$11,0)),MATCH(ROW(orderHistory[customer]),ROW(orderHistory[customer])),""),ROWS($A$15:A45)+$B$3)),INDEX(orderHistory[inv_amount],SMALL(IF(ISNUMBER(MATCH(orderHistory[status],$D$11,0)*MATCH(YEAR(orderHistory[invoice_date]),$D$15,0)),MATCH(ROW(orderHistory[customer]),ROW(orderHistory[customer])),""),ROWS($A$15:A45)+$B$3))),IF($D$15="",INDEX(orderHistory[inv_amount],SMALL(IF(ISNUMBER(MATCH(orderHistory[status],$D$11,0)*MATCH(orderHistory[order_type],$D$13,0)),MATCH(ROW(orderHistory[customer]),ROW(orderHistory[customer])),""),ROWS($A$15:A45)+$B$3)),INDEX(orderHistory[inv_amount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_amount],SMALL(IF(ISNUMBER(MATCH(orderHistory[customer],$D$9,0)),MATCH(ROW(orderHistory[customer]),ROW(orderHistory[customer])),""),ROWS($A$15:A45)+$B$3)),INDEX(orderHistory[inv_amount],SMALL(IF(ISNUMBER(MATCH(orderHistory[customer],$D$9,0)*MATCH(YEAR(orderHistory[invoice_date]),$D$15,0)),MATCH(ROW(orderHistory[customer]),ROW(orderHistory[customer])),""),ROWS($A$15:A45)+$B$3))),IF($D$15="",INDEX(orderHistory[inv_amount],SMALL(IF(ISNUMBER(MATCH(orderHistory[customer],$D$9,0)*MATCH(orderHistory[order_type],$D$13,0)),MATCH(ROW(orderHistory[customer]),ROW(orderHistory[customer])),""),ROWS($A$15:A45)+$B$3)),INDEX(orderHistory[inv_amount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YEAR(orderHistory[inv_amount]),$D$15,0)),MATCH(ROW(orderHistory[customer]),ROW(orderHistory[customer])),""),ROWS($A$15:A45)+$B$3))),IF($D$15="",INDEX(orderHistory[inv_amount],SMALL(IF(ISNUMBER(MATCH(orderHistory[customer],$D$9,0)*MATCH(orderHistory[status],$D$11,0)*MATCH(orderHistory[order_type],$D$13,0)),MATCH(ROW(orderHistory[customer]),ROW(orderHistory[customer])),""),ROWS($A$15:A45)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S40" s="569" t="str">
        <f t="array" ref="S40">IFERROR(IF($D$9="",IF($D$11="",IF($D$13="",IF($D$15="",INDEX(orderHistory[lock_goods],SMALL(MATCH(ROW(orderHistory[customer]),ROW(orderHistory[customer])),ROWS($A$15:A45)+$B$3)),INDEX(orderHistory[lock_goods],SMALL(IF(ISNUMBER(MATCH(YEAR(orderHistory[invoice_date]),$D$15,0)),MATCH(ROW(orderHistory[customer]),ROW(orderHistory[customer])),""),ROWS($A$15:A45)+$B$3))),IF($D$15="",INDEX(orderHistory[lock_goods],SMALL(IF(ISNUMBER(MATCH(orderHistory[order_type],$D$13,0)),MATCH(ROW(orderHistory[customer]),ROW(orderHistory[customer])),""),ROWS($A$15:A45)+$B$3)),INDEX(orderHistory[lock_goods],SMALL(IF(ISNUMBER(MATCH(orderHistory[order_type],$D$13,0)*MATCH(YEAR(orderHistory[invoice_date]),$D$15,0)),MATCH(ROW(orderHistory[customer]),ROW(orderHistory[customer])),""),ROWS($A$15:A45)+$B$3)))),IF($D$13="",IF($D$15="",INDEX(orderHistory[lock_goods],SMALL(IF(ISNUMBER(MATCH(orderHistory[status],$D$11,0)),MATCH(ROW(orderHistory[customer]),ROW(orderHistory[customer])),""),ROWS($A$15:A45)+$B$3)),INDEX(orderHistory[lock_goods],SMALL(IF(ISNUMBER(MATCH(orderHistory[status],$D$11,0)*MATCH(YEAR(orderHistory[invoice_date]),$D$15,0)),MATCH(ROW(orderHistory[customer]),ROW(orderHistory[customer])),""),ROWS($A$15:A45)+$B$3))),IF($D$15="",INDEX(orderHistory[lock_goods],SMALL(IF(ISNUMBER(MATCH(orderHistory[status],$D$11,0)*MATCH(orderHistory[order_type],$D$13,0)),MATCH(ROW(orderHistory[customer]),ROW(orderHistory[customer])),""),ROWS($A$15:A45)+$B$3)),INDEX(orderHistory[lock_good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lock_goods],SMALL(IF(ISNUMBER(MATCH(orderHistory[customer],$D$9,0)),MATCH(ROW(orderHistory[customer]),ROW(orderHistory[customer])),""),ROWS($A$15:A45)+$B$3)),INDEX(orderHistory[lock_goods],SMALL(IF(ISNUMBER(MATCH(orderHistory[customer],$D$9,0)*MATCH(YEAR(orderHistory[invoice_date]),$D$15,0)),MATCH(ROW(orderHistory[customer]),ROW(orderHistory[customer])),""),ROWS($A$15:A45)+$B$3))),IF($D$15="",INDEX(orderHistory[lock_goods],SMALL(IF(ISNUMBER(MATCH(orderHistory[customer],$D$9,0)*MATCH(orderHistory[order_type],$D$13,0)),MATCH(ROW(orderHistory[customer]),ROW(orderHistory[customer])),""),ROWS($A$15:A45)+$B$3)),INDEX(orderHistory[lock_good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lock_goods],SMALL(IF(ISNUMBER(MATCH(orderHistory[customer],$D$9,0)*MATCH(orderHistory[status],$D$11,0)),MATCH(ROW(orderHistory[customer]),ROW(orderHistory[customer])),""),ROWS($A$15:A45)+$B$3)),INDEX(orderHistory[lock_goods],SMALL(IF(ISNUMBER(MATCH(orderHistory[customer],$D$9,0)*MATCH(orderHistory[status],$D$11,0)*MATCH(YEAR(orderHistory[payed]),$D$15,0)),MATCH(ROW(orderHistory[customer]),ROW(orderHistory[customer])),""),ROWS($A$15:A45)+$B$3))),IF($D$15="",INDEX(orderHistory[lock_goods],SMALL(IF(ISNUMBER(MATCH(orderHistory[customer],$D$9,0)*MATCH(orderHistory[status],$D$11,0)*MATCH(orderHistory[order_type],$D$13,0)),MATCH(ROW(orderHistory[customer]),ROW(orderHistory[customer])),""),ROWS($A$15:A45)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T40" s="459" t="str">
        <f t="array" ref="T40">IFERROR(IF($D$9="",IF($D$11="",IF($D$13="",IF($D$15="",INDEX(orderHistory[payed],SMALL(MATCH(ROW(orderHistory[customer]),ROW(orderHistory[customer])),ROWS($A$15:A45)+$B$3)),INDEX(orderHistory[payed],SMALL(IF(ISNUMBER(MATCH(YEAR(orderHistory[invoice_date]),$D$15,0)),MATCH(ROW(orderHistory[customer]),ROW(orderHistory[customer])),""),ROWS($A$15:A45)+$B$3))),IF($D$15="",INDEX(orderHistory[payed],SMALL(IF(ISNUMBER(MATCH(orderHistory[order_type],$D$13,0)),MATCH(ROW(orderHistory[customer]),ROW(orderHistory[customer])),""),ROWS($A$15:A45)+$B$3)),INDEX(orderHistory[payed],SMALL(IF(ISNUMBER(MATCH(orderHistory[order_type],$D$13,0)*MATCH(YEAR(orderHistory[invoice_date]),$D$15,0)),MATCH(ROW(orderHistory[customer]),ROW(orderHistory[customer])),""),ROWS($A$15:A45)+$B$3)))),IF($D$13="",IF($D$15="",INDEX(orderHistory[payed],SMALL(IF(ISNUMBER(MATCH(orderHistory[status],$D$11,0)),MATCH(ROW(orderHistory[customer]),ROW(orderHistory[customer])),""),ROWS($A$15:A45)+$B$3)),INDEX(orderHistory[payed],SMALL(IF(ISNUMBER(MATCH(orderHistory[status],$D$11,0)*MATCH(YEAR(orderHistory[invoice_date]),$D$15,0)),MATCH(ROW(orderHistory[customer]),ROW(orderHistory[customer])),""),ROWS($A$15:A45)+$B$3))),IF($D$15="",INDEX(orderHistory[payed],SMALL(IF(ISNUMBER(MATCH(orderHistory[status],$D$11,0)*MATCH(orderHistory[order_type],$D$13,0)),MATCH(ROW(orderHistory[customer]),ROW(orderHistory[customer])),""),ROWS($A$15:A45)+$B$3)),INDEX(orderHistory[paye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payed],SMALL(IF(ISNUMBER(MATCH(orderHistory[customer],$D$9,0)),MATCH(ROW(orderHistory[customer]),ROW(orderHistory[customer])),""),ROWS($A$15:A45)+$B$3)),INDEX(orderHistory[payed],SMALL(IF(ISNUMBER(MATCH(orderHistory[customer],$D$9,0)*MATCH(YEAR(orderHistory[invoice_date]),$D$15,0)),MATCH(ROW(orderHistory[customer]),ROW(orderHistory[customer])),""),ROWS($A$15:A45)+$B$3))),IF($D$15="",INDEX(orderHistory[payed],SMALL(IF(ISNUMBER(MATCH(orderHistory[customer],$D$9,0)*MATCH(orderHistory[order_type],$D$13,0)),MATCH(ROW(orderHistory[customer]),ROW(orderHistory[customer])),""),ROWS($A$15:A45)+$B$3)),INDEX(orderHistory[paye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YEAR(orderHistory[payed]),$D$15,0)),MATCH(ROW(orderHistory[customer]),ROW(orderHistory[customer])),""),ROWS($A$15:A45)+$B$3))),IF($D$15="",INDEX(orderHistory[payed],SMALL(IF(ISNUMBER(MATCH(orderHistory[customer],$D$9,0)*MATCH(orderHistory[status],$D$11,0)*MATCH(orderHistory[order_type],$D$13,0)),MATCH(ROW(orderHistory[customer]),ROW(orderHistory[customer])),""),ROWS($A$15:A45)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U40" s="454" t="str">
        <f t="array" ref="U40">IFERROR(IF($D$9="",IF($D$11="",IF($D$13="",IF($D$15="",INDEX(orderHistory[shipping_method],SMALL(MATCH(ROW(orderHistory[customer]),ROW(orderHistory[customer])),ROWS($A$15:A45)+$B$3)),INDEX(orderHistory[shipping_method],SMALL(IF(ISNUMBER(MATCH(YEAR(orderHistory[invoice_date]),$D$15,0)),MATCH(ROW(orderHistory[customer]),ROW(orderHistory[customer])),""),ROWS($A$15:A45)+$B$3))),IF($D$15="",INDEX(orderHistory[shipping_method],SMALL(IF(ISNUMBER(MATCH(orderHistory[order_type],$D$13,0)),MATCH(ROW(orderHistory[customer]),ROW(orderHistory[customer])),""),ROWS($A$15:A45)+$B$3)),INDEX(orderHistory[shipping_method],SMALL(IF(ISNUMBER(MATCH(orderHistory[order_type],$D$13,0)*MATCH(YEAR(orderHistory[invoice_date]),$D$15,0)),MATCH(ROW(orderHistory[customer]),ROW(orderHistory[customer])),""),ROWS($A$15:A45)+$B$3)))),IF($D$13="",IF($D$15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YEAR(orderHistory[invoice_date]),$D$15,0)),MATCH(ROW(orderHistory[customer]),ROW(orderHistory[customer])),""),ROWS($A$15:A45)+$B$3))),IF($D$15="",INDEX(orderHistory[shipping_method],SMALL(IF(ISNUMBER(MATCH(orderHistory[status],$D$11,0)*MATCH(orderHistory[order_type],$D$13,0)),MATCH(ROW(orderHistory[customer]),ROW(orderHistory[customer])),""),ROWS($A$15:A45)+$B$3)),INDEX(orderHistory[shipping_metho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YEAR(orderHistory[invoice_date]),$D$15,0)),MATCH(ROW(orderHistory[customer]),ROW(orderHistory[customer])),""),ROWS($A$15:A45)+$B$3))),IF($D$15="",INDEX(orderHistory[shipping_method],SMALL(IF(ISNUMBER(MATCH(orderHistory[customer],$D$9,0)*MATCH(orderHistory[order_type],$D$13,0)),MATCH(ROW(orderHistory[customer]),ROW(orderHistory[customer])),""),ROWS($A$15:A45)+$B$3)),INDEX(orderHistory[shipping_metho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YEAR(orderHistory[shipping_method]),$D$15,0)),MATCH(ROW(orderHistory[customer]),ROW(orderHistory[customer])),""),ROWS($A$15:A45)+$B$3))),IF($D$15="",INDEX(orderHistory[shipping_method],SMALL(IF(ISNUMBER(MATCH(orderHistory[customer],$D$9,0)*MATCH(orderHistory[status],$D$11,0)*MATCH(orderHistory[order_type],$D$13,0)),MATCH(ROW(orderHistory[customer]),ROW(orderHistory[customer])),""),ROWS($A$15:A45)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V40" s="460" t="str">
        <f t="array" ref="V40">IFERROR(IF($D$9="",IF($D$11="",IF($D$13="",IF($D$15="",INDEX(orderHistory[status],SMALL(MATCH(ROW(orderHistory[customer]),ROW(orderHistory[customer])),ROWS($A$15:A45)+$B$3)),INDEX(orderHistory[status],SMALL(IF(ISNUMBER(MATCH(YEAR(orderHistory[invoice_date]),$D$15,0)),MATCH(ROW(orderHistory[customer]),ROW(orderHistory[customer])),""),ROWS($A$15:A45)+$B$3))),IF($D$15="",INDEX(orderHistory[status],SMALL(IF(ISNUMBER(MATCH(orderHistory[order_type],$D$13,0)),MATCH(ROW(orderHistory[customer]),ROW(orderHistory[customer])),""),ROWS($A$15:A45)+$B$3)),INDEX(orderHistory[status],SMALL(IF(ISNUMBER(MATCH(orderHistory[order_type],$D$13,0)*MATCH(YEAR(orderHistory[invoice_date]),$D$15,0)),MATCH(ROW(orderHistory[customer]),ROW(orderHistory[customer])),""),ROWS($A$15:A45)+$B$3)))),IF($D$13="",IF($D$15="",INDEX(orderHistory[status],SMALL(IF(ISNUMBER(MATCH(orderHistory[status],$D$11,0)),MATCH(ROW(orderHistory[customer]),ROW(orderHistory[customer])),""),ROWS($A$15:A45)+$B$3)),INDEX(orderHistory[status],SMALL(IF(ISNUMBER(MATCH(orderHistory[status],$D$11,0)*MATCH(YEAR(orderHistory[invoice_date]),$D$15,0)),MATCH(ROW(orderHistory[customer]),ROW(orderHistory[customer])),""),ROWS($A$15:A45)+$B$3))),IF($D$15="",INDEX(orderHistory[status],SMALL(IF(ISNUMBER(MATCH(orderHistory[status],$D$11,0)*MATCH(orderHistory[order_type],$D$13,0)),MATCH(ROW(orderHistory[customer]),ROW(orderHistory[customer])),""),ROWS($A$15:A45)+$B$3)),INDEX(orderHistory[statu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tatus],SMALL(IF(ISNUMBER(MATCH(orderHistory[customer],$D$9,0)),MATCH(ROW(orderHistory[customer]),ROW(orderHistory[customer])),""),ROWS($A$15:A45)+$B$3)),INDEX(orderHistory[status],SMALL(IF(ISNUMBER(MATCH(orderHistory[customer],$D$9,0)*MATCH(YEAR(orderHistory[invoice_date]),$D$15,0)),MATCH(ROW(orderHistory[customer]),ROW(orderHistory[customer])),""),ROWS($A$15:A45)+$B$3))),IF($D$15="",INDEX(orderHistory[status],SMALL(IF(ISNUMBER(MATCH(orderHistory[customer],$D$9,0)*MATCH(orderHistory[order_type],$D$13,0)),MATCH(ROW(orderHistory[customer]),ROW(orderHistory[customer])),""),ROWS($A$15:A45)+$B$3)),INDEX(orderHistory[statu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YEAR(orderHistory[status]),$D$15,0)),MATCH(ROW(orderHistory[customer]),ROW(orderHistory[customer])),""),ROWS($A$15:A45)+$B$3))),IF($D$15="",INDEX(orderHistory[status],SMALL(IF(ISNUMBER(MATCH(orderHistory[customer],$D$9,0)*MATCH(orderHistory[status],$D$11,0)*MATCH(orderHistory[order_type],$D$13,0)),MATCH(ROW(orderHistory[customer]),ROW(orderHistory[customer])),""),ROWS($A$15:A45)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W40" s="75"/>
      <c r="AQ40" s="396"/>
      <c r="AR40" s="346"/>
      <c r="AS40" s="346"/>
      <c r="AT40" s="346"/>
      <c r="AU40" s="347"/>
      <c r="AW40" s="398"/>
      <c r="AX40" s="346"/>
      <c r="AY40" s="346"/>
      <c r="AZ40" s="346"/>
      <c r="BA40" s="346"/>
      <c r="BB40" s="346"/>
      <c r="BC40" s="346"/>
      <c r="BD40" s="346"/>
      <c r="BE40" s="346"/>
      <c r="BF40" s="346"/>
      <c r="BG40" s="399"/>
      <c r="BH40" s="346"/>
      <c r="BI40" s="346"/>
      <c r="BJ40" s="347"/>
      <c r="BK40" s="366"/>
      <c r="BL40" s="367"/>
      <c r="BM40" s="368"/>
      <c r="BN40" s="367"/>
      <c r="BO40" s="368"/>
      <c r="BZ40" s="476"/>
      <c r="CA40" s="477" t="str">
        <f>IF(BZ40="","",INDEX(bhpc_data[description],MATCH(BZ40,bhpc_data[sku],0)))</f>
        <v/>
      </c>
      <c r="CB40" s="480"/>
      <c r="CC40" s="479"/>
      <c r="CD40" s="494"/>
      <c r="CE40" s="481"/>
      <c r="CF40" s="482"/>
      <c r="CG40" s="483" t="str">
        <f>IFERROR(ROUNDUP(CB40/INDEX(bhpc_data[units_per_carton],MATCH(BZ40,bhpc_data[sku],0)),0),"")</f>
        <v/>
      </c>
      <c r="CH40" s="484" t="str">
        <f>IFERROR(ROUNDUP(CD40/INDEX(bhpc_data[units_per_carton],MATCH(BZ40,bhpc_data[sku],0)),0),"")</f>
        <v/>
      </c>
      <c r="CI40" s="484" t="str">
        <f>IFERROR(ROUNDUP(CF40/INDEX(bhpc_data[units_per_carton],MATCH(BZ40,bhpc_data[sku])),0),"")</f>
        <v/>
      </c>
      <c r="CJ40" s="484" t="str">
        <f>IFERROR(((CB40+CD40+CF40)/INDEX(bhpc_data[units_per_carton],MATCH(BZ40,bhpc_data[sku],0)))*INDEX(bhpc_data[net_weight],MATCH(BZ40,bhpc_data[sku],0)),"")</f>
        <v/>
      </c>
      <c r="CK40" s="484" t="str">
        <f>IFERROR(((CB40+CD40+CF40)/INDEX(bhpc_data[units_per_carton],MATCH(BZ40,bhpc_data[sku],0)))*INDEX(bhpc_data[gross_weight],MATCH(BZ40,bhpc_data[sku],0)),"")</f>
        <v/>
      </c>
      <c r="CL40" s="485" t="str">
        <f>IFERROR((CB40+CD40+CF40)/INDEX(bhpc_data[units_per_carton],MATCH(BZ40,bhpc_data[sku],0))*INDEX(bhpc_data[lenght],MATCH(BZ40,bhpc_data[sku],0))*INDEX(bhpc_data[width],MATCH(BZ40,bhpc_data[sku],0))*INDEX(bhpc_data[height],MATCH(BZ40,bhpc_data[sku],0))/1000000000,"")</f>
        <v/>
      </c>
      <c r="CM40" s="486" t="str">
        <f>IFERROR(INDEX(bhpc_data[category],MATCH(BZ40,bhpc_data[sku],0)),"")</f>
        <v/>
      </c>
      <c r="CN40" s="486" t="str">
        <f>IFERROR(INDEX(bhpc_data[size1],MATCH(BZ40,bhpc_data[sku],0)),"")</f>
        <v/>
      </c>
      <c r="CO40" s="487" t="str">
        <f>IFERROR(INDEX(bhpc_data[hs_code],MATCH(BZ40,bhpc_data[sku],0)),"")</f>
        <v/>
      </c>
      <c r="CP40" s="482"/>
      <c r="CQ40" s="488" t="str">
        <f>IFERROR(IF(BZ40="","",IF($BX$15="SALE",INDEX(inventory[COSTO UNITARIO],MATCH(BZ40,inventory[ARTICOLO],0)),IF($BX$15="SAMPLING",INDEX(inventory[COSTO UNITARIO],MATCH(BZ40,inventory[ARTICOLO],0)),""))),"")</f>
        <v/>
      </c>
      <c r="CR40" s="488" t="str">
        <f t="shared" si="0"/>
        <v/>
      </c>
      <c r="CS40" s="489" t="str">
        <f t="shared" si="1"/>
        <v/>
      </c>
      <c r="CT40" s="573" t="str">
        <f t="shared" si="2"/>
        <v/>
      </c>
      <c r="CX40" s="363"/>
      <c r="DA40" s="350" t="str">
        <f>IFERROR(VLOOKUP(BZ40,bhpc_data[],22,FALSE),"")</f>
        <v/>
      </c>
      <c r="DH40" s="245"/>
      <c r="EE40" s="547" t="str" cm="1">
        <f t="array" ref="EE40">IFERROR(IF($EC$9="",IF($EC$11="",IF($EC$13="",INDEX(bhpc_data[sku],SMALL(MATCH(ROW(bhpc_data[sku]),ROW(bhpc_data[sku])),ROWS($A$15:A45)+$B$3)),INDEX(bhpc_data[sku],SMALL(IF(ISNUMBER(MATCH(bhpc_data[size1],$EC$13,0)),MATCH(ROW(bhpc_data[sku]),ROW(bhpc_data[sku])),""),ROWS($A$15:A45)+$B$3))),IF($EC$13="",INDEX(bhpc_data[sku],SMALL(IF(ISNUMBER(MATCH(bhpc_data[sex],$EC$11,0)),MATCH(ROW(bhpc_data[sku]),ROW(bhpc_data[sku])),""),ROWS($A$15:A45)+$B$3)),INDEX(bhpc_data[sku],SMALL(IF(ISNUMBER(MATCH(bhpc_data[sex],$EC$11,0)*MATCH(bhpc_data[size1],$EC$13,0)),MATCH(ROW(bhpc_data[sku]),ROW(bhpc_data[sku])),""),ROWS($A$15:A45)+$B$3)))),IF($EC$11="",IF($EC$13="",INDEX(bhpc_data[sku],SMALL(IF(ISNUMBER(MATCH(bhpc_data[category],$EC$9,0)),MATCH(ROW(bhpc_data[sku]),ROW(bhpc_data[sku])),""),ROWS($A$15:A45)+$B$3)),INDEX(bhpc_data[sku],SMALL(IF(ISNUMBER(MATCH(bhpc_data[category],$EC$9,0)*MATCH(bhpc_data[size1],$EC$13,0)),MATCH(ROW(bhpc_data[sku]),ROW(bhpc_data[sku])),""),ROWS($A$15:A45)+$B$3))),IF($EC$13="",INDEX(bhpc_data[sku],SMALL(IF(ISNUMBER(MATCH(bhpc_data[category],$EC$9,0)*MATCH(bhpc_data[sex],$EC$11,0)),MATCH(ROW(bhpc_data[sku]),ROW(bhpc_data[sku])),""),ROWS($A$15:A45)+$B$3)),INDEX(bhpc_data[sku],SMALL(IF(ISNUMBER(MATCH(bhpc_data[category],$EC$9,0)*MATCH(bhpc_data[sex],$EC$11,0)*MATCH(bhpc_data[size1],$EC$13,0)),MATCH(ROW(bhpc_data[sku]),ROW(bhpc_data[sku])),""),ROWS($A$15:A45)+$B$3))))),"")</f>
        <v>GSTRO3</v>
      </c>
      <c r="EF40" s="548" t="str" cm="1">
        <f t="array" ref="EF40">IFERROR(IF($EC$9="",IF($EC$11="",IF($EC$13="",INDEX(bhpc_data[description],SMALL(MATCH(ROW(bhpc_data[sku]),ROW(bhpc_data[sku])),ROWS($A$15:A45)+$B$3)),INDEX(bhpc_data[description],SMALL(IF(ISNUMBER(MATCH(bhpc_data[size1],$EC$13,0)),MATCH(ROW(bhpc_data[sku]),ROW(bhpc_data[sku])),""),ROWS($A$15:A45)+$B$3))),IF($EC$13="",INDEX(bhpc_data[description],SMALL(IF(ISNUMBER(MATCH(bhpc_data[sex],$EC$11,0)),MATCH(ROW(bhpc_data[sku]),ROW(bhpc_data[sku])),""),ROWS($A$15:A45)+$B$3)),INDEX(bhpc_data[description],SMALL(IF(ISNUMBER(MATCH(bhpc_data[sex],$EC$11,0)*MATCH(bhpc_data[size1],$EC$13,0)),MATCH(ROW(bhpc_data[sku]),ROW(bhpc_data[sku])),""),ROWS($A$15:A45)+$B$3)))),IF($EC$11="",IF($EC$13="",INDEX(bhpc_data[description],SMALL(IF(ISNUMBER(MATCH(bhpc_data[category],$EC$9,0)),MATCH(ROW(bhpc_data[sku]),ROW(bhpc_data[sku])),""),ROWS($A$15:A45)+$B$3)),INDEX(bhpc_data[description],SMALL(IF(ISNUMBER(MATCH(bhpc_data[category],$EC$9,0)*MATCH(bhpc_data[size1],$EC$13,0)),MATCH(ROW(bhpc_data[sku]),ROW(bhpc_data[sku])),""),ROWS($A$15:A45)+$B$3))),IF($EC$13="",INDEX(bhpc_data[description],SMALL(IF(ISNUMBER(MATCH(bhpc_data[category],$EC$9,0)*MATCH(bhpc_data[sex],$EC$11,0)),MATCH(ROW(bhpc_data[sku]),ROW(bhpc_data[sku])),""),ROWS($A$15:A45)+$B$3)),INDEX(bhpc_data[description],SMALL(IF(ISNUMBER(MATCH(bhpc_data[category],$EC$9,0)*MATCH(bhpc_data[sex],$EC$11,0)*MATCH(bhpc_data[size1],$EC$13,0)),MATCH(ROW(bhpc_data[sku]),ROW(bhpc_data[sku])),""),ROWS($A$15:A45)+$B$3))))),"")</f>
        <v xml:space="preserve">BHPC GIFTSET PRESTIGE TROPHY EDP100ML + DEO 300ML </v>
      </c>
      <c r="EG40" s="549">
        <f>IFERROR(IF('BHPC MANAGER'!$EE40="","",INDEX(inventory[ESISTENZA],MATCH('BHPC MANAGER'!$EE40,inventory[ARTICOLO],0))),0)</f>
        <v>3000</v>
      </c>
      <c r="EH40" s="550">
        <v>-6000</v>
      </c>
      <c r="EI40" s="550">
        <f t="shared" si="3"/>
        <v>-3000</v>
      </c>
      <c r="EJ40" s="551">
        <v>0</v>
      </c>
      <c r="EK40" s="552">
        <f t="shared" si="4"/>
        <v>-3000</v>
      </c>
      <c r="FF40" s="331"/>
      <c r="FG40" s="331"/>
      <c r="FH40" s="331"/>
      <c r="FI40" s="331"/>
      <c r="FJ40" s="331"/>
      <c r="FK40" s="331"/>
      <c r="FL40" s="331"/>
      <c r="FM40" s="331"/>
      <c r="FN40" s="331"/>
      <c r="FO40" s="331"/>
      <c r="FP40" s="331"/>
      <c r="FQ40" s="331"/>
      <c r="FR40" s="331"/>
      <c r="FS40" s="331"/>
      <c r="FT40" s="331"/>
      <c r="FU40" s="331"/>
      <c r="FV40" s="331"/>
      <c r="FW40" s="331"/>
      <c r="FX40" s="331"/>
      <c r="FY40" s="331"/>
      <c r="FZ40" s="331"/>
      <c r="GA40" s="331"/>
      <c r="GB40" s="331"/>
      <c r="GC40" s="331"/>
      <c r="GD40" s="331"/>
      <c r="GE40" s="331"/>
      <c r="GF40" s="331"/>
      <c r="GG40" s="331"/>
      <c r="GH40" s="331"/>
      <c r="GI40" s="331"/>
      <c r="GJ40" s="331"/>
      <c r="GK40" s="331"/>
      <c r="GL40" s="331"/>
      <c r="GM40" s="331"/>
      <c r="GN40" s="331"/>
      <c r="GO40" s="331"/>
      <c r="GP40" s="331"/>
      <c r="GQ40" s="331"/>
      <c r="GR40" s="331"/>
      <c r="GS40" s="331"/>
      <c r="GT40" s="331"/>
      <c r="GU40" s="331"/>
      <c r="GV40" s="331"/>
      <c r="GW40" s="331"/>
      <c r="GX40" s="331"/>
      <c r="GY40" s="331"/>
      <c r="GZ40" s="331"/>
      <c r="HA40" s="331"/>
      <c r="HB40" s="331"/>
      <c r="HC40" s="331"/>
      <c r="HD40" s="331"/>
      <c r="HE40" s="331"/>
      <c r="HF40" s="331"/>
      <c r="HG40" s="331"/>
      <c r="HH40" s="331"/>
      <c r="HI40" s="331"/>
      <c r="HJ40" s="331"/>
      <c r="HK40" s="331"/>
      <c r="HL40" s="331"/>
      <c r="HM40" s="331"/>
      <c r="HN40" s="331"/>
      <c r="HO40" s="331"/>
      <c r="HP40" s="331"/>
      <c r="HQ40" s="331"/>
      <c r="HR40" s="331"/>
      <c r="HS40" s="331"/>
      <c r="HT40" s="331"/>
    </row>
    <row r="41" spans="6:228" ht="15" customHeight="1" x14ac:dyDescent="0.35">
      <c r="F41" s="96"/>
      <c r="G41" s="853"/>
      <c r="H41" s="854"/>
      <c r="I41" s="855"/>
      <c r="J41" s="82"/>
      <c r="L41" s="452" t="str">
        <f t="array" ref="L41">IFERROR(IF($D$9="",IF($D$11="",IF($D$13="",IF($D$15="",INDEX(orderHistory[customer],SMALL(MATCH(ROW(orderHistory[customer]),ROW(orderHistory[customer])),ROWS($A$15:A46)+$B$3)),INDEX(orderHistory[customer],SMALL(IF(ISNUMBER(MATCH(YEAR(orderHistory[invoice_date]),$D$15,0)),MATCH(ROW(orderHistory[customer]),ROW(orderHistory[customer])),""),ROWS($A$15:A46)+$B$3))),IF($D$15="",INDEX(orderHistory[customer],SMALL(IF(ISNUMBER(MATCH(orderHistory[order_type],$D$13,0)),MATCH(ROW(orderHistory[customer]),ROW(orderHistory[customer])),""),ROWS($A$15:A46)+$B$3)),INDEX(orderHistory[customer],SMALL(IF(ISNUMBER(MATCH(orderHistory[order_type],$D$13,0)*MATCH(YEAR(orderHistory[invoice_date]),$D$15,0)),MATCH(ROW(orderHistory[customer]),ROW(orderHistory[customer])),""),ROWS($A$15:A46)+$B$3)))),IF($D$13="",IF($D$15="",INDEX(orderHistory[customer],SMALL(IF(ISNUMBER(MATCH(orderHistory[status],$D$11,0)),MATCH(ROW(orderHistory[customer]),ROW(orderHistory[customer])),""),ROWS($A$15:A46)+$B$3)),INDEX(orderHistory[customer],SMALL(IF(ISNUMBER(MATCH(orderHistory[status],$D$11,0)*MATCH(YEAR(orderHistory[invoice_date]),$D$15,0)),MATCH(ROW(orderHistory[customer]),ROW(orderHistory[customer])),""),ROWS($A$15:A46)+$B$3))),IF($D$15="",INDEX(orderHistory[customer],SMALL(IF(ISNUMBER(MATCH(orderHistory[status],$D$11,0)*MATCH(orderHistory[order_type],$D$13,0)),MATCH(ROW(orderHistory[customer]),ROW(orderHistory[customer])),""),ROWS($A$15:A46)+$B$3)),INDEX(orderHistory[customer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customer],SMALL(IF(ISNUMBER(MATCH(orderHistory[customer],$D$9,0)),MATCH(ROW(orderHistory[customer]),ROW(orderHistory[customer])),""),ROWS($A$15:A46)+$B$3)),INDEX(orderHistory[customer],SMALL(IF(ISNUMBER(MATCH(orderHistory[customer],$D$9,0)*MATCH(YEAR(orderHistory[invoice_date]),$D$15,0)),MATCH(ROW(orderHistory[customer]),ROW(orderHistory[customer])),""),ROWS($A$15:A46)+$B$3))),IF($D$15="",INDEX(orderHistory[customer],SMALL(IF(ISNUMBER(MATCH(orderHistory[customer],$D$9,0)*MATCH(orderHistory[order_type],$D$13,0)),MATCH(ROW(orderHistory[customer]),ROW(orderHistory[customer])),""),ROWS($A$15:A46)+$B$3)),INDEX(orderHistory[customer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YEAR(orderHistory[invoice_date]),$D$15,0)),MATCH(ROW(orderHistory[customer]),ROW(orderHistory[customer])),""),ROWS($A$15:A46)+$B$3))),IF($D$15="",INDEX(orderHistory[customer],SMALL(IF(ISNUMBER(MATCH(orderHistory[customer],$D$9,0)*MATCH(orderHistory[status],$D$11,0)*MATCH(orderHistory[order_type],$D$13,0)),MATCH(ROW(orderHistory[customer]),ROW(orderHistory[customer])),""),ROWS($A$15:A46)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M41" s="453" t="str">
        <f t="array" ref="M41">IFERROR(IF($D$9="",IF($D$11="",IF($D$13="",IF($D$15="",INDEX(orderHistory[order_no],SMALL(MATCH(ROW(orderHistory[customer]),ROW(orderHistory[customer])),ROWS($A$15:A46)+$B$3)),INDEX(orderHistory[order_no],SMALL(IF(ISNUMBER(MATCH(YEAR(orderHistory[invoice_date]),$D$15,0)),MATCH(ROW(orderHistory[customer]),ROW(orderHistory[customer])),""),ROWS($A$15:A46)+$B$3))),IF($D$15="",INDEX(orderHistory[order_no],SMALL(IF(ISNUMBER(MATCH(orderHistory[order_type],$D$13,0)),MATCH(ROW(orderHistory[customer]),ROW(orderHistory[customer])),""),ROWS($A$15:A46)+$B$3)),INDEX(orderHistory[order_no],SMALL(IF(ISNUMBER(MATCH(orderHistory[order_type],$D$13,0)*MATCH(YEAR(orderHistory[invoice_date]),$D$15,0)),MATCH(ROW(orderHistory[customer]),ROW(orderHistory[customer])),""),ROWS($A$15:A46)+$B$3)))),IF($D$13="",IF($D$15="",INDEX(orderHistory[order_no],SMALL(IF(ISNUMBER(MATCH(orderHistory[status],$D$11,0)),MATCH(ROW(orderHistory[customer]),ROW(orderHistory[customer])),""),ROWS($A$15:A46)+$B$3)),INDEX(orderHistory[order_no],SMALL(IF(ISNUMBER(MATCH(orderHistory[status],$D$11,0)*MATCH(YEAR(orderHistory[invoice_date]),$D$15,0)),MATCH(ROW(orderHistory[customer]),ROW(orderHistory[customer])),""),ROWS($A$15:A46)+$B$3))),IF($D$15="",INDEX(orderHistory[order_no],SMALL(IF(ISNUMBER(MATCH(orderHistory[status],$D$11,0)*MATCH(orderHistory[order_type],$D$13,0)),MATCH(ROW(orderHistory[customer]),ROW(orderHistory[customer])),""),ROWS($A$15:A46)+$B$3)),INDEX(orderHistory[order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no],SMALL(IF(ISNUMBER(MATCH(orderHistory[customer],$D$9,0)),MATCH(ROW(orderHistory[customer]),ROW(orderHistory[customer])),""),ROWS($A$15:A46)+$B$3)),INDEX(orderHistory[order_no],SMALL(IF(ISNUMBER(MATCH(orderHistory[customer],$D$9,0)*MATCH(YEAR(orderHistory[invoice_date]),$D$15,0)),MATCH(ROW(orderHistory[customer]),ROW(orderHistory[customer])),""),ROWS($A$15:A46)+$B$3))),IF($D$15="",INDEX(orderHistory[order_no],SMALL(IF(ISNUMBER(MATCH(orderHistory[customer],$D$9,0)*MATCH(orderHistory[order_type],$D$13,0)),MATCH(ROW(orderHistory[customer]),ROW(orderHistory[customer])),""),ROWS($A$15:A46)+$B$3)),INDEX(orderHistory[order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YEAR(orderHistory[invoice_date]),$D$15,0)),MATCH(ROW(orderHistory[customer]),ROW(orderHistory[customer])),""),ROWS($A$15:A46)+$B$3))),IF($D$15="",INDEX(orderHistory[order_no],SMALL(IF(ISNUMBER(MATCH(orderHistory[customer],$D$9,0)*MATCH(orderHistory[status],$D$11,0)*MATCH(orderHistory[order_type],$D$13,0)),MATCH(ROW(orderHistory[customer]),ROW(orderHistory[customer])),""),ROWS($A$15:A46)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N41" s="454" t="str">
        <f t="array" ref="N41">IFERROR(IF($D$9="",IF($D$11="",IF($D$13="",IF($D$15="",INDEX(orderHistory[order_type],SMALL(MATCH(ROW(orderHistory[customer]),ROW(orderHistory[customer])),ROWS($A$15:A46)+$B$3)),INDEX(orderHistory[order_type],SMALL(IF(ISNUMBER(MATCH(YEAR(orderHistory[invoice_date]),$D$15,0)),MATCH(ROW(orderHistory[customer]),ROW(orderHistory[customer])),""),ROWS($A$15:A46)+$B$3))),IF($D$15="",INDEX(orderHistory[order_type],SMALL(IF(ISNUMBER(MATCH(orderHistory[order_type],$D$13,0)),MATCH(ROW(orderHistory[customer]),ROW(orderHistory[customer])),""),ROWS($A$15:A46)+$B$3)),INDEX(orderHistory[order_type],SMALL(IF(ISNUMBER(MATCH(orderHistory[order_type],$D$13,0)*MATCH(YEAR(orderHistory[invoice_date]),$D$15,0)),MATCH(ROW(orderHistory[customer]),ROW(orderHistory[customer])),""),ROWS($A$15:A46)+$B$3)))),IF($D$13="",IF($D$15="",INDEX(orderHistory[order_type],SMALL(IF(ISNUMBER(MATCH(orderHistory[status],$D$11,0)),MATCH(ROW(orderHistory[customer]),ROW(orderHistory[customer])),""),ROWS($A$15:A46)+$B$3)),INDEX(orderHistory[order_type],SMALL(IF(ISNUMBER(MATCH(orderHistory[status],$D$11,0)*MATCH(YEAR(orderHistory[invoice_date]),$D$15,0)),MATCH(ROW(orderHistory[customer]),ROW(orderHistory[customer])),""),ROWS($A$15:A46)+$B$3))),IF($D$15="",INDEX(orderHistory[order_type],SMALL(IF(ISNUMBER(MATCH(orderHistory[status],$D$11,0)*MATCH(orderHistory[order_type],$D$13,0)),MATCH(ROW(orderHistory[customer]),ROW(orderHistory[customer])),""),ROWS($A$15:A46)+$B$3)),INDEX(orderHistory[order_typ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type],SMALL(IF(ISNUMBER(MATCH(orderHistory[customer],$D$9,0)),MATCH(ROW(orderHistory[customer]),ROW(orderHistory[customer])),""),ROWS($A$15:A46)+$B$3)),INDEX(orderHistory[order_type],SMALL(IF(ISNUMBER(MATCH(orderHistory[customer],$D$9,0)*MATCH(YEAR(orderHistory[invoice_date]),$D$15,0)),MATCH(ROW(orderHistory[customer]),ROW(orderHistory[customer])),""),ROWS($A$15:A46)+$B$3))),IF($D$15="",INDEX(orderHistory[order_type],SMALL(IF(ISNUMBER(MATCH(orderHistory[customer],$D$9,0)*MATCH(orderHistory[order_type],$D$13,0)),MATCH(ROW(orderHistory[customer]),ROW(orderHistory[customer])),""),ROWS($A$15:A46)+$B$3)),INDEX(orderHistory[order_typ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YEAR(orderHistory[invoice_date]),$D$15,0)),MATCH(ROW(orderHistory[customer]),ROW(orderHistory[customer])),""),ROWS($A$15:A46)+$B$3))),IF($D$15="",INDEX(orderHistory[order_type],SMALL(IF(ISNUMBER(MATCH(orderHistory[customer],$D$9,0)*MATCH(orderHistory[status],$D$11,0)*MATCH(orderHistory[order_type],$D$13,0)),MATCH(ROW(orderHistory[customer]),ROW(orderHistory[customer])),""),ROWS($A$15:A46)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O41" s="455" t="str">
        <f t="array" ref="O41">IFERROR(IF($D$9="",IF($D$11="",IF($D$13="",IF($D$15="",INDEX(orderHistory[order_date],SMALL(MATCH(ROW(orderHistory[customer]),ROW(orderHistory[customer])),ROWS($A$15:A46)+$B$3)),INDEX(orderHistory[order_date],SMALL(IF(ISNUMBER(MATCH(YEAR(orderHistory[invoice_date]),$D$15,0)),MATCH(ROW(orderHistory[customer]),ROW(orderHistory[customer])),""),ROWS($A$15:A46)+$B$3))),IF($D$15="",INDEX(orderHistory[order_date],SMALL(IF(ISNUMBER(MATCH(orderHistory[order_type],$D$13,0)),MATCH(ROW(orderHistory[customer]),ROW(orderHistory[customer])),""),ROWS($A$15:A46)+$B$3)),INDEX(orderHistory[order_date],SMALL(IF(ISNUMBER(MATCH(orderHistory[order_type],$D$13,0)*MATCH(YEAR(orderHistory[invoice_date]),$D$15,0)),MATCH(ROW(orderHistory[customer]),ROW(orderHistory[customer])),""),ROWS($A$15:A46)+$B$3)))),IF($D$13="",IF($D$15="",INDEX(orderHistory[order_date],SMALL(IF(ISNUMBER(MATCH(orderHistory[status],$D$11,0)),MATCH(ROW(orderHistory[customer]),ROW(orderHistory[customer])),""),ROWS($A$15:A46)+$B$3)),INDEX(orderHistory[order_date],SMALL(IF(ISNUMBER(MATCH(orderHistory[status],$D$11,0)*MATCH(YEAR(orderHistory[invoice_date]),$D$15,0)),MATCH(ROW(orderHistory[customer]),ROW(orderHistory[customer])),""),ROWS($A$15:A46)+$B$3))),IF($D$15="",INDEX(orderHistory[order_date],SMALL(IF(ISNUMBER(MATCH(orderHistory[status],$D$11,0)*MATCH(orderHistory[order_type],$D$13,0)),MATCH(ROW(orderHistory[customer]),ROW(orderHistory[customer])),""),ROWS($A$15:A46)+$B$3)),INDEX(orderHistory[order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date],SMALL(IF(ISNUMBER(MATCH(orderHistory[customer],$D$9,0)),MATCH(ROW(orderHistory[customer]),ROW(orderHistory[customer])),""),ROWS($A$15:A46)+$B$3)),INDEX(orderHistory[order_date],SMALL(IF(ISNUMBER(MATCH(orderHistory[customer],$D$9,0)*MATCH(YEAR(orderHistory[invoice_date]),$D$15,0)),MATCH(ROW(orderHistory[customer]),ROW(orderHistory[customer])),""),ROWS($A$15:A46)+$B$3))),IF($D$15="",INDEX(orderHistory[order_date],SMALL(IF(ISNUMBER(MATCH(orderHistory[customer],$D$9,0)*MATCH(orderHistory[order_type],$D$13,0)),MATCH(ROW(orderHistory[customer]),ROW(orderHistory[customer])),""),ROWS($A$15:A46)+$B$3)),INDEX(orderHistory[order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YEAR(orderHistory[invoice_date]),$D$15,0)),MATCH(ROW(orderHistory[customer]),ROW(orderHistory[customer])),""),ROWS($A$15:A46)+$B$3))),IF($D$15="",INDEX(orderHistory[order_date],SMALL(IF(ISNUMBER(MATCH(orderHistory[customer],$D$9,0)*MATCH(orderHistory[status],$D$11,0)*MATCH(orderHistory[order_type],$D$13,0)),MATCH(ROW(orderHistory[customer]),ROW(orderHistory[customer])),""),ROWS($A$15:A46)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P41" s="456" t="str">
        <f t="array" ref="P41">IFERROR(IF($D$9="",IF($D$11="",IF($D$13="",IF($D$15="",INDEX(orderHistory[invoice_no],SMALL(MATCH(ROW(orderHistory[customer]),ROW(orderHistory[customer])),ROWS($A$15:A46)+$B$3)),INDEX(orderHistory[invoice_no],SMALL(IF(ISNUMBER(MATCH(YEAR(orderHistory[invoice_date]),$D$15,0)),MATCH(ROW(orderHistory[customer]),ROW(orderHistory[customer])),""),ROWS($A$15:A46)+$B$3))),IF($D$15="",INDEX(orderHistory[invoice_no],SMALL(IF(ISNUMBER(MATCH(orderHistory[order_type],$D$13,0)),MATCH(ROW(orderHistory[customer]),ROW(orderHistory[customer])),""),ROWS($A$15:A46)+$B$3)),INDEX(orderHistory[invoice_no],SMALL(IF(ISNUMBER(MATCH(orderHistory[order_type],$D$13,0)*MATCH(YEAR(orderHistory[invoice_date]),$D$15,0)),MATCH(ROW(orderHistory[customer]),ROW(orderHistory[customer])),""),ROWS($A$15:A46)+$B$3)))),IF($D$13="",IF($D$15="",INDEX(orderHistory[invoice_no],SMALL(IF(ISNUMBER(MATCH(orderHistory[status],$D$11,0)),MATCH(ROW(orderHistory[customer]),ROW(orderHistory[customer])),""),ROWS($A$15:A46)+$B$3)),INDEX(orderHistory[invoice_no],SMALL(IF(ISNUMBER(MATCH(orderHistory[status],$D$11,0)*MATCH(YEAR(orderHistory[invoice_date]),$D$15,0)),MATCH(ROW(orderHistory[customer]),ROW(orderHistory[customer])),""),ROWS($A$15:A46)+$B$3))),IF($D$15="",INDEX(orderHistory[invoice_no],SMALL(IF(ISNUMBER(MATCH(orderHistory[status],$D$11,0)*MATCH(orderHistory[order_type],$D$13,0)),MATCH(ROW(orderHistory[customer]),ROW(orderHistory[customer])),""),ROWS($A$15:A46)+$B$3)),INDEX(orderHistory[invoice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no],SMALL(IF(ISNUMBER(MATCH(orderHistory[customer],$D$9,0)),MATCH(ROW(orderHistory[customer]),ROW(orderHistory[customer])),""),ROWS($A$15:A46)+$B$3)),INDEX(orderHistory[invoice_no],SMALL(IF(ISNUMBER(MATCH(orderHistory[customer],$D$9,0)*MATCH(YEAR(orderHistory[invoice_date]),$D$15,0)),MATCH(ROW(orderHistory[customer]),ROW(orderHistory[customer])),""),ROWS($A$15:A46)+$B$3))),IF($D$15="",INDEX(orderHistory[invoice_no],SMALL(IF(ISNUMBER(MATCH(orderHistory[customer],$D$9,0)*MATCH(orderHistory[order_type],$D$13,0)),MATCH(ROW(orderHistory[customer]),ROW(orderHistory[customer])),""),ROWS($A$15:A46)+$B$3)),INDEX(orderHistory[invoice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YEAR(orderHistory[invoice_date]),$D$15,0)),MATCH(ROW(orderHistory[customer]),ROW(orderHistory[customer])),""),ROWS($A$15:A46)+$B$3))),IF($D$15="",INDEX(orderHistory[invoice_no],SMALL(IF(ISNUMBER(MATCH(orderHistory[customer],$D$9,0)*MATCH(orderHistory[status],$D$11,0)*MATCH(orderHistory[order_type],$D$13,0)),MATCH(ROW(orderHistory[customer]),ROW(orderHistory[customer])),""),ROWS($A$15:A46)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Q41" s="457" t="str">
        <f t="array" ref="Q41">IFERROR(IF($D$9="",IF($D$11="",IF($D$13="",IF($D$15="",INDEX(orderHistory[invoice_date],SMALL(MATCH(ROW(orderHistory[customer]),ROW(orderHistory[customer])),ROWS($A$15:A46)+$B$3)),INDEX(orderHistory[invoice_date],SMALL(IF(ISNUMBER(MATCH(YEAR(orderHistory[invoice_date]),$D$15,0)),MATCH(ROW(orderHistory[customer]),ROW(orderHistory[customer])),""),ROWS($A$15:A46)+$B$3))),IF($D$15="",INDEX(orderHistory[invoice_date],SMALL(IF(ISNUMBER(MATCH(orderHistory[order_type],$D$13,0)),MATCH(ROW(orderHistory[customer]),ROW(orderHistory[customer])),""),ROWS($A$15:A46)+$B$3)),INDEX(orderHistory[invoice_date],SMALL(IF(ISNUMBER(MATCH(orderHistory[order_type],$D$13,0)*MATCH(YEAR(orderHistory[invoice_date]),$D$15,0)),MATCH(ROW(orderHistory[customer]),ROW(orderHistory[customer])),""),ROWS($A$15:A46)+$B$3)))),IF($D$13="",IF($D$15="",INDEX(orderHistory[invoice_date],SMALL(IF(ISNUMBER(MATCH(orderHistory[status],$D$11,0)),MATCH(ROW(orderHistory[customer]),ROW(orderHistory[customer])),""),ROWS($A$15:A46)+$B$3)),INDEX(orderHistory[invoice_date],SMALL(IF(ISNUMBER(MATCH(orderHistory[status],$D$11,0)*MATCH(YEAR(orderHistory[invoice_date]),$D$15,0)),MATCH(ROW(orderHistory[customer]),ROW(orderHistory[customer])),""),ROWS($A$15:A46)+$B$3))),IF($D$15="",INDEX(orderHistory[invoice_date],SMALL(IF(ISNUMBER(MATCH(orderHistory[status],$D$11,0)*MATCH(orderHistory[order_type],$D$13,0)),MATCH(ROW(orderHistory[customer]),ROW(orderHistory[customer])),""),ROWS($A$15:A46)+$B$3)),INDEX(orderHistory[invoice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date],SMALL(IF(ISNUMBER(MATCH(orderHistory[customer],$D$9,0)),MATCH(ROW(orderHistory[customer]),ROW(orderHistory[customer])),""),ROWS($A$15:A46)+$B$3)),INDEX(orderHistory[invoice_date],SMALL(IF(ISNUMBER(MATCH(orderHistory[customer],$D$9,0)*MATCH(YEAR(orderHistory[invoice_date]),$D$15,0)),MATCH(ROW(orderHistory[customer]),ROW(orderHistory[customer])),""),ROWS($A$15:A46)+$B$3))),IF($D$15="",INDEX(orderHistory[invoice_date],SMALL(IF(ISNUMBER(MATCH(orderHistory[customer],$D$9,0)*MATCH(orderHistory[order_type],$D$13,0)),MATCH(ROW(orderHistory[customer]),ROW(orderHistory[customer])),""),ROWS($A$15:A46)+$B$3)),INDEX(orderHistory[invoice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YEAR(orderHistory[invoice_date]),$D$15,0)),MATCH(ROW(orderHistory[customer]),ROW(orderHistory[customer])),""),ROWS($A$15:A46)+$B$3))),IF($D$15="",INDEX(orderHistory[invoice_date],SMALL(IF(ISNUMBER(MATCH(orderHistory[customer],$D$9,0)*MATCH(orderHistory[status],$D$11,0)*MATCH(orderHistory[order_type],$D$13,0)),MATCH(ROW(orderHistory[customer]),ROW(orderHistory[customer])),""),ROWS($A$15:A46)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R41" s="458" t="str">
        <f t="array" ref="R41">IFERROR(IF($D$9="",IF($D$11="",IF($D$13="",IF($D$15="",INDEX(orderHistory[inv_amount],SMALL(MATCH(ROW(orderHistory[customer]),ROW(orderHistory[customer])),ROWS($A$15:A46)+$B$3)),INDEX(orderHistory[inv_amount],SMALL(IF(ISNUMBER(MATCH(YEAR(orderHistory[invoice_date]),$D$15,0)),MATCH(ROW(orderHistory[customer]),ROW(orderHistory[customer])),""),ROWS($A$15:A46)+$B$3))),IF($D$15="",INDEX(orderHistory[inv_amount],SMALL(IF(ISNUMBER(MATCH(orderHistory[order_type],$D$13,0)),MATCH(ROW(orderHistory[customer]),ROW(orderHistory[customer])),""),ROWS($A$15:A46)+$B$3)),INDEX(orderHistory[inv_amount],SMALL(IF(ISNUMBER(MATCH(orderHistory[order_type],$D$13,0)*MATCH(YEAR(orderHistory[invoice_date]),$D$15,0)),MATCH(ROW(orderHistory[customer]),ROW(orderHistory[customer])),""),ROWS($A$15:A46)+$B$3)))),IF($D$13="",IF($D$15="",INDEX(orderHistory[inv_amount],SMALL(IF(ISNUMBER(MATCH(orderHistory[status],$D$11,0)),MATCH(ROW(orderHistory[customer]),ROW(orderHistory[customer])),""),ROWS($A$15:A46)+$B$3)),INDEX(orderHistory[inv_amount],SMALL(IF(ISNUMBER(MATCH(orderHistory[status],$D$11,0)*MATCH(YEAR(orderHistory[invoice_date]),$D$15,0)),MATCH(ROW(orderHistory[customer]),ROW(orderHistory[customer])),""),ROWS($A$15:A46)+$B$3))),IF($D$15="",INDEX(orderHistory[inv_amount],SMALL(IF(ISNUMBER(MATCH(orderHistory[status],$D$11,0)*MATCH(orderHistory[order_type],$D$13,0)),MATCH(ROW(orderHistory[customer]),ROW(orderHistory[customer])),""),ROWS($A$15:A46)+$B$3)),INDEX(orderHistory[inv_amount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_amount],SMALL(IF(ISNUMBER(MATCH(orderHistory[customer],$D$9,0)),MATCH(ROW(orderHistory[customer]),ROW(orderHistory[customer])),""),ROWS($A$15:A46)+$B$3)),INDEX(orderHistory[inv_amount],SMALL(IF(ISNUMBER(MATCH(orderHistory[customer],$D$9,0)*MATCH(YEAR(orderHistory[invoice_date]),$D$15,0)),MATCH(ROW(orderHistory[customer]),ROW(orderHistory[customer])),""),ROWS($A$15:A46)+$B$3))),IF($D$15="",INDEX(orderHistory[inv_amount],SMALL(IF(ISNUMBER(MATCH(orderHistory[customer],$D$9,0)*MATCH(orderHistory[order_type],$D$13,0)),MATCH(ROW(orderHistory[customer]),ROW(orderHistory[customer])),""),ROWS($A$15:A46)+$B$3)),INDEX(orderHistory[inv_amount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YEAR(orderHistory[inv_amount]),$D$15,0)),MATCH(ROW(orderHistory[customer]),ROW(orderHistory[customer])),""),ROWS($A$15:A46)+$B$3))),IF($D$15="",INDEX(orderHistory[inv_amount],SMALL(IF(ISNUMBER(MATCH(orderHistory[customer],$D$9,0)*MATCH(orderHistory[status],$D$11,0)*MATCH(orderHistory[order_type],$D$13,0)),MATCH(ROW(orderHistory[customer]),ROW(orderHistory[customer])),""),ROWS($A$15:A46)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S41" s="569" t="str">
        <f t="array" ref="S41">IFERROR(IF($D$9="",IF($D$11="",IF($D$13="",IF($D$15="",INDEX(orderHistory[lock_goods],SMALL(MATCH(ROW(orderHistory[customer]),ROW(orderHistory[customer])),ROWS($A$15:A46)+$B$3)),INDEX(orderHistory[lock_goods],SMALL(IF(ISNUMBER(MATCH(YEAR(orderHistory[invoice_date]),$D$15,0)),MATCH(ROW(orderHistory[customer]),ROW(orderHistory[customer])),""),ROWS($A$15:A46)+$B$3))),IF($D$15="",INDEX(orderHistory[lock_goods],SMALL(IF(ISNUMBER(MATCH(orderHistory[order_type],$D$13,0)),MATCH(ROW(orderHistory[customer]),ROW(orderHistory[customer])),""),ROWS($A$15:A46)+$B$3)),INDEX(orderHistory[lock_goods],SMALL(IF(ISNUMBER(MATCH(orderHistory[order_type],$D$13,0)*MATCH(YEAR(orderHistory[invoice_date]),$D$15,0)),MATCH(ROW(orderHistory[customer]),ROW(orderHistory[customer])),""),ROWS($A$15:A46)+$B$3)))),IF($D$13="",IF($D$15="",INDEX(orderHistory[lock_goods],SMALL(IF(ISNUMBER(MATCH(orderHistory[status],$D$11,0)),MATCH(ROW(orderHistory[customer]),ROW(orderHistory[customer])),""),ROWS($A$15:A46)+$B$3)),INDEX(orderHistory[lock_goods],SMALL(IF(ISNUMBER(MATCH(orderHistory[status],$D$11,0)*MATCH(YEAR(orderHistory[invoice_date]),$D$15,0)),MATCH(ROW(orderHistory[customer]),ROW(orderHistory[customer])),""),ROWS($A$15:A46)+$B$3))),IF($D$15="",INDEX(orderHistory[lock_goods],SMALL(IF(ISNUMBER(MATCH(orderHistory[status],$D$11,0)*MATCH(orderHistory[order_type],$D$13,0)),MATCH(ROW(orderHistory[customer]),ROW(orderHistory[customer])),""),ROWS($A$15:A46)+$B$3)),INDEX(orderHistory[lock_good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lock_goods],SMALL(IF(ISNUMBER(MATCH(orderHistory[customer],$D$9,0)),MATCH(ROW(orderHistory[customer]),ROW(orderHistory[customer])),""),ROWS($A$15:A46)+$B$3)),INDEX(orderHistory[lock_goods],SMALL(IF(ISNUMBER(MATCH(orderHistory[customer],$D$9,0)*MATCH(YEAR(orderHistory[invoice_date]),$D$15,0)),MATCH(ROW(orderHistory[customer]),ROW(orderHistory[customer])),""),ROWS($A$15:A46)+$B$3))),IF($D$15="",INDEX(orderHistory[lock_goods],SMALL(IF(ISNUMBER(MATCH(orderHistory[customer],$D$9,0)*MATCH(orderHistory[order_type],$D$13,0)),MATCH(ROW(orderHistory[customer]),ROW(orderHistory[customer])),""),ROWS($A$15:A46)+$B$3)),INDEX(orderHistory[lock_good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lock_goods],SMALL(IF(ISNUMBER(MATCH(orderHistory[customer],$D$9,0)*MATCH(orderHistory[status],$D$11,0)),MATCH(ROW(orderHistory[customer]),ROW(orderHistory[customer])),""),ROWS($A$15:A46)+$B$3)),INDEX(orderHistory[lock_goods],SMALL(IF(ISNUMBER(MATCH(orderHistory[customer],$D$9,0)*MATCH(orderHistory[status],$D$11,0)*MATCH(YEAR(orderHistory[payed]),$D$15,0)),MATCH(ROW(orderHistory[customer]),ROW(orderHistory[customer])),""),ROWS($A$15:A46)+$B$3))),IF($D$15="",INDEX(orderHistory[lock_goods],SMALL(IF(ISNUMBER(MATCH(orderHistory[customer],$D$9,0)*MATCH(orderHistory[status],$D$11,0)*MATCH(orderHistory[order_type],$D$13,0)),MATCH(ROW(orderHistory[customer]),ROW(orderHistory[customer])),""),ROWS($A$15:A46)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T41" s="459" t="str">
        <f t="array" ref="T41">IFERROR(IF($D$9="",IF($D$11="",IF($D$13="",IF($D$15="",INDEX(orderHistory[payed],SMALL(MATCH(ROW(orderHistory[customer]),ROW(orderHistory[customer])),ROWS($A$15:A46)+$B$3)),INDEX(orderHistory[payed],SMALL(IF(ISNUMBER(MATCH(YEAR(orderHistory[invoice_date]),$D$15,0)),MATCH(ROW(orderHistory[customer]),ROW(orderHistory[customer])),""),ROWS($A$15:A46)+$B$3))),IF($D$15="",INDEX(orderHistory[payed],SMALL(IF(ISNUMBER(MATCH(orderHistory[order_type],$D$13,0)),MATCH(ROW(orderHistory[customer]),ROW(orderHistory[customer])),""),ROWS($A$15:A46)+$B$3)),INDEX(orderHistory[payed],SMALL(IF(ISNUMBER(MATCH(orderHistory[order_type],$D$13,0)*MATCH(YEAR(orderHistory[invoice_date]),$D$15,0)),MATCH(ROW(orderHistory[customer]),ROW(orderHistory[customer])),""),ROWS($A$15:A46)+$B$3)))),IF($D$13="",IF($D$15="",INDEX(orderHistory[payed],SMALL(IF(ISNUMBER(MATCH(orderHistory[status],$D$11,0)),MATCH(ROW(orderHistory[customer]),ROW(orderHistory[customer])),""),ROWS($A$15:A46)+$B$3)),INDEX(orderHistory[payed],SMALL(IF(ISNUMBER(MATCH(orderHistory[status],$D$11,0)*MATCH(YEAR(orderHistory[invoice_date]),$D$15,0)),MATCH(ROW(orderHistory[customer]),ROW(orderHistory[customer])),""),ROWS($A$15:A46)+$B$3))),IF($D$15="",INDEX(orderHistory[payed],SMALL(IF(ISNUMBER(MATCH(orderHistory[status],$D$11,0)*MATCH(orderHistory[order_type],$D$13,0)),MATCH(ROW(orderHistory[customer]),ROW(orderHistory[customer])),""),ROWS($A$15:A46)+$B$3)),INDEX(orderHistory[paye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payed],SMALL(IF(ISNUMBER(MATCH(orderHistory[customer],$D$9,0)),MATCH(ROW(orderHistory[customer]),ROW(orderHistory[customer])),""),ROWS($A$15:A46)+$B$3)),INDEX(orderHistory[payed],SMALL(IF(ISNUMBER(MATCH(orderHistory[customer],$D$9,0)*MATCH(YEAR(orderHistory[invoice_date]),$D$15,0)),MATCH(ROW(orderHistory[customer]),ROW(orderHistory[customer])),""),ROWS($A$15:A46)+$B$3))),IF($D$15="",INDEX(orderHistory[payed],SMALL(IF(ISNUMBER(MATCH(orderHistory[customer],$D$9,0)*MATCH(orderHistory[order_type],$D$13,0)),MATCH(ROW(orderHistory[customer]),ROW(orderHistory[customer])),""),ROWS($A$15:A46)+$B$3)),INDEX(orderHistory[paye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YEAR(orderHistory[payed]),$D$15,0)),MATCH(ROW(orderHistory[customer]),ROW(orderHistory[customer])),""),ROWS($A$15:A46)+$B$3))),IF($D$15="",INDEX(orderHistory[payed],SMALL(IF(ISNUMBER(MATCH(orderHistory[customer],$D$9,0)*MATCH(orderHistory[status],$D$11,0)*MATCH(orderHistory[order_type],$D$13,0)),MATCH(ROW(orderHistory[customer]),ROW(orderHistory[customer])),""),ROWS($A$15:A46)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U41" s="454" t="str">
        <f t="array" ref="U41">IFERROR(IF($D$9="",IF($D$11="",IF($D$13="",IF($D$15="",INDEX(orderHistory[shipping_method],SMALL(MATCH(ROW(orderHistory[customer]),ROW(orderHistory[customer])),ROWS($A$15:A46)+$B$3)),INDEX(orderHistory[shipping_method],SMALL(IF(ISNUMBER(MATCH(YEAR(orderHistory[invoice_date]),$D$15,0)),MATCH(ROW(orderHistory[customer]),ROW(orderHistory[customer])),""),ROWS($A$15:A46)+$B$3))),IF($D$15="",INDEX(orderHistory[shipping_method],SMALL(IF(ISNUMBER(MATCH(orderHistory[order_type],$D$13,0)),MATCH(ROW(orderHistory[customer]),ROW(orderHistory[customer])),""),ROWS($A$15:A46)+$B$3)),INDEX(orderHistory[shipping_method],SMALL(IF(ISNUMBER(MATCH(orderHistory[order_type],$D$13,0)*MATCH(YEAR(orderHistory[invoice_date]),$D$15,0)),MATCH(ROW(orderHistory[customer]),ROW(orderHistory[customer])),""),ROWS($A$15:A46)+$B$3)))),IF($D$13="",IF($D$15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YEAR(orderHistory[invoice_date]),$D$15,0)),MATCH(ROW(orderHistory[customer]),ROW(orderHistory[customer])),""),ROWS($A$15:A46)+$B$3))),IF($D$15="",INDEX(orderHistory[shipping_method],SMALL(IF(ISNUMBER(MATCH(orderHistory[status],$D$11,0)*MATCH(orderHistory[order_type],$D$13,0)),MATCH(ROW(orderHistory[customer]),ROW(orderHistory[customer])),""),ROWS($A$15:A46)+$B$3)),INDEX(orderHistory[shipping_metho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YEAR(orderHistory[invoice_date]),$D$15,0)),MATCH(ROW(orderHistory[customer]),ROW(orderHistory[customer])),""),ROWS($A$15:A46)+$B$3))),IF($D$15="",INDEX(orderHistory[shipping_method],SMALL(IF(ISNUMBER(MATCH(orderHistory[customer],$D$9,0)*MATCH(orderHistory[order_type],$D$13,0)),MATCH(ROW(orderHistory[customer]),ROW(orderHistory[customer])),""),ROWS($A$15:A46)+$B$3)),INDEX(orderHistory[shipping_metho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YEAR(orderHistory[shipping_method]),$D$15,0)),MATCH(ROW(orderHistory[customer]),ROW(orderHistory[customer])),""),ROWS($A$15:A46)+$B$3))),IF($D$15="",INDEX(orderHistory[shipping_method],SMALL(IF(ISNUMBER(MATCH(orderHistory[customer],$D$9,0)*MATCH(orderHistory[status],$D$11,0)*MATCH(orderHistory[order_type],$D$13,0)),MATCH(ROW(orderHistory[customer]),ROW(orderHistory[customer])),""),ROWS($A$15:A46)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V41" s="460" t="str">
        <f t="array" ref="V41">IFERROR(IF($D$9="",IF($D$11="",IF($D$13="",IF($D$15="",INDEX(orderHistory[status],SMALL(MATCH(ROW(orderHistory[customer]),ROW(orderHistory[customer])),ROWS($A$15:A46)+$B$3)),INDEX(orderHistory[status],SMALL(IF(ISNUMBER(MATCH(YEAR(orderHistory[invoice_date]),$D$15,0)),MATCH(ROW(orderHistory[customer]),ROW(orderHistory[customer])),""),ROWS($A$15:A46)+$B$3))),IF($D$15="",INDEX(orderHistory[status],SMALL(IF(ISNUMBER(MATCH(orderHistory[order_type],$D$13,0)),MATCH(ROW(orderHistory[customer]),ROW(orderHistory[customer])),""),ROWS($A$15:A46)+$B$3)),INDEX(orderHistory[status],SMALL(IF(ISNUMBER(MATCH(orderHistory[order_type],$D$13,0)*MATCH(YEAR(orderHistory[invoice_date]),$D$15,0)),MATCH(ROW(orderHistory[customer]),ROW(orderHistory[customer])),""),ROWS($A$15:A46)+$B$3)))),IF($D$13="",IF($D$15="",INDEX(orderHistory[status],SMALL(IF(ISNUMBER(MATCH(orderHistory[status],$D$11,0)),MATCH(ROW(orderHistory[customer]),ROW(orderHistory[customer])),""),ROWS($A$15:A46)+$B$3)),INDEX(orderHistory[status],SMALL(IF(ISNUMBER(MATCH(orderHistory[status],$D$11,0)*MATCH(YEAR(orderHistory[invoice_date]),$D$15,0)),MATCH(ROW(orderHistory[customer]),ROW(orderHistory[customer])),""),ROWS($A$15:A46)+$B$3))),IF($D$15="",INDEX(orderHistory[status],SMALL(IF(ISNUMBER(MATCH(orderHistory[status],$D$11,0)*MATCH(orderHistory[order_type],$D$13,0)),MATCH(ROW(orderHistory[customer]),ROW(orderHistory[customer])),""),ROWS($A$15:A46)+$B$3)),INDEX(orderHistory[statu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tatus],SMALL(IF(ISNUMBER(MATCH(orderHistory[customer],$D$9,0)),MATCH(ROW(orderHistory[customer]),ROW(orderHistory[customer])),""),ROWS($A$15:A46)+$B$3)),INDEX(orderHistory[status],SMALL(IF(ISNUMBER(MATCH(orderHistory[customer],$D$9,0)*MATCH(YEAR(orderHistory[invoice_date]),$D$15,0)),MATCH(ROW(orderHistory[customer]),ROW(orderHistory[customer])),""),ROWS($A$15:A46)+$B$3))),IF($D$15="",INDEX(orderHistory[status],SMALL(IF(ISNUMBER(MATCH(orderHistory[customer],$D$9,0)*MATCH(orderHistory[order_type],$D$13,0)),MATCH(ROW(orderHistory[customer]),ROW(orderHistory[customer])),""),ROWS($A$15:A46)+$B$3)),INDEX(orderHistory[statu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YEAR(orderHistory[status]),$D$15,0)),MATCH(ROW(orderHistory[customer]),ROW(orderHistory[customer])),""),ROWS($A$15:A46)+$B$3))),IF($D$15="",INDEX(orderHistory[status],SMALL(IF(ISNUMBER(MATCH(orderHistory[customer],$D$9,0)*MATCH(orderHistory[status],$D$11,0)*MATCH(orderHistory[order_type],$D$13,0)),MATCH(ROW(orderHistory[customer]),ROW(orderHistory[customer])),""),ROWS($A$15:A46)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W41" s="75"/>
      <c r="BK41" s="366"/>
      <c r="BL41" s="367"/>
      <c r="BM41" s="368"/>
      <c r="BN41" s="367"/>
      <c r="BO41" s="368"/>
      <c r="BZ41" s="476"/>
      <c r="CA41" s="477" t="str">
        <f>IF(BZ41="","",INDEX(bhpc_data[description],MATCH(BZ41,bhpc_data[sku],0)))</f>
        <v/>
      </c>
      <c r="CB41" s="480"/>
      <c r="CC41" s="479"/>
      <c r="CD41" s="494"/>
      <c r="CE41" s="481"/>
      <c r="CF41" s="482"/>
      <c r="CG41" s="483" t="str">
        <f>IFERROR(ROUNDUP(CB41/INDEX(bhpc_data[units_per_carton],MATCH(BZ41,bhpc_data[sku],0)),0),"")</f>
        <v/>
      </c>
      <c r="CH41" s="484" t="str">
        <f>IFERROR(ROUNDUP(CD41/INDEX(bhpc_data[units_per_carton],MATCH(BZ41,bhpc_data[sku],0)),0),"")</f>
        <v/>
      </c>
      <c r="CI41" s="484" t="str">
        <f>IFERROR(ROUNDUP(CF41/INDEX(bhpc_data[units_per_carton],MATCH(BZ41,bhpc_data[sku])),0),"")</f>
        <v/>
      </c>
      <c r="CJ41" s="484" t="str">
        <f>IFERROR(((CB41+CD41+CF41)/INDEX(bhpc_data[units_per_carton],MATCH(BZ41,bhpc_data[sku],0)))*INDEX(bhpc_data[net_weight],MATCH(BZ41,bhpc_data[sku],0)),"")</f>
        <v/>
      </c>
      <c r="CK41" s="484" t="str">
        <f>IFERROR(((CB41+CD41+CF41)/INDEX(bhpc_data[units_per_carton],MATCH(BZ41,bhpc_data[sku],0)))*INDEX(bhpc_data[gross_weight],MATCH(BZ41,bhpc_data[sku],0)),"")</f>
        <v/>
      </c>
      <c r="CL41" s="485" t="str">
        <f>IFERROR((CB41+CD41+CF41)/INDEX(bhpc_data[units_per_carton],MATCH(BZ41,bhpc_data[sku],0))*INDEX(bhpc_data[lenght],MATCH(BZ41,bhpc_data[sku],0))*INDEX(bhpc_data[width],MATCH(BZ41,bhpc_data[sku],0))*INDEX(bhpc_data[height],MATCH(BZ41,bhpc_data[sku],0))/1000000000,"")</f>
        <v/>
      </c>
      <c r="CM41" s="486" t="str">
        <f>IFERROR(INDEX(bhpc_data[category],MATCH(BZ41,bhpc_data[sku],0)),"")</f>
        <v/>
      </c>
      <c r="CN41" s="486" t="str">
        <f>IFERROR(INDEX(bhpc_data[size1],MATCH(BZ41,bhpc_data[sku],0)),"")</f>
        <v/>
      </c>
      <c r="CO41" s="487" t="str">
        <f>IFERROR(INDEX(bhpc_data[hs_code],MATCH(BZ41,bhpc_data[sku],0)),"")</f>
        <v/>
      </c>
      <c r="CP41" s="482"/>
      <c r="CQ41" s="488" t="str">
        <f>IFERROR(IF(BZ41="","",IF($BX$15="SALE",INDEX(inventory[COSTO UNITARIO],MATCH(BZ41,inventory[ARTICOLO],0)),IF($BX$15="SAMPLING",INDEX(inventory[COSTO UNITARIO],MATCH(BZ41,inventory[ARTICOLO],0)),""))),"")</f>
        <v/>
      </c>
      <c r="CR41" s="488" t="str">
        <f t="shared" si="0"/>
        <v/>
      </c>
      <c r="CS41" s="489" t="str">
        <f t="shared" si="1"/>
        <v/>
      </c>
      <c r="CT41" s="573" t="str">
        <f t="shared" si="2"/>
        <v/>
      </c>
      <c r="CU41" s="350"/>
      <c r="CV41" s="431"/>
      <c r="CW41" s="350"/>
      <c r="CX41" s="350"/>
      <c r="CY41" s="350"/>
      <c r="CZ41" s="350"/>
      <c r="DH41" s="245"/>
      <c r="EE41" s="541" t="str" cm="1">
        <f t="array" ref="EE41">IFERROR(IF($EC$9="",IF($EC$11="",IF($EC$13="",INDEX(bhpc_data[sku],SMALL(MATCH(ROW(bhpc_data[sku]),ROW(bhpc_data[sku])),ROWS($A$15:A46)+$B$3)),INDEX(bhpc_data[sku],SMALL(IF(ISNUMBER(MATCH(bhpc_data[size1],$EC$13,0)),MATCH(ROW(bhpc_data[sku]),ROW(bhpc_data[sku])),""),ROWS($A$15:A46)+$B$3))),IF($EC$13="",INDEX(bhpc_data[sku],SMALL(IF(ISNUMBER(MATCH(bhpc_data[sex],$EC$11,0)),MATCH(ROW(bhpc_data[sku]),ROW(bhpc_data[sku])),""),ROWS($A$15:A46)+$B$3)),INDEX(bhpc_data[sku],SMALL(IF(ISNUMBER(MATCH(bhpc_data[sex],$EC$11,0)*MATCH(bhpc_data[size1],$EC$13,0)),MATCH(ROW(bhpc_data[sku]),ROW(bhpc_data[sku])),""),ROWS($A$15:A46)+$B$3)))),IF($EC$11="",IF($EC$13="",INDEX(bhpc_data[sku],SMALL(IF(ISNUMBER(MATCH(bhpc_data[category],$EC$9,0)),MATCH(ROW(bhpc_data[sku]),ROW(bhpc_data[sku])),""),ROWS($A$15:A46)+$B$3)),INDEX(bhpc_data[sku],SMALL(IF(ISNUMBER(MATCH(bhpc_data[category],$EC$9,0)*MATCH(bhpc_data[size1],$EC$13,0)),MATCH(ROW(bhpc_data[sku]),ROW(bhpc_data[sku])),""),ROWS($A$15:A46)+$B$3))),IF($EC$13="",INDEX(bhpc_data[sku],SMALL(IF(ISNUMBER(MATCH(bhpc_data[category],$EC$9,0)*MATCH(bhpc_data[sex],$EC$11,0)),MATCH(ROW(bhpc_data[sku]),ROW(bhpc_data[sku])),""),ROWS($A$15:A46)+$B$3)),INDEX(bhpc_data[sku],SMALL(IF(ISNUMBER(MATCH(bhpc_data[category],$EC$9,0)*MATCH(bhpc_data[sex],$EC$11,0)*MATCH(bhpc_data[size1],$EC$13,0)),MATCH(ROW(bhpc_data[sku]),ROW(bhpc_data[sku])),""),ROWS($A$15:A46)+$B$3))))),"")</f>
        <v>GSTW18</v>
      </c>
      <c r="EF41" s="542" t="str" cm="1">
        <f t="array" ref="EF41">IFERROR(IF($EC$9="",IF($EC$11="",IF($EC$13="",INDEX(bhpc_data[description],SMALL(MATCH(ROW(bhpc_data[sku]),ROW(bhpc_data[sku])),ROWS($A$15:A46)+$B$3)),INDEX(bhpc_data[description],SMALL(IF(ISNUMBER(MATCH(bhpc_data[size1],$EC$13,0)),MATCH(ROW(bhpc_data[sku]),ROW(bhpc_data[sku])),""),ROWS($A$15:A46)+$B$3))),IF($EC$13="",INDEX(bhpc_data[description],SMALL(IF(ISNUMBER(MATCH(bhpc_data[sex],$EC$11,0)),MATCH(ROW(bhpc_data[sku]),ROW(bhpc_data[sku])),""),ROWS($A$15:A46)+$B$3)),INDEX(bhpc_data[description],SMALL(IF(ISNUMBER(MATCH(bhpc_data[sex],$EC$11,0)*MATCH(bhpc_data[size1],$EC$13,0)),MATCH(ROW(bhpc_data[sku]),ROW(bhpc_data[sku])),""),ROWS($A$15:A46)+$B$3)))),IF($EC$11="",IF($EC$13="",INDEX(bhpc_data[description],SMALL(IF(ISNUMBER(MATCH(bhpc_data[category],$EC$9,0)),MATCH(ROW(bhpc_data[sku]),ROW(bhpc_data[sku])),""),ROWS($A$15:A46)+$B$3)),INDEX(bhpc_data[description],SMALL(IF(ISNUMBER(MATCH(bhpc_data[category],$EC$9,0)*MATCH(bhpc_data[size1],$EC$13,0)),MATCH(ROW(bhpc_data[sku]),ROW(bhpc_data[sku])),""),ROWS($A$15:A46)+$B$3))),IF($EC$13="",INDEX(bhpc_data[description],SMALL(IF(ISNUMBER(MATCH(bhpc_data[category],$EC$9,0)*MATCH(bhpc_data[sex],$EC$11,0)),MATCH(ROW(bhpc_data[sku]),ROW(bhpc_data[sku])),""),ROWS($A$15:A46)+$B$3)),INDEX(bhpc_data[description],SMALL(IF(ISNUMBER(MATCH(bhpc_data[category],$EC$9,0)*MATCH(bhpc_data[sex],$EC$11,0)*MATCH(bhpc_data[size1],$EC$13,0)),MATCH(ROW(bhpc_data[sku]),ROW(bhpc_data[sku])),""),ROWS($A$15:A46)+$B$3))))),"")</f>
        <v>BHPC TWINPACK DEO WOMEN #1 #8 150ML</v>
      </c>
      <c r="EG41" s="543">
        <f>IFERROR(IF('BHPC MANAGER'!$EE41="","",INDEX(inventory[ESISTENZA],MATCH('BHPC MANAGER'!$EE41,inventory[ARTICOLO],0))),0)</f>
        <v>0</v>
      </c>
      <c r="EH41" s="544" t="s">
        <v>914</v>
      </c>
      <c r="EI41" s="544">
        <f t="shared" si="3"/>
        <v>0</v>
      </c>
      <c r="EJ41" s="545" t="s">
        <v>914</v>
      </c>
      <c r="EK41" s="546">
        <f t="shared" si="4"/>
        <v>0</v>
      </c>
      <c r="EO41" s="245" t="str">
        <f t="array" ref="EO41">IFERROR(INDEX(orderHistory[order_no],SMALL(IF(ISNUMBER(MATCH(orderHistory[status],$EO$9,0)),MATCH(ROW(orderHistory[order_no]),ROW(orderHistory[order_no])),""),ROWS($A$15:A46))),"")</f>
        <v/>
      </c>
    </row>
    <row r="42" spans="6:228" ht="15" customHeight="1" thickBot="1" x14ac:dyDescent="0.4">
      <c r="F42" s="97"/>
      <c r="G42" s="83"/>
      <c r="H42" s="83"/>
      <c r="I42" s="83"/>
      <c r="J42" s="84"/>
      <c r="L42" s="452" t="str">
        <f t="array" ref="L42">IFERROR(IF($D$9="",IF($D$11="",IF($D$13="",IF($D$15="",INDEX(orderHistory[customer],SMALL(MATCH(ROW(orderHistory[customer]),ROW(orderHistory[customer])),ROWS($A$15:A47)+$B$3)),INDEX(orderHistory[customer],SMALL(IF(ISNUMBER(MATCH(YEAR(orderHistory[invoice_date]),$D$15,0)),MATCH(ROW(orderHistory[customer]),ROW(orderHistory[customer])),""),ROWS($A$15:A47)+$B$3))),IF($D$15="",INDEX(orderHistory[customer],SMALL(IF(ISNUMBER(MATCH(orderHistory[order_type],$D$13,0)),MATCH(ROW(orderHistory[customer]),ROW(orderHistory[customer])),""),ROWS($A$15:A47)+$B$3)),INDEX(orderHistory[customer],SMALL(IF(ISNUMBER(MATCH(orderHistory[order_type],$D$13,0)*MATCH(YEAR(orderHistory[invoice_date]),$D$15,0)),MATCH(ROW(orderHistory[customer]),ROW(orderHistory[customer])),""),ROWS($A$15:A47)+$B$3)))),IF($D$13="",IF($D$15="",INDEX(orderHistory[customer],SMALL(IF(ISNUMBER(MATCH(orderHistory[status],$D$11,0)),MATCH(ROW(orderHistory[customer]),ROW(orderHistory[customer])),""),ROWS($A$15:A47)+$B$3)),INDEX(orderHistory[customer],SMALL(IF(ISNUMBER(MATCH(orderHistory[status],$D$11,0)*MATCH(YEAR(orderHistory[invoice_date]),$D$15,0)),MATCH(ROW(orderHistory[customer]),ROW(orderHistory[customer])),""),ROWS($A$15:A47)+$B$3))),IF($D$15="",INDEX(orderHistory[customer],SMALL(IF(ISNUMBER(MATCH(orderHistory[status],$D$11,0)*MATCH(orderHistory[order_type],$D$13,0)),MATCH(ROW(orderHistory[customer]),ROW(orderHistory[customer])),""),ROWS($A$15:A47)+$B$3)),INDEX(orderHistory[customer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customer],SMALL(IF(ISNUMBER(MATCH(orderHistory[customer],$D$9,0)),MATCH(ROW(orderHistory[customer]),ROW(orderHistory[customer])),""),ROWS($A$15:A47)+$B$3)),INDEX(orderHistory[customer],SMALL(IF(ISNUMBER(MATCH(orderHistory[customer],$D$9,0)*MATCH(YEAR(orderHistory[invoice_date]),$D$15,0)),MATCH(ROW(orderHistory[customer]),ROW(orderHistory[customer])),""),ROWS($A$15:A47)+$B$3))),IF($D$15="",INDEX(orderHistory[customer],SMALL(IF(ISNUMBER(MATCH(orderHistory[customer],$D$9,0)*MATCH(orderHistory[order_type],$D$13,0)),MATCH(ROW(orderHistory[customer]),ROW(orderHistory[customer])),""),ROWS($A$15:A47)+$B$3)),INDEX(orderHistory[customer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YEAR(orderHistory[invoice_date]),$D$15,0)),MATCH(ROW(orderHistory[customer]),ROW(orderHistory[customer])),""),ROWS($A$15:A47)+$B$3))),IF($D$15="",INDEX(orderHistory[customer],SMALL(IF(ISNUMBER(MATCH(orderHistory[customer],$D$9,0)*MATCH(orderHistory[status],$D$11,0)*MATCH(orderHistory[order_type],$D$13,0)),MATCH(ROW(orderHistory[customer]),ROW(orderHistory[customer])),""),ROWS($A$15:A47)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M42" s="453" t="str">
        <f t="array" ref="M42">IFERROR(IF($D$9="",IF($D$11="",IF($D$13="",IF($D$15="",INDEX(orderHistory[order_no],SMALL(MATCH(ROW(orderHistory[customer]),ROW(orderHistory[customer])),ROWS($A$15:A47)+$B$3)),INDEX(orderHistory[order_no],SMALL(IF(ISNUMBER(MATCH(YEAR(orderHistory[invoice_date]),$D$15,0)),MATCH(ROW(orderHistory[customer]),ROW(orderHistory[customer])),""),ROWS($A$15:A47)+$B$3))),IF($D$15="",INDEX(orderHistory[order_no],SMALL(IF(ISNUMBER(MATCH(orderHistory[order_type],$D$13,0)),MATCH(ROW(orderHistory[customer]),ROW(orderHistory[customer])),""),ROWS($A$15:A47)+$B$3)),INDEX(orderHistory[order_no],SMALL(IF(ISNUMBER(MATCH(orderHistory[order_type],$D$13,0)*MATCH(YEAR(orderHistory[invoice_date]),$D$15,0)),MATCH(ROW(orderHistory[customer]),ROW(orderHistory[customer])),""),ROWS($A$15:A47)+$B$3)))),IF($D$13="",IF($D$15="",INDEX(orderHistory[order_no],SMALL(IF(ISNUMBER(MATCH(orderHistory[status],$D$11,0)),MATCH(ROW(orderHistory[customer]),ROW(orderHistory[customer])),""),ROWS($A$15:A47)+$B$3)),INDEX(orderHistory[order_no],SMALL(IF(ISNUMBER(MATCH(orderHistory[status],$D$11,0)*MATCH(YEAR(orderHistory[invoice_date]),$D$15,0)),MATCH(ROW(orderHistory[customer]),ROW(orderHistory[customer])),""),ROWS($A$15:A47)+$B$3))),IF($D$15="",INDEX(orderHistory[order_no],SMALL(IF(ISNUMBER(MATCH(orderHistory[status],$D$11,0)*MATCH(orderHistory[order_type],$D$13,0)),MATCH(ROW(orderHistory[customer]),ROW(orderHistory[customer])),""),ROWS($A$15:A47)+$B$3)),INDEX(orderHistory[order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no],SMALL(IF(ISNUMBER(MATCH(orderHistory[customer],$D$9,0)),MATCH(ROW(orderHistory[customer]),ROW(orderHistory[customer])),""),ROWS($A$15:A47)+$B$3)),INDEX(orderHistory[order_no],SMALL(IF(ISNUMBER(MATCH(orderHistory[customer],$D$9,0)*MATCH(YEAR(orderHistory[invoice_date]),$D$15,0)),MATCH(ROW(orderHistory[customer]),ROW(orderHistory[customer])),""),ROWS($A$15:A47)+$B$3))),IF($D$15="",INDEX(orderHistory[order_no],SMALL(IF(ISNUMBER(MATCH(orderHistory[customer],$D$9,0)*MATCH(orderHistory[order_type],$D$13,0)),MATCH(ROW(orderHistory[customer]),ROW(orderHistory[customer])),""),ROWS($A$15:A47)+$B$3)),INDEX(orderHistory[order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YEAR(orderHistory[invoice_date]),$D$15,0)),MATCH(ROW(orderHistory[customer]),ROW(orderHistory[customer])),""),ROWS($A$15:A47)+$B$3))),IF($D$15="",INDEX(orderHistory[order_no],SMALL(IF(ISNUMBER(MATCH(orderHistory[customer],$D$9,0)*MATCH(orderHistory[status],$D$11,0)*MATCH(orderHistory[order_type],$D$13,0)),MATCH(ROW(orderHistory[customer]),ROW(orderHistory[customer])),""),ROWS($A$15:A47)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N42" s="454" t="str">
        <f t="array" ref="N42">IFERROR(IF($D$9="",IF($D$11="",IF($D$13="",IF($D$15="",INDEX(orderHistory[order_type],SMALL(MATCH(ROW(orderHistory[customer]),ROW(orderHistory[customer])),ROWS($A$15:A47)+$B$3)),INDEX(orderHistory[order_type],SMALL(IF(ISNUMBER(MATCH(YEAR(orderHistory[invoice_date]),$D$15,0)),MATCH(ROW(orderHistory[customer]),ROW(orderHistory[customer])),""),ROWS($A$15:A47)+$B$3))),IF($D$15="",INDEX(orderHistory[order_type],SMALL(IF(ISNUMBER(MATCH(orderHistory[order_type],$D$13,0)),MATCH(ROW(orderHistory[customer]),ROW(orderHistory[customer])),""),ROWS($A$15:A47)+$B$3)),INDEX(orderHistory[order_type],SMALL(IF(ISNUMBER(MATCH(orderHistory[order_type],$D$13,0)*MATCH(YEAR(orderHistory[invoice_date]),$D$15,0)),MATCH(ROW(orderHistory[customer]),ROW(orderHistory[customer])),""),ROWS($A$15:A47)+$B$3)))),IF($D$13="",IF($D$15="",INDEX(orderHistory[order_type],SMALL(IF(ISNUMBER(MATCH(orderHistory[status],$D$11,0)),MATCH(ROW(orderHistory[customer]),ROW(orderHistory[customer])),""),ROWS($A$15:A47)+$B$3)),INDEX(orderHistory[order_type],SMALL(IF(ISNUMBER(MATCH(orderHistory[status],$D$11,0)*MATCH(YEAR(orderHistory[invoice_date]),$D$15,0)),MATCH(ROW(orderHistory[customer]),ROW(orderHistory[customer])),""),ROWS($A$15:A47)+$B$3))),IF($D$15="",INDEX(orderHistory[order_type],SMALL(IF(ISNUMBER(MATCH(orderHistory[status],$D$11,0)*MATCH(orderHistory[order_type],$D$13,0)),MATCH(ROW(orderHistory[customer]),ROW(orderHistory[customer])),""),ROWS($A$15:A47)+$B$3)),INDEX(orderHistory[order_typ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type],SMALL(IF(ISNUMBER(MATCH(orderHistory[customer],$D$9,0)),MATCH(ROW(orderHistory[customer]),ROW(orderHistory[customer])),""),ROWS($A$15:A47)+$B$3)),INDEX(orderHistory[order_type],SMALL(IF(ISNUMBER(MATCH(orderHistory[customer],$D$9,0)*MATCH(YEAR(orderHistory[invoice_date]),$D$15,0)),MATCH(ROW(orderHistory[customer]),ROW(orderHistory[customer])),""),ROWS($A$15:A47)+$B$3))),IF($D$15="",INDEX(orderHistory[order_type],SMALL(IF(ISNUMBER(MATCH(orderHistory[customer],$D$9,0)*MATCH(orderHistory[order_type],$D$13,0)),MATCH(ROW(orderHistory[customer]),ROW(orderHistory[customer])),""),ROWS($A$15:A47)+$B$3)),INDEX(orderHistory[order_typ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YEAR(orderHistory[invoice_date]),$D$15,0)),MATCH(ROW(orderHistory[customer]),ROW(orderHistory[customer])),""),ROWS($A$15:A47)+$B$3))),IF($D$15="",INDEX(orderHistory[order_type],SMALL(IF(ISNUMBER(MATCH(orderHistory[customer],$D$9,0)*MATCH(orderHistory[status],$D$11,0)*MATCH(orderHistory[order_type],$D$13,0)),MATCH(ROW(orderHistory[customer]),ROW(orderHistory[customer])),""),ROWS($A$15:A47)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O42" s="455" t="str">
        <f t="array" ref="O42">IFERROR(IF($D$9="",IF($D$11="",IF($D$13="",IF($D$15="",INDEX(orderHistory[order_date],SMALL(MATCH(ROW(orderHistory[customer]),ROW(orderHistory[customer])),ROWS($A$15:A47)+$B$3)),INDEX(orderHistory[order_date],SMALL(IF(ISNUMBER(MATCH(YEAR(orderHistory[invoice_date]),$D$15,0)),MATCH(ROW(orderHistory[customer]),ROW(orderHistory[customer])),""),ROWS($A$15:A47)+$B$3))),IF($D$15="",INDEX(orderHistory[order_date],SMALL(IF(ISNUMBER(MATCH(orderHistory[order_type],$D$13,0)),MATCH(ROW(orderHistory[customer]),ROW(orderHistory[customer])),""),ROWS($A$15:A47)+$B$3)),INDEX(orderHistory[order_date],SMALL(IF(ISNUMBER(MATCH(orderHistory[order_type],$D$13,0)*MATCH(YEAR(orderHistory[invoice_date]),$D$15,0)),MATCH(ROW(orderHistory[customer]),ROW(orderHistory[customer])),""),ROWS($A$15:A47)+$B$3)))),IF($D$13="",IF($D$15="",INDEX(orderHistory[order_date],SMALL(IF(ISNUMBER(MATCH(orderHistory[status],$D$11,0)),MATCH(ROW(orderHistory[customer]),ROW(orderHistory[customer])),""),ROWS($A$15:A47)+$B$3)),INDEX(orderHistory[order_date],SMALL(IF(ISNUMBER(MATCH(orderHistory[status],$D$11,0)*MATCH(YEAR(orderHistory[invoice_date]),$D$15,0)),MATCH(ROW(orderHistory[customer]),ROW(orderHistory[customer])),""),ROWS($A$15:A47)+$B$3))),IF($D$15="",INDEX(orderHistory[order_date],SMALL(IF(ISNUMBER(MATCH(orderHistory[status],$D$11,0)*MATCH(orderHistory[order_type],$D$13,0)),MATCH(ROW(orderHistory[customer]),ROW(orderHistory[customer])),""),ROWS($A$15:A47)+$B$3)),INDEX(orderHistory[order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date],SMALL(IF(ISNUMBER(MATCH(orderHistory[customer],$D$9,0)),MATCH(ROW(orderHistory[customer]),ROW(orderHistory[customer])),""),ROWS($A$15:A47)+$B$3)),INDEX(orderHistory[order_date],SMALL(IF(ISNUMBER(MATCH(orderHistory[customer],$D$9,0)*MATCH(YEAR(orderHistory[invoice_date]),$D$15,0)),MATCH(ROW(orderHistory[customer]),ROW(orderHistory[customer])),""),ROWS($A$15:A47)+$B$3))),IF($D$15="",INDEX(orderHistory[order_date],SMALL(IF(ISNUMBER(MATCH(orderHistory[customer],$D$9,0)*MATCH(orderHistory[order_type],$D$13,0)),MATCH(ROW(orderHistory[customer]),ROW(orderHistory[customer])),""),ROWS($A$15:A47)+$B$3)),INDEX(orderHistory[order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YEAR(orderHistory[invoice_date]),$D$15,0)),MATCH(ROW(orderHistory[customer]),ROW(orderHistory[customer])),""),ROWS($A$15:A47)+$B$3))),IF($D$15="",INDEX(orderHistory[order_date],SMALL(IF(ISNUMBER(MATCH(orderHistory[customer],$D$9,0)*MATCH(orderHistory[status],$D$11,0)*MATCH(orderHistory[order_type],$D$13,0)),MATCH(ROW(orderHistory[customer]),ROW(orderHistory[customer])),""),ROWS($A$15:A47)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P42" s="456" t="str">
        <f t="array" ref="P42">IFERROR(IF($D$9="",IF($D$11="",IF($D$13="",IF($D$15="",INDEX(orderHistory[invoice_no],SMALL(MATCH(ROW(orderHistory[customer]),ROW(orderHistory[customer])),ROWS($A$15:A47)+$B$3)),INDEX(orderHistory[invoice_no],SMALL(IF(ISNUMBER(MATCH(YEAR(orderHistory[invoice_date]),$D$15,0)),MATCH(ROW(orderHistory[customer]),ROW(orderHistory[customer])),""),ROWS($A$15:A47)+$B$3))),IF($D$15="",INDEX(orderHistory[invoice_no],SMALL(IF(ISNUMBER(MATCH(orderHistory[order_type],$D$13,0)),MATCH(ROW(orderHistory[customer]),ROW(orderHistory[customer])),""),ROWS($A$15:A47)+$B$3)),INDEX(orderHistory[invoice_no],SMALL(IF(ISNUMBER(MATCH(orderHistory[order_type],$D$13,0)*MATCH(YEAR(orderHistory[invoice_date]),$D$15,0)),MATCH(ROW(orderHistory[customer]),ROW(orderHistory[customer])),""),ROWS($A$15:A47)+$B$3)))),IF($D$13="",IF($D$15="",INDEX(orderHistory[invoice_no],SMALL(IF(ISNUMBER(MATCH(orderHistory[status],$D$11,0)),MATCH(ROW(orderHistory[customer]),ROW(orderHistory[customer])),""),ROWS($A$15:A47)+$B$3)),INDEX(orderHistory[invoice_no],SMALL(IF(ISNUMBER(MATCH(orderHistory[status],$D$11,0)*MATCH(YEAR(orderHistory[invoice_date]),$D$15,0)),MATCH(ROW(orderHistory[customer]),ROW(orderHistory[customer])),""),ROWS($A$15:A47)+$B$3))),IF($D$15="",INDEX(orderHistory[invoice_no],SMALL(IF(ISNUMBER(MATCH(orderHistory[status],$D$11,0)*MATCH(orderHistory[order_type],$D$13,0)),MATCH(ROW(orderHistory[customer]),ROW(orderHistory[customer])),""),ROWS($A$15:A47)+$B$3)),INDEX(orderHistory[invoice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no],SMALL(IF(ISNUMBER(MATCH(orderHistory[customer],$D$9,0)),MATCH(ROW(orderHistory[customer]),ROW(orderHistory[customer])),""),ROWS($A$15:A47)+$B$3)),INDEX(orderHistory[invoice_no],SMALL(IF(ISNUMBER(MATCH(orderHistory[customer],$D$9,0)*MATCH(YEAR(orderHistory[invoice_date]),$D$15,0)),MATCH(ROW(orderHistory[customer]),ROW(orderHistory[customer])),""),ROWS($A$15:A47)+$B$3))),IF($D$15="",INDEX(orderHistory[invoice_no],SMALL(IF(ISNUMBER(MATCH(orderHistory[customer],$D$9,0)*MATCH(orderHistory[order_type],$D$13,0)),MATCH(ROW(orderHistory[customer]),ROW(orderHistory[customer])),""),ROWS($A$15:A47)+$B$3)),INDEX(orderHistory[invoice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YEAR(orderHistory[invoice_date]),$D$15,0)),MATCH(ROW(orderHistory[customer]),ROW(orderHistory[customer])),""),ROWS($A$15:A47)+$B$3))),IF($D$15="",INDEX(orderHistory[invoice_no],SMALL(IF(ISNUMBER(MATCH(orderHistory[customer],$D$9,0)*MATCH(orderHistory[status],$D$11,0)*MATCH(orderHistory[order_type],$D$13,0)),MATCH(ROW(orderHistory[customer]),ROW(orderHistory[customer])),""),ROWS($A$15:A47)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Q42" s="457" t="str">
        <f t="array" ref="Q42">IFERROR(IF($D$9="",IF($D$11="",IF($D$13="",IF($D$15="",INDEX(orderHistory[invoice_date],SMALL(MATCH(ROW(orderHistory[customer]),ROW(orderHistory[customer])),ROWS($A$15:A47)+$B$3)),INDEX(orderHistory[invoice_date],SMALL(IF(ISNUMBER(MATCH(YEAR(orderHistory[invoice_date]),$D$15,0)),MATCH(ROW(orderHistory[customer]),ROW(orderHistory[customer])),""),ROWS($A$15:A47)+$B$3))),IF($D$15="",INDEX(orderHistory[invoice_date],SMALL(IF(ISNUMBER(MATCH(orderHistory[order_type],$D$13,0)),MATCH(ROW(orderHistory[customer]),ROW(orderHistory[customer])),""),ROWS($A$15:A47)+$B$3)),INDEX(orderHistory[invoice_date],SMALL(IF(ISNUMBER(MATCH(orderHistory[order_type],$D$13,0)*MATCH(YEAR(orderHistory[invoice_date]),$D$15,0)),MATCH(ROW(orderHistory[customer]),ROW(orderHistory[customer])),""),ROWS($A$15:A47)+$B$3)))),IF($D$13="",IF($D$15="",INDEX(orderHistory[invoice_date],SMALL(IF(ISNUMBER(MATCH(orderHistory[status],$D$11,0)),MATCH(ROW(orderHistory[customer]),ROW(orderHistory[customer])),""),ROWS($A$15:A47)+$B$3)),INDEX(orderHistory[invoice_date],SMALL(IF(ISNUMBER(MATCH(orderHistory[status],$D$11,0)*MATCH(YEAR(orderHistory[invoice_date]),$D$15,0)),MATCH(ROW(orderHistory[customer]),ROW(orderHistory[customer])),""),ROWS($A$15:A47)+$B$3))),IF($D$15="",INDEX(orderHistory[invoice_date],SMALL(IF(ISNUMBER(MATCH(orderHistory[status],$D$11,0)*MATCH(orderHistory[order_type],$D$13,0)),MATCH(ROW(orderHistory[customer]),ROW(orderHistory[customer])),""),ROWS($A$15:A47)+$B$3)),INDEX(orderHistory[invoice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date],SMALL(IF(ISNUMBER(MATCH(orderHistory[customer],$D$9,0)),MATCH(ROW(orderHistory[customer]),ROW(orderHistory[customer])),""),ROWS($A$15:A47)+$B$3)),INDEX(orderHistory[invoice_date],SMALL(IF(ISNUMBER(MATCH(orderHistory[customer],$D$9,0)*MATCH(YEAR(orderHistory[invoice_date]),$D$15,0)),MATCH(ROW(orderHistory[customer]),ROW(orderHistory[customer])),""),ROWS($A$15:A47)+$B$3))),IF($D$15="",INDEX(orderHistory[invoice_date],SMALL(IF(ISNUMBER(MATCH(orderHistory[customer],$D$9,0)*MATCH(orderHistory[order_type],$D$13,0)),MATCH(ROW(orderHistory[customer]),ROW(orderHistory[customer])),""),ROWS($A$15:A47)+$B$3)),INDEX(orderHistory[invoice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YEAR(orderHistory[invoice_date]),$D$15,0)),MATCH(ROW(orderHistory[customer]),ROW(orderHistory[customer])),""),ROWS($A$15:A47)+$B$3))),IF($D$15="",INDEX(orderHistory[invoice_date],SMALL(IF(ISNUMBER(MATCH(orderHistory[customer],$D$9,0)*MATCH(orderHistory[status],$D$11,0)*MATCH(orderHistory[order_type],$D$13,0)),MATCH(ROW(orderHistory[customer]),ROW(orderHistory[customer])),""),ROWS($A$15:A47)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R42" s="458" t="str">
        <f t="array" ref="R42">IFERROR(IF($D$9="",IF($D$11="",IF($D$13="",IF($D$15="",INDEX(orderHistory[inv_amount],SMALL(MATCH(ROW(orderHistory[customer]),ROW(orderHistory[customer])),ROWS($A$15:A47)+$B$3)),INDEX(orderHistory[inv_amount],SMALL(IF(ISNUMBER(MATCH(YEAR(orderHistory[invoice_date]),$D$15,0)),MATCH(ROW(orderHistory[customer]),ROW(orderHistory[customer])),""),ROWS($A$15:A47)+$B$3))),IF($D$15="",INDEX(orderHistory[inv_amount],SMALL(IF(ISNUMBER(MATCH(orderHistory[order_type],$D$13,0)),MATCH(ROW(orderHistory[customer]),ROW(orderHistory[customer])),""),ROWS($A$15:A47)+$B$3)),INDEX(orderHistory[inv_amount],SMALL(IF(ISNUMBER(MATCH(orderHistory[order_type],$D$13,0)*MATCH(YEAR(orderHistory[invoice_date]),$D$15,0)),MATCH(ROW(orderHistory[customer]),ROW(orderHistory[customer])),""),ROWS($A$15:A47)+$B$3)))),IF($D$13="",IF($D$15="",INDEX(orderHistory[inv_amount],SMALL(IF(ISNUMBER(MATCH(orderHistory[status],$D$11,0)),MATCH(ROW(orderHistory[customer]),ROW(orderHistory[customer])),""),ROWS($A$15:A47)+$B$3)),INDEX(orderHistory[inv_amount],SMALL(IF(ISNUMBER(MATCH(orderHistory[status],$D$11,0)*MATCH(YEAR(orderHistory[invoice_date]),$D$15,0)),MATCH(ROW(orderHistory[customer]),ROW(orderHistory[customer])),""),ROWS($A$15:A47)+$B$3))),IF($D$15="",INDEX(orderHistory[inv_amount],SMALL(IF(ISNUMBER(MATCH(orderHistory[status],$D$11,0)*MATCH(orderHistory[order_type],$D$13,0)),MATCH(ROW(orderHistory[customer]),ROW(orderHistory[customer])),""),ROWS($A$15:A47)+$B$3)),INDEX(orderHistory[inv_amount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_amount],SMALL(IF(ISNUMBER(MATCH(orderHistory[customer],$D$9,0)),MATCH(ROW(orderHistory[customer]),ROW(orderHistory[customer])),""),ROWS($A$15:A47)+$B$3)),INDEX(orderHistory[inv_amount],SMALL(IF(ISNUMBER(MATCH(orderHistory[customer],$D$9,0)*MATCH(YEAR(orderHistory[invoice_date]),$D$15,0)),MATCH(ROW(orderHistory[customer]),ROW(orderHistory[customer])),""),ROWS($A$15:A47)+$B$3))),IF($D$15="",INDEX(orderHistory[inv_amount],SMALL(IF(ISNUMBER(MATCH(orderHistory[customer],$D$9,0)*MATCH(orderHistory[order_type],$D$13,0)),MATCH(ROW(orderHistory[customer]),ROW(orderHistory[customer])),""),ROWS($A$15:A47)+$B$3)),INDEX(orderHistory[inv_amount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YEAR(orderHistory[inv_amount]),$D$15,0)),MATCH(ROW(orderHistory[customer]),ROW(orderHistory[customer])),""),ROWS($A$15:A47)+$B$3))),IF($D$15="",INDEX(orderHistory[inv_amount],SMALL(IF(ISNUMBER(MATCH(orderHistory[customer],$D$9,0)*MATCH(orderHistory[status],$D$11,0)*MATCH(orderHistory[order_type],$D$13,0)),MATCH(ROW(orderHistory[customer]),ROW(orderHistory[customer])),""),ROWS($A$15:A47)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S42" s="569" t="str">
        <f t="array" ref="S42">IFERROR(IF($D$9="",IF($D$11="",IF($D$13="",IF($D$15="",INDEX(orderHistory[lock_goods],SMALL(MATCH(ROW(orderHistory[customer]),ROW(orderHistory[customer])),ROWS($A$15:A47)+$B$3)),INDEX(orderHistory[lock_goods],SMALL(IF(ISNUMBER(MATCH(YEAR(orderHistory[invoice_date]),$D$15,0)),MATCH(ROW(orderHistory[customer]),ROW(orderHistory[customer])),""),ROWS($A$15:A47)+$B$3))),IF($D$15="",INDEX(orderHistory[lock_goods],SMALL(IF(ISNUMBER(MATCH(orderHistory[order_type],$D$13,0)),MATCH(ROW(orderHistory[customer]),ROW(orderHistory[customer])),""),ROWS($A$15:A47)+$B$3)),INDEX(orderHistory[lock_goods],SMALL(IF(ISNUMBER(MATCH(orderHistory[order_type],$D$13,0)*MATCH(YEAR(orderHistory[invoice_date]),$D$15,0)),MATCH(ROW(orderHistory[customer]),ROW(orderHistory[customer])),""),ROWS($A$15:A47)+$B$3)))),IF($D$13="",IF($D$15="",INDEX(orderHistory[lock_goods],SMALL(IF(ISNUMBER(MATCH(orderHistory[status],$D$11,0)),MATCH(ROW(orderHistory[customer]),ROW(orderHistory[customer])),""),ROWS($A$15:A47)+$B$3)),INDEX(orderHistory[lock_goods],SMALL(IF(ISNUMBER(MATCH(orderHistory[status],$D$11,0)*MATCH(YEAR(orderHistory[invoice_date]),$D$15,0)),MATCH(ROW(orderHistory[customer]),ROW(orderHistory[customer])),""),ROWS($A$15:A47)+$B$3))),IF($D$15="",INDEX(orderHistory[lock_goods],SMALL(IF(ISNUMBER(MATCH(orderHistory[status],$D$11,0)*MATCH(orderHistory[order_type],$D$13,0)),MATCH(ROW(orderHistory[customer]),ROW(orderHistory[customer])),""),ROWS($A$15:A47)+$B$3)),INDEX(orderHistory[lock_good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lock_goods],SMALL(IF(ISNUMBER(MATCH(orderHistory[customer],$D$9,0)),MATCH(ROW(orderHistory[customer]),ROW(orderHistory[customer])),""),ROWS($A$15:A47)+$B$3)),INDEX(orderHistory[lock_goods],SMALL(IF(ISNUMBER(MATCH(orderHistory[customer],$D$9,0)*MATCH(YEAR(orderHistory[invoice_date]),$D$15,0)),MATCH(ROW(orderHistory[customer]),ROW(orderHistory[customer])),""),ROWS($A$15:A47)+$B$3))),IF($D$15="",INDEX(orderHistory[lock_goods],SMALL(IF(ISNUMBER(MATCH(orderHistory[customer],$D$9,0)*MATCH(orderHistory[order_type],$D$13,0)),MATCH(ROW(orderHistory[customer]),ROW(orderHistory[customer])),""),ROWS($A$15:A47)+$B$3)),INDEX(orderHistory[lock_good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lock_goods],SMALL(IF(ISNUMBER(MATCH(orderHistory[customer],$D$9,0)*MATCH(orderHistory[status],$D$11,0)),MATCH(ROW(orderHistory[customer]),ROW(orderHistory[customer])),""),ROWS($A$15:A47)+$B$3)),INDEX(orderHistory[lock_goods],SMALL(IF(ISNUMBER(MATCH(orderHistory[customer],$D$9,0)*MATCH(orderHistory[status],$D$11,0)*MATCH(YEAR(orderHistory[payed]),$D$15,0)),MATCH(ROW(orderHistory[customer]),ROW(orderHistory[customer])),""),ROWS($A$15:A47)+$B$3))),IF($D$15="",INDEX(orderHistory[lock_goods],SMALL(IF(ISNUMBER(MATCH(orderHistory[customer],$D$9,0)*MATCH(orderHistory[status],$D$11,0)*MATCH(orderHistory[order_type],$D$13,0)),MATCH(ROW(orderHistory[customer]),ROW(orderHistory[customer])),""),ROWS($A$15:A47)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T42" s="459" t="str">
        <f t="array" ref="T42">IFERROR(IF($D$9="",IF($D$11="",IF($D$13="",IF($D$15="",INDEX(orderHistory[payed],SMALL(MATCH(ROW(orderHistory[customer]),ROW(orderHistory[customer])),ROWS($A$15:A47)+$B$3)),INDEX(orderHistory[payed],SMALL(IF(ISNUMBER(MATCH(YEAR(orderHistory[invoice_date]),$D$15,0)),MATCH(ROW(orderHistory[customer]),ROW(orderHistory[customer])),""),ROWS($A$15:A47)+$B$3))),IF($D$15="",INDEX(orderHistory[payed],SMALL(IF(ISNUMBER(MATCH(orderHistory[order_type],$D$13,0)),MATCH(ROW(orderHistory[customer]),ROW(orderHistory[customer])),""),ROWS($A$15:A47)+$B$3)),INDEX(orderHistory[payed],SMALL(IF(ISNUMBER(MATCH(orderHistory[order_type],$D$13,0)*MATCH(YEAR(orderHistory[invoice_date]),$D$15,0)),MATCH(ROW(orderHistory[customer]),ROW(orderHistory[customer])),""),ROWS($A$15:A47)+$B$3)))),IF($D$13="",IF($D$15="",INDEX(orderHistory[payed],SMALL(IF(ISNUMBER(MATCH(orderHistory[status],$D$11,0)),MATCH(ROW(orderHistory[customer]),ROW(orderHistory[customer])),""),ROWS($A$15:A47)+$B$3)),INDEX(orderHistory[payed],SMALL(IF(ISNUMBER(MATCH(orderHistory[status],$D$11,0)*MATCH(YEAR(orderHistory[invoice_date]),$D$15,0)),MATCH(ROW(orderHistory[customer]),ROW(orderHistory[customer])),""),ROWS($A$15:A47)+$B$3))),IF($D$15="",INDEX(orderHistory[payed],SMALL(IF(ISNUMBER(MATCH(orderHistory[status],$D$11,0)*MATCH(orderHistory[order_type],$D$13,0)),MATCH(ROW(orderHistory[customer]),ROW(orderHistory[customer])),""),ROWS($A$15:A47)+$B$3)),INDEX(orderHistory[paye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payed],SMALL(IF(ISNUMBER(MATCH(orderHistory[customer],$D$9,0)),MATCH(ROW(orderHistory[customer]),ROW(orderHistory[customer])),""),ROWS($A$15:A47)+$B$3)),INDEX(orderHistory[payed],SMALL(IF(ISNUMBER(MATCH(orderHistory[customer],$D$9,0)*MATCH(YEAR(orderHistory[invoice_date]),$D$15,0)),MATCH(ROW(orderHistory[customer]),ROW(orderHistory[customer])),""),ROWS($A$15:A47)+$B$3))),IF($D$15="",INDEX(orderHistory[payed],SMALL(IF(ISNUMBER(MATCH(orderHistory[customer],$D$9,0)*MATCH(orderHistory[order_type],$D$13,0)),MATCH(ROW(orderHistory[customer]),ROW(orderHistory[customer])),""),ROWS($A$15:A47)+$B$3)),INDEX(orderHistory[paye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YEAR(orderHistory[payed]),$D$15,0)),MATCH(ROW(orderHistory[customer]),ROW(orderHistory[customer])),""),ROWS($A$15:A47)+$B$3))),IF($D$15="",INDEX(orderHistory[payed],SMALL(IF(ISNUMBER(MATCH(orderHistory[customer],$D$9,0)*MATCH(orderHistory[status],$D$11,0)*MATCH(orderHistory[order_type],$D$13,0)),MATCH(ROW(orderHistory[customer]),ROW(orderHistory[customer])),""),ROWS($A$15:A47)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U42" s="454" t="str">
        <f t="array" ref="U42">IFERROR(IF($D$9="",IF($D$11="",IF($D$13="",IF($D$15="",INDEX(orderHistory[shipping_method],SMALL(MATCH(ROW(orderHistory[customer]),ROW(orderHistory[customer])),ROWS($A$15:A47)+$B$3)),INDEX(orderHistory[shipping_method],SMALL(IF(ISNUMBER(MATCH(YEAR(orderHistory[invoice_date]),$D$15,0)),MATCH(ROW(orderHistory[customer]),ROW(orderHistory[customer])),""),ROWS($A$15:A47)+$B$3))),IF($D$15="",INDEX(orderHistory[shipping_method],SMALL(IF(ISNUMBER(MATCH(orderHistory[order_type],$D$13,0)),MATCH(ROW(orderHistory[customer]),ROW(orderHistory[customer])),""),ROWS($A$15:A47)+$B$3)),INDEX(orderHistory[shipping_method],SMALL(IF(ISNUMBER(MATCH(orderHistory[order_type],$D$13,0)*MATCH(YEAR(orderHistory[invoice_date]),$D$15,0)),MATCH(ROW(orderHistory[customer]),ROW(orderHistory[customer])),""),ROWS($A$15:A47)+$B$3)))),IF($D$13="",IF($D$15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YEAR(orderHistory[invoice_date]),$D$15,0)),MATCH(ROW(orderHistory[customer]),ROW(orderHistory[customer])),""),ROWS($A$15:A47)+$B$3))),IF($D$15="",INDEX(orderHistory[shipping_method],SMALL(IF(ISNUMBER(MATCH(orderHistory[status],$D$11,0)*MATCH(orderHistory[order_type],$D$13,0)),MATCH(ROW(orderHistory[customer]),ROW(orderHistory[customer])),""),ROWS($A$15:A47)+$B$3)),INDEX(orderHistory[shipping_metho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YEAR(orderHistory[invoice_date]),$D$15,0)),MATCH(ROW(orderHistory[customer]),ROW(orderHistory[customer])),""),ROWS($A$15:A47)+$B$3))),IF($D$15="",INDEX(orderHistory[shipping_method],SMALL(IF(ISNUMBER(MATCH(orderHistory[customer],$D$9,0)*MATCH(orderHistory[order_type],$D$13,0)),MATCH(ROW(orderHistory[customer]),ROW(orderHistory[customer])),""),ROWS($A$15:A47)+$B$3)),INDEX(orderHistory[shipping_metho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YEAR(orderHistory[shipping_method]),$D$15,0)),MATCH(ROW(orderHistory[customer]),ROW(orderHistory[customer])),""),ROWS($A$15:A47)+$B$3))),IF($D$15="",INDEX(orderHistory[shipping_method],SMALL(IF(ISNUMBER(MATCH(orderHistory[customer],$D$9,0)*MATCH(orderHistory[status],$D$11,0)*MATCH(orderHistory[order_type],$D$13,0)),MATCH(ROW(orderHistory[customer]),ROW(orderHistory[customer])),""),ROWS($A$15:A47)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V42" s="460" t="str">
        <f t="array" ref="V42">IFERROR(IF($D$9="",IF($D$11="",IF($D$13="",IF($D$15="",INDEX(orderHistory[status],SMALL(MATCH(ROW(orderHistory[customer]),ROW(orderHistory[customer])),ROWS($A$15:A47)+$B$3)),INDEX(orderHistory[status],SMALL(IF(ISNUMBER(MATCH(YEAR(orderHistory[invoice_date]),$D$15,0)),MATCH(ROW(orderHistory[customer]),ROW(orderHistory[customer])),""),ROWS($A$15:A47)+$B$3))),IF($D$15="",INDEX(orderHistory[status],SMALL(IF(ISNUMBER(MATCH(orderHistory[order_type],$D$13,0)),MATCH(ROW(orderHistory[customer]),ROW(orderHistory[customer])),""),ROWS($A$15:A47)+$B$3)),INDEX(orderHistory[status],SMALL(IF(ISNUMBER(MATCH(orderHistory[order_type],$D$13,0)*MATCH(YEAR(orderHistory[invoice_date]),$D$15,0)),MATCH(ROW(orderHistory[customer]),ROW(orderHistory[customer])),""),ROWS($A$15:A47)+$B$3)))),IF($D$13="",IF($D$15="",INDEX(orderHistory[status],SMALL(IF(ISNUMBER(MATCH(orderHistory[status],$D$11,0)),MATCH(ROW(orderHistory[customer]),ROW(orderHistory[customer])),""),ROWS($A$15:A47)+$B$3)),INDEX(orderHistory[status],SMALL(IF(ISNUMBER(MATCH(orderHistory[status],$D$11,0)*MATCH(YEAR(orderHistory[invoice_date]),$D$15,0)),MATCH(ROW(orderHistory[customer]),ROW(orderHistory[customer])),""),ROWS($A$15:A47)+$B$3))),IF($D$15="",INDEX(orderHistory[status],SMALL(IF(ISNUMBER(MATCH(orderHistory[status],$D$11,0)*MATCH(orderHistory[order_type],$D$13,0)),MATCH(ROW(orderHistory[customer]),ROW(orderHistory[customer])),""),ROWS($A$15:A47)+$B$3)),INDEX(orderHistory[statu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tatus],SMALL(IF(ISNUMBER(MATCH(orderHistory[customer],$D$9,0)),MATCH(ROW(orderHistory[customer]),ROW(orderHistory[customer])),""),ROWS($A$15:A47)+$B$3)),INDEX(orderHistory[status],SMALL(IF(ISNUMBER(MATCH(orderHistory[customer],$D$9,0)*MATCH(YEAR(orderHistory[invoice_date]),$D$15,0)),MATCH(ROW(orderHistory[customer]),ROW(orderHistory[customer])),""),ROWS($A$15:A47)+$B$3))),IF($D$15="",INDEX(orderHistory[status],SMALL(IF(ISNUMBER(MATCH(orderHistory[customer],$D$9,0)*MATCH(orderHistory[order_type],$D$13,0)),MATCH(ROW(orderHistory[customer]),ROW(orderHistory[customer])),""),ROWS($A$15:A47)+$B$3)),INDEX(orderHistory[statu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YEAR(orderHistory[status]),$D$15,0)),MATCH(ROW(orderHistory[customer]),ROW(orderHistory[customer])),""),ROWS($A$15:A47)+$B$3))),IF($D$15="",INDEX(orderHistory[status],SMALL(IF(ISNUMBER(MATCH(orderHistory[customer],$D$9,0)*MATCH(orderHistory[status],$D$11,0)*MATCH(orderHistory[order_type],$D$13,0)),MATCH(ROW(orderHistory[customer]),ROW(orderHistory[customer])),""),ROWS($A$15:A47)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W42" s="75"/>
      <c r="BG42" s="355"/>
      <c r="BK42" s="366"/>
      <c r="BL42" s="367"/>
      <c r="BM42" s="368"/>
      <c r="BN42" s="367"/>
      <c r="BO42" s="368"/>
      <c r="BZ42" s="476"/>
      <c r="CA42" s="477" t="str">
        <f>IF(BZ42="","",INDEX(bhpc_data[description],MATCH(BZ42,bhpc_data[sku],0)))</f>
        <v/>
      </c>
      <c r="CB42" s="480"/>
      <c r="CC42" s="479"/>
      <c r="CD42" s="494"/>
      <c r="CE42" s="481"/>
      <c r="CF42" s="482"/>
      <c r="CG42" s="483" t="str">
        <f>IFERROR(ROUNDUP(CB42/INDEX(bhpc_data[units_per_carton],MATCH(BZ42,bhpc_data[sku],0)),0),"")</f>
        <v/>
      </c>
      <c r="CH42" s="484" t="str">
        <f>IFERROR(ROUNDUP(CD42/INDEX(bhpc_data[units_per_carton],MATCH(BZ42,bhpc_data[sku],0)),0),"")</f>
        <v/>
      </c>
      <c r="CI42" s="484" t="str">
        <f>IFERROR(ROUNDUP(CF42/INDEX(bhpc_data[units_per_carton],MATCH(BZ42,bhpc_data[sku])),0),"")</f>
        <v/>
      </c>
      <c r="CJ42" s="484" t="str">
        <f>IFERROR(((CB42+CD42+CF42)/INDEX(bhpc_data[units_per_carton],MATCH(BZ42,bhpc_data[sku],0)))*INDEX(bhpc_data[net_weight],MATCH(BZ42,bhpc_data[sku],0)),"")</f>
        <v/>
      </c>
      <c r="CK42" s="484" t="str">
        <f>IFERROR(((CB42+CD42+CF42)/INDEX(bhpc_data[units_per_carton],MATCH(BZ42,bhpc_data[sku],0)))*INDEX(bhpc_data[gross_weight],MATCH(BZ42,bhpc_data[sku],0)),"")</f>
        <v/>
      </c>
      <c r="CL42" s="485" t="str">
        <f>IFERROR((CB42+CD42+CF42)/INDEX(bhpc_data[units_per_carton],MATCH(BZ42,bhpc_data[sku],0))*INDEX(bhpc_data[lenght],MATCH(BZ42,bhpc_data[sku],0))*INDEX(bhpc_data[width],MATCH(BZ42,bhpc_data[sku],0))*INDEX(bhpc_data[height],MATCH(BZ42,bhpc_data[sku],0))/1000000000,"")</f>
        <v/>
      </c>
      <c r="CM42" s="486" t="str">
        <f>IFERROR(INDEX(bhpc_data[category],MATCH(BZ42,bhpc_data[sku],0)),"")</f>
        <v/>
      </c>
      <c r="CN42" s="486" t="str">
        <f>IFERROR(INDEX(bhpc_data[size1],MATCH(BZ42,bhpc_data[sku],0)),"")</f>
        <v/>
      </c>
      <c r="CO42" s="487" t="str">
        <f>IFERROR(INDEX(bhpc_data[hs_code],MATCH(BZ42,bhpc_data[sku],0)),"")</f>
        <v/>
      </c>
      <c r="CP42" s="482"/>
      <c r="CQ42" s="488" t="str">
        <f>IFERROR(IF(BZ42="","",IF($BX$15="SALE",INDEX(inventory[COSTO UNITARIO],MATCH(BZ42,inventory[ARTICOLO],0)),IF($BX$15="SAMPLING",INDEX(inventory[COSTO UNITARIO],MATCH(BZ42,inventory[ARTICOLO],0)),""))),"")</f>
        <v/>
      </c>
      <c r="CR42" s="488" t="str">
        <f t="shared" ref="CR42:CR73" si="5">IFERROR(IF(BZ42="","",(CB42+CD42)*CQ42),"")</f>
        <v/>
      </c>
      <c r="CS42" s="489" t="str">
        <f t="shared" ref="CS42:CS73" si="6">IF(BZ42="","",CB42*CC42+CD42*CE42)</f>
        <v/>
      </c>
      <c r="CT42" s="573" t="str">
        <f t="shared" ref="CT42:CT73" si="7">IF(BZ42="","",IF(OR($BX$15="PRODUCTION",$BX$15="SUPPLY"),"",IF($CX$32="VERO","OK",VLOOKUP(BZ42,$EE$8:$EK$250,7,FALSE)+IF(OR($BX$15="SALE",$BX$15="SAMPLING"),-(CB42+CD42+CF42),(CB42+CD42+CF42)))))</f>
        <v/>
      </c>
      <c r="CU42" s="350"/>
      <c r="CV42" s="350"/>
      <c r="CW42" s="350"/>
      <c r="CX42" s="571"/>
      <c r="CY42" s="350"/>
      <c r="CZ42" s="350"/>
      <c r="DA42" s="350" t="str">
        <f>IFERROR(VLOOKUP(BZ42,bhpc_data[],22,FALSE),"")</f>
        <v/>
      </c>
      <c r="DH42" s="245"/>
      <c r="EE42" s="547" t="str" cm="1">
        <f t="array" ref="EE42">IFERROR(IF($EC$9="",IF($EC$11="",IF($EC$13="",INDEX(bhpc_data[sku],SMALL(MATCH(ROW(bhpc_data[sku]),ROW(bhpc_data[sku])),ROWS($A$15:A47)+$B$3)),INDEX(bhpc_data[sku],SMALL(IF(ISNUMBER(MATCH(bhpc_data[size1],$EC$13,0)),MATCH(ROW(bhpc_data[sku]),ROW(bhpc_data[sku])),""),ROWS($A$15:A47)+$B$3))),IF($EC$13="",INDEX(bhpc_data[sku],SMALL(IF(ISNUMBER(MATCH(bhpc_data[sex],$EC$11,0)),MATCH(ROW(bhpc_data[sku]),ROW(bhpc_data[sku])),""),ROWS($A$15:A47)+$B$3)),INDEX(bhpc_data[sku],SMALL(IF(ISNUMBER(MATCH(bhpc_data[sex],$EC$11,0)*MATCH(bhpc_data[size1],$EC$13,0)),MATCH(ROW(bhpc_data[sku]),ROW(bhpc_data[sku])),""),ROWS($A$15:A47)+$B$3)))),IF($EC$11="",IF($EC$13="",INDEX(bhpc_data[sku],SMALL(IF(ISNUMBER(MATCH(bhpc_data[category],$EC$9,0)),MATCH(ROW(bhpc_data[sku]),ROW(bhpc_data[sku])),""),ROWS($A$15:A47)+$B$3)),INDEX(bhpc_data[sku],SMALL(IF(ISNUMBER(MATCH(bhpc_data[category],$EC$9,0)*MATCH(bhpc_data[size1],$EC$13,0)),MATCH(ROW(bhpc_data[sku]),ROW(bhpc_data[sku])),""),ROWS($A$15:A47)+$B$3))),IF($EC$13="",INDEX(bhpc_data[sku],SMALL(IF(ISNUMBER(MATCH(bhpc_data[category],$EC$9,0)*MATCH(bhpc_data[sex],$EC$11,0)),MATCH(ROW(bhpc_data[sku]),ROW(bhpc_data[sku])),""),ROWS($A$15:A47)+$B$3)),INDEX(bhpc_data[sku],SMALL(IF(ISNUMBER(MATCH(bhpc_data[category],$EC$9,0)*MATCH(bhpc_data[sex],$EC$11,0)*MATCH(bhpc_data[size1],$EC$13,0)),MATCH(ROW(bhpc_data[sku]),ROW(bhpc_data[sku])),""),ROWS($A$15:A47)+$B$3))))),"")</f>
        <v>GSTW19</v>
      </c>
      <c r="EF42" s="548" t="str" cm="1">
        <f t="array" ref="EF42">IFERROR(IF($EC$9="",IF($EC$11="",IF($EC$13="",INDEX(bhpc_data[description],SMALL(MATCH(ROW(bhpc_data[sku]),ROW(bhpc_data[sku])),ROWS($A$15:A47)+$B$3)),INDEX(bhpc_data[description],SMALL(IF(ISNUMBER(MATCH(bhpc_data[size1],$EC$13,0)),MATCH(ROW(bhpc_data[sku]),ROW(bhpc_data[sku])),""),ROWS($A$15:A47)+$B$3))),IF($EC$13="",INDEX(bhpc_data[description],SMALL(IF(ISNUMBER(MATCH(bhpc_data[sex],$EC$11,0)),MATCH(ROW(bhpc_data[sku]),ROW(bhpc_data[sku])),""),ROWS($A$15:A47)+$B$3)),INDEX(bhpc_data[description],SMALL(IF(ISNUMBER(MATCH(bhpc_data[sex],$EC$11,0)*MATCH(bhpc_data[size1],$EC$13,0)),MATCH(ROW(bhpc_data[sku]),ROW(bhpc_data[sku])),""),ROWS($A$15:A47)+$B$3)))),IF($EC$11="",IF($EC$13="",INDEX(bhpc_data[description],SMALL(IF(ISNUMBER(MATCH(bhpc_data[category],$EC$9,0)),MATCH(ROW(bhpc_data[sku]),ROW(bhpc_data[sku])),""),ROWS($A$15:A47)+$B$3)),INDEX(bhpc_data[description],SMALL(IF(ISNUMBER(MATCH(bhpc_data[category],$EC$9,0)*MATCH(bhpc_data[size1],$EC$13,0)),MATCH(ROW(bhpc_data[sku]),ROW(bhpc_data[sku])),""),ROWS($A$15:A47)+$B$3))),IF($EC$13="",INDEX(bhpc_data[description],SMALL(IF(ISNUMBER(MATCH(bhpc_data[category],$EC$9,0)*MATCH(bhpc_data[sex],$EC$11,0)),MATCH(ROW(bhpc_data[sku]),ROW(bhpc_data[sku])),""),ROWS($A$15:A47)+$B$3)),INDEX(bhpc_data[description],SMALL(IF(ISNUMBER(MATCH(bhpc_data[category],$EC$9,0)*MATCH(bhpc_data[sex],$EC$11,0)*MATCH(bhpc_data[size1],$EC$13,0)),MATCH(ROW(bhpc_data[sku]),ROW(bhpc_data[sku])),""),ROWS($A$15:A47)+$B$3))))),"")</f>
        <v>BHPC TWINPACK DEO WOMEN #1 #9 150ML</v>
      </c>
      <c r="EG42" s="549">
        <f>IFERROR(IF('BHPC MANAGER'!$EE42="","",INDEX(inventory[ESISTENZA],MATCH('BHPC MANAGER'!$EE42,inventory[ARTICOLO],0))),0)</f>
        <v>0</v>
      </c>
      <c r="EH42" s="550" t="s">
        <v>914</v>
      </c>
      <c r="EI42" s="550">
        <f t="shared" si="3"/>
        <v>0</v>
      </c>
      <c r="EJ42" s="551" t="s">
        <v>914</v>
      </c>
      <c r="EK42" s="552">
        <f t="shared" si="4"/>
        <v>0</v>
      </c>
      <c r="EO42" s="245" t="str">
        <f t="array" ref="EO42">IFERROR(INDEX(orderHistory[order_no],SMALL(IF(ISNUMBER(MATCH(orderHistory[status],$EO$7,0)),MATCH(ROW(orderHistory[order_no]),ROW(orderHistory[order_no])),""),ROWS($A$15:A47))),"")</f>
        <v/>
      </c>
    </row>
    <row r="43" spans="6:228" ht="15" customHeight="1" x14ac:dyDescent="0.35">
      <c r="L43" s="452" t="str">
        <f t="array" ref="L43">IFERROR(IF($D$9="",IF($D$11="",IF($D$13="",IF($D$15="",INDEX(orderHistory[customer],SMALL(MATCH(ROW(orderHistory[customer]),ROW(orderHistory[customer])),ROWS($A$15:A48)+$B$3)),INDEX(orderHistory[customer],SMALL(IF(ISNUMBER(MATCH(YEAR(orderHistory[invoice_date]),$D$15,0)),MATCH(ROW(orderHistory[customer]),ROW(orderHistory[customer])),""),ROWS($A$15:A48)+$B$3))),IF($D$15="",INDEX(orderHistory[customer],SMALL(IF(ISNUMBER(MATCH(orderHistory[order_type],$D$13,0)),MATCH(ROW(orderHistory[customer]),ROW(orderHistory[customer])),""),ROWS($A$15:A48)+$B$3)),INDEX(orderHistory[customer],SMALL(IF(ISNUMBER(MATCH(orderHistory[order_type],$D$13,0)*MATCH(YEAR(orderHistory[invoice_date]),$D$15,0)),MATCH(ROW(orderHistory[customer]),ROW(orderHistory[customer])),""),ROWS($A$15:A48)+$B$3)))),IF($D$13="",IF($D$15="",INDEX(orderHistory[customer],SMALL(IF(ISNUMBER(MATCH(orderHistory[status],$D$11,0)),MATCH(ROW(orderHistory[customer]),ROW(orderHistory[customer])),""),ROWS($A$15:A48)+$B$3)),INDEX(orderHistory[customer],SMALL(IF(ISNUMBER(MATCH(orderHistory[status],$D$11,0)*MATCH(YEAR(orderHistory[invoice_date]),$D$15,0)),MATCH(ROW(orderHistory[customer]),ROW(orderHistory[customer])),""),ROWS($A$15:A48)+$B$3))),IF($D$15="",INDEX(orderHistory[customer],SMALL(IF(ISNUMBER(MATCH(orderHistory[status],$D$11,0)*MATCH(orderHistory[order_type],$D$13,0)),MATCH(ROW(orderHistory[customer]),ROW(orderHistory[customer])),""),ROWS($A$15:A48)+$B$3)),INDEX(orderHistory[customer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customer],SMALL(IF(ISNUMBER(MATCH(orderHistory[customer],$D$9,0)),MATCH(ROW(orderHistory[customer]),ROW(orderHistory[customer])),""),ROWS($A$15:A48)+$B$3)),INDEX(orderHistory[customer],SMALL(IF(ISNUMBER(MATCH(orderHistory[customer],$D$9,0)*MATCH(YEAR(orderHistory[invoice_date]),$D$15,0)),MATCH(ROW(orderHistory[customer]),ROW(orderHistory[customer])),""),ROWS($A$15:A48)+$B$3))),IF($D$15="",INDEX(orderHistory[customer],SMALL(IF(ISNUMBER(MATCH(orderHistory[customer],$D$9,0)*MATCH(orderHistory[order_type],$D$13,0)),MATCH(ROW(orderHistory[customer]),ROW(orderHistory[customer])),""),ROWS($A$15:A48)+$B$3)),INDEX(orderHistory[customer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YEAR(orderHistory[invoice_date]),$D$15,0)),MATCH(ROW(orderHistory[customer]),ROW(orderHistory[customer])),""),ROWS($A$15:A48)+$B$3))),IF($D$15="",INDEX(orderHistory[customer],SMALL(IF(ISNUMBER(MATCH(orderHistory[customer],$D$9,0)*MATCH(orderHistory[status],$D$11,0)*MATCH(orderHistory[order_type],$D$13,0)),MATCH(ROW(orderHistory[customer]),ROW(orderHistory[customer])),""),ROWS($A$15:A48)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M43" s="453" t="str">
        <f t="array" ref="M43">IFERROR(IF($D$9="",IF($D$11="",IF($D$13="",IF($D$15="",INDEX(orderHistory[order_no],SMALL(MATCH(ROW(orderHistory[customer]),ROW(orderHistory[customer])),ROWS($A$15:A48)+$B$3)),INDEX(orderHistory[order_no],SMALL(IF(ISNUMBER(MATCH(YEAR(orderHistory[invoice_date]),$D$15,0)),MATCH(ROW(orderHistory[customer]),ROW(orderHistory[customer])),""),ROWS($A$15:A48)+$B$3))),IF($D$15="",INDEX(orderHistory[order_no],SMALL(IF(ISNUMBER(MATCH(orderHistory[order_type],$D$13,0)),MATCH(ROW(orderHistory[customer]),ROW(orderHistory[customer])),""),ROWS($A$15:A48)+$B$3)),INDEX(orderHistory[order_no],SMALL(IF(ISNUMBER(MATCH(orderHistory[order_type],$D$13,0)*MATCH(YEAR(orderHistory[invoice_date]),$D$15,0)),MATCH(ROW(orderHistory[customer]),ROW(orderHistory[customer])),""),ROWS($A$15:A48)+$B$3)))),IF($D$13="",IF($D$15="",INDEX(orderHistory[order_no],SMALL(IF(ISNUMBER(MATCH(orderHistory[status],$D$11,0)),MATCH(ROW(orderHistory[customer]),ROW(orderHistory[customer])),""),ROWS($A$15:A48)+$B$3)),INDEX(orderHistory[order_no],SMALL(IF(ISNUMBER(MATCH(orderHistory[status],$D$11,0)*MATCH(YEAR(orderHistory[invoice_date]),$D$15,0)),MATCH(ROW(orderHistory[customer]),ROW(orderHistory[customer])),""),ROWS($A$15:A48)+$B$3))),IF($D$15="",INDEX(orderHistory[order_no],SMALL(IF(ISNUMBER(MATCH(orderHistory[status],$D$11,0)*MATCH(orderHistory[order_type],$D$13,0)),MATCH(ROW(orderHistory[customer]),ROW(orderHistory[customer])),""),ROWS($A$15:A48)+$B$3)),INDEX(orderHistory[order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no],SMALL(IF(ISNUMBER(MATCH(orderHistory[customer],$D$9,0)),MATCH(ROW(orderHistory[customer]),ROW(orderHistory[customer])),""),ROWS($A$15:A48)+$B$3)),INDEX(orderHistory[order_no],SMALL(IF(ISNUMBER(MATCH(orderHistory[customer],$D$9,0)*MATCH(YEAR(orderHistory[invoice_date]),$D$15,0)),MATCH(ROW(orderHistory[customer]),ROW(orderHistory[customer])),""),ROWS($A$15:A48)+$B$3))),IF($D$15="",INDEX(orderHistory[order_no],SMALL(IF(ISNUMBER(MATCH(orderHistory[customer],$D$9,0)*MATCH(orderHistory[order_type],$D$13,0)),MATCH(ROW(orderHistory[customer]),ROW(orderHistory[customer])),""),ROWS($A$15:A48)+$B$3)),INDEX(orderHistory[order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YEAR(orderHistory[invoice_date]),$D$15,0)),MATCH(ROW(orderHistory[customer]),ROW(orderHistory[customer])),""),ROWS($A$15:A48)+$B$3))),IF($D$15="",INDEX(orderHistory[order_no],SMALL(IF(ISNUMBER(MATCH(orderHistory[customer],$D$9,0)*MATCH(orderHistory[status],$D$11,0)*MATCH(orderHistory[order_type],$D$13,0)),MATCH(ROW(orderHistory[customer]),ROW(orderHistory[customer])),""),ROWS($A$15:A48)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N43" s="454" t="str">
        <f t="array" ref="N43">IFERROR(IF($D$9="",IF($D$11="",IF($D$13="",IF($D$15="",INDEX(orderHistory[order_type],SMALL(MATCH(ROW(orderHistory[customer]),ROW(orderHistory[customer])),ROWS($A$15:A48)+$B$3)),INDEX(orderHistory[order_type],SMALL(IF(ISNUMBER(MATCH(YEAR(orderHistory[invoice_date]),$D$15,0)),MATCH(ROW(orderHistory[customer]),ROW(orderHistory[customer])),""),ROWS($A$15:A48)+$B$3))),IF($D$15="",INDEX(orderHistory[order_type],SMALL(IF(ISNUMBER(MATCH(orderHistory[order_type],$D$13,0)),MATCH(ROW(orderHistory[customer]),ROW(orderHistory[customer])),""),ROWS($A$15:A48)+$B$3)),INDEX(orderHistory[order_type],SMALL(IF(ISNUMBER(MATCH(orderHistory[order_type],$D$13,0)*MATCH(YEAR(orderHistory[invoice_date]),$D$15,0)),MATCH(ROW(orderHistory[customer]),ROW(orderHistory[customer])),""),ROWS($A$15:A48)+$B$3)))),IF($D$13="",IF($D$15="",INDEX(orderHistory[order_type],SMALL(IF(ISNUMBER(MATCH(orderHistory[status],$D$11,0)),MATCH(ROW(orderHistory[customer]),ROW(orderHistory[customer])),""),ROWS($A$15:A48)+$B$3)),INDEX(orderHistory[order_type],SMALL(IF(ISNUMBER(MATCH(orderHistory[status],$D$11,0)*MATCH(YEAR(orderHistory[invoice_date]),$D$15,0)),MATCH(ROW(orderHistory[customer]),ROW(orderHistory[customer])),""),ROWS($A$15:A48)+$B$3))),IF($D$15="",INDEX(orderHistory[order_type],SMALL(IF(ISNUMBER(MATCH(orderHistory[status],$D$11,0)*MATCH(orderHistory[order_type],$D$13,0)),MATCH(ROW(orderHistory[customer]),ROW(orderHistory[customer])),""),ROWS($A$15:A48)+$B$3)),INDEX(orderHistory[order_typ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type],SMALL(IF(ISNUMBER(MATCH(orderHistory[customer],$D$9,0)),MATCH(ROW(orderHistory[customer]),ROW(orderHistory[customer])),""),ROWS($A$15:A48)+$B$3)),INDEX(orderHistory[order_type],SMALL(IF(ISNUMBER(MATCH(orderHistory[customer],$D$9,0)*MATCH(YEAR(orderHistory[invoice_date]),$D$15,0)),MATCH(ROW(orderHistory[customer]),ROW(orderHistory[customer])),""),ROWS($A$15:A48)+$B$3))),IF($D$15="",INDEX(orderHistory[order_type],SMALL(IF(ISNUMBER(MATCH(orderHistory[customer],$D$9,0)*MATCH(orderHistory[order_type],$D$13,0)),MATCH(ROW(orderHistory[customer]),ROW(orderHistory[customer])),""),ROWS($A$15:A48)+$B$3)),INDEX(orderHistory[order_typ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YEAR(orderHistory[invoice_date]),$D$15,0)),MATCH(ROW(orderHistory[customer]),ROW(orderHistory[customer])),""),ROWS($A$15:A48)+$B$3))),IF($D$15="",INDEX(orderHistory[order_type],SMALL(IF(ISNUMBER(MATCH(orderHistory[customer],$D$9,0)*MATCH(orderHistory[status],$D$11,0)*MATCH(orderHistory[order_type],$D$13,0)),MATCH(ROW(orderHistory[customer]),ROW(orderHistory[customer])),""),ROWS($A$15:A48)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O43" s="455" t="str">
        <f t="array" ref="O43">IFERROR(IF($D$9="",IF($D$11="",IF($D$13="",IF($D$15="",INDEX(orderHistory[order_date],SMALL(MATCH(ROW(orderHistory[customer]),ROW(orderHistory[customer])),ROWS($A$15:A48)+$B$3)),INDEX(orderHistory[order_date],SMALL(IF(ISNUMBER(MATCH(YEAR(orderHistory[invoice_date]),$D$15,0)),MATCH(ROW(orderHistory[customer]),ROW(orderHistory[customer])),""),ROWS($A$15:A48)+$B$3))),IF($D$15="",INDEX(orderHistory[order_date],SMALL(IF(ISNUMBER(MATCH(orderHistory[order_type],$D$13,0)),MATCH(ROW(orderHistory[customer]),ROW(orderHistory[customer])),""),ROWS($A$15:A48)+$B$3)),INDEX(orderHistory[order_date],SMALL(IF(ISNUMBER(MATCH(orderHistory[order_type],$D$13,0)*MATCH(YEAR(orderHistory[invoice_date]),$D$15,0)),MATCH(ROW(orderHistory[customer]),ROW(orderHistory[customer])),""),ROWS($A$15:A48)+$B$3)))),IF($D$13="",IF($D$15="",INDEX(orderHistory[order_date],SMALL(IF(ISNUMBER(MATCH(orderHistory[status],$D$11,0)),MATCH(ROW(orderHistory[customer]),ROW(orderHistory[customer])),""),ROWS($A$15:A48)+$B$3)),INDEX(orderHistory[order_date],SMALL(IF(ISNUMBER(MATCH(orderHistory[status],$D$11,0)*MATCH(YEAR(orderHistory[invoice_date]),$D$15,0)),MATCH(ROW(orderHistory[customer]),ROW(orderHistory[customer])),""),ROWS($A$15:A48)+$B$3))),IF($D$15="",INDEX(orderHistory[order_date],SMALL(IF(ISNUMBER(MATCH(orderHistory[status],$D$11,0)*MATCH(orderHistory[order_type],$D$13,0)),MATCH(ROW(orderHistory[customer]),ROW(orderHistory[customer])),""),ROWS($A$15:A48)+$B$3)),INDEX(orderHistory[order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date],SMALL(IF(ISNUMBER(MATCH(orderHistory[customer],$D$9,0)),MATCH(ROW(orderHistory[customer]),ROW(orderHistory[customer])),""),ROWS($A$15:A48)+$B$3)),INDEX(orderHistory[order_date],SMALL(IF(ISNUMBER(MATCH(orderHistory[customer],$D$9,0)*MATCH(YEAR(orderHistory[invoice_date]),$D$15,0)),MATCH(ROW(orderHistory[customer]),ROW(orderHistory[customer])),""),ROWS($A$15:A48)+$B$3))),IF($D$15="",INDEX(orderHistory[order_date],SMALL(IF(ISNUMBER(MATCH(orderHistory[customer],$D$9,0)*MATCH(orderHistory[order_type],$D$13,0)),MATCH(ROW(orderHistory[customer]),ROW(orderHistory[customer])),""),ROWS($A$15:A48)+$B$3)),INDEX(orderHistory[order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YEAR(orderHistory[invoice_date]),$D$15,0)),MATCH(ROW(orderHistory[customer]),ROW(orderHistory[customer])),""),ROWS($A$15:A48)+$B$3))),IF($D$15="",INDEX(orderHistory[order_date],SMALL(IF(ISNUMBER(MATCH(orderHistory[customer],$D$9,0)*MATCH(orderHistory[status],$D$11,0)*MATCH(orderHistory[order_type],$D$13,0)),MATCH(ROW(orderHistory[customer]),ROW(orderHistory[customer])),""),ROWS($A$15:A48)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P43" s="456" t="str">
        <f t="array" ref="P43">IFERROR(IF($D$9="",IF($D$11="",IF($D$13="",IF($D$15="",INDEX(orderHistory[invoice_no],SMALL(MATCH(ROW(orderHistory[customer]),ROW(orderHistory[customer])),ROWS($A$15:A48)+$B$3)),INDEX(orderHistory[invoice_no],SMALL(IF(ISNUMBER(MATCH(YEAR(orderHistory[invoice_date]),$D$15,0)),MATCH(ROW(orderHistory[customer]),ROW(orderHistory[customer])),""),ROWS($A$15:A48)+$B$3))),IF($D$15="",INDEX(orderHistory[invoice_no],SMALL(IF(ISNUMBER(MATCH(orderHistory[order_type],$D$13,0)),MATCH(ROW(orderHistory[customer]),ROW(orderHistory[customer])),""),ROWS($A$15:A48)+$B$3)),INDEX(orderHistory[invoice_no],SMALL(IF(ISNUMBER(MATCH(orderHistory[order_type],$D$13,0)*MATCH(YEAR(orderHistory[invoice_date]),$D$15,0)),MATCH(ROW(orderHistory[customer]),ROW(orderHistory[customer])),""),ROWS($A$15:A48)+$B$3)))),IF($D$13="",IF($D$15="",INDEX(orderHistory[invoice_no],SMALL(IF(ISNUMBER(MATCH(orderHistory[status],$D$11,0)),MATCH(ROW(orderHistory[customer]),ROW(orderHistory[customer])),""),ROWS($A$15:A48)+$B$3)),INDEX(orderHistory[invoice_no],SMALL(IF(ISNUMBER(MATCH(orderHistory[status],$D$11,0)*MATCH(YEAR(orderHistory[invoice_date]),$D$15,0)),MATCH(ROW(orderHistory[customer]),ROW(orderHistory[customer])),""),ROWS($A$15:A48)+$B$3))),IF($D$15="",INDEX(orderHistory[invoice_no],SMALL(IF(ISNUMBER(MATCH(orderHistory[status],$D$11,0)*MATCH(orderHistory[order_type],$D$13,0)),MATCH(ROW(orderHistory[customer]),ROW(orderHistory[customer])),""),ROWS($A$15:A48)+$B$3)),INDEX(orderHistory[invoice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no],SMALL(IF(ISNUMBER(MATCH(orderHistory[customer],$D$9,0)),MATCH(ROW(orderHistory[customer]),ROW(orderHistory[customer])),""),ROWS($A$15:A48)+$B$3)),INDEX(orderHistory[invoice_no],SMALL(IF(ISNUMBER(MATCH(orderHistory[customer],$D$9,0)*MATCH(YEAR(orderHistory[invoice_date]),$D$15,0)),MATCH(ROW(orderHistory[customer]),ROW(orderHistory[customer])),""),ROWS($A$15:A48)+$B$3))),IF($D$15="",INDEX(orderHistory[invoice_no],SMALL(IF(ISNUMBER(MATCH(orderHistory[customer],$D$9,0)*MATCH(orderHistory[order_type],$D$13,0)),MATCH(ROW(orderHistory[customer]),ROW(orderHistory[customer])),""),ROWS($A$15:A48)+$B$3)),INDEX(orderHistory[invoice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YEAR(orderHistory[invoice_date]),$D$15,0)),MATCH(ROW(orderHistory[customer]),ROW(orderHistory[customer])),""),ROWS($A$15:A48)+$B$3))),IF($D$15="",INDEX(orderHistory[invoice_no],SMALL(IF(ISNUMBER(MATCH(orderHistory[customer],$D$9,0)*MATCH(orderHistory[status],$D$11,0)*MATCH(orderHistory[order_type],$D$13,0)),MATCH(ROW(orderHistory[customer]),ROW(orderHistory[customer])),""),ROWS($A$15:A48)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Q43" s="457" t="str">
        <f t="array" ref="Q43">IFERROR(IF($D$9="",IF($D$11="",IF($D$13="",IF($D$15="",INDEX(orderHistory[invoice_date],SMALL(MATCH(ROW(orderHistory[customer]),ROW(orderHistory[customer])),ROWS($A$15:A48)+$B$3)),INDEX(orderHistory[invoice_date],SMALL(IF(ISNUMBER(MATCH(YEAR(orderHistory[invoice_date]),$D$15,0)),MATCH(ROW(orderHistory[customer]),ROW(orderHistory[customer])),""),ROWS($A$15:A48)+$B$3))),IF($D$15="",INDEX(orderHistory[invoice_date],SMALL(IF(ISNUMBER(MATCH(orderHistory[order_type],$D$13,0)),MATCH(ROW(orderHistory[customer]),ROW(orderHistory[customer])),""),ROWS($A$15:A48)+$B$3)),INDEX(orderHistory[invoice_date],SMALL(IF(ISNUMBER(MATCH(orderHistory[order_type],$D$13,0)*MATCH(YEAR(orderHistory[invoice_date]),$D$15,0)),MATCH(ROW(orderHistory[customer]),ROW(orderHistory[customer])),""),ROWS($A$15:A48)+$B$3)))),IF($D$13="",IF($D$15="",INDEX(orderHistory[invoice_date],SMALL(IF(ISNUMBER(MATCH(orderHistory[status],$D$11,0)),MATCH(ROW(orderHistory[customer]),ROW(orderHistory[customer])),""),ROWS($A$15:A48)+$B$3)),INDEX(orderHistory[invoice_date],SMALL(IF(ISNUMBER(MATCH(orderHistory[status],$D$11,0)*MATCH(YEAR(orderHistory[invoice_date]),$D$15,0)),MATCH(ROW(orderHistory[customer]),ROW(orderHistory[customer])),""),ROWS($A$15:A48)+$B$3))),IF($D$15="",INDEX(orderHistory[invoice_date],SMALL(IF(ISNUMBER(MATCH(orderHistory[status],$D$11,0)*MATCH(orderHistory[order_type],$D$13,0)),MATCH(ROW(orderHistory[customer]),ROW(orderHistory[customer])),""),ROWS($A$15:A48)+$B$3)),INDEX(orderHistory[invoice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date],SMALL(IF(ISNUMBER(MATCH(orderHistory[customer],$D$9,0)),MATCH(ROW(orderHistory[customer]),ROW(orderHistory[customer])),""),ROWS($A$15:A48)+$B$3)),INDEX(orderHistory[invoice_date],SMALL(IF(ISNUMBER(MATCH(orderHistory[customer],$D$9,0)*MATCH(YEAR(orderHistory[invoice_date]),$D$15,0)),MATCH(ROW(orderHistory[customer]),ROW(orderHistory[customer])),""),ROWS($A$15:A48)+$B$3))),IF($D$15="",INDEX(orderHistory[invoice_date],SMALL(IF(ISNUMBER(MATCH(orderHistory[customer],$D$9,0)*MATCH(orderHistory[order_type],$D$13,0)),MATCH(ROW(orderHistory[customer]),ROW(orderHistory[customer])),""),ROWS($A$15:A48)+$B$3)),INDEX(orderHistory[invoice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YEAR(orderHistory[invoice_date]),$D$15,0)),MATCH(ROW(orderHistory[customer]),ROW(orderHistory[customer])),""),ROWS($A$15:A48)+$B$3))),IF($D$15="",INDEX(orderHistory[invoice_date],SMALL(IF(ISNUMBER(MATCH(orderHistory[customer],$D$9,0)*MATCH(orderHistory[status],$D$11,0)*MATCH(orderHistory[order_type],$D$13,0)),MATCH(ROW(orderHistory[customer]),ROW(orderHistory[customer])),""),ROWS($A$15:A48)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R43" s="458" t="str">
        <f t="array" ref="R43">IFERROR(IF($D$9="",IF($D$11="",IF($D$13="",IF($D$15="",INDEX(orderHistory[inv_amount],SMALL(MATCH(ROW(orderHistory[customer]),ROW(orderHistory[customer])),ROWS($A$15:A48)+$B$3)),INDEX(orderHistory[inv_amount],SMALL(IF(ISNUMBER(MATCH(YEAR(orderHistory[invoice_date]),$D$15,0)),MATCH(ROW(orderHistory[customer]),ROW(orderHistory[customer])),""),ROWS($A$15:A48)+$B$3))),IF($D$15="",INDEX(orderHistory[inv_amount],SMALL(IF(ISNUMBER(MATCH(orderHistory[order_type],$D$13,0)),MATCH(ROW(orderHistory[customer]),ROW(orderHistory[customer])),""),ROWS($A$15:A48)+$B$3)),INDEX(orderHistory[inv_amount],SMALL(IF(ISNUMBER(MATCH(orderHistory[order_type],$D$13,0)*MATCH(YEAR(orderHistory[invoice_date]),$D$15,0)),MATCH(ROW(orderHistory[customer]),ROW(orderHistory[customer])),""),ROWS($A$15:A48)+$B$3)))),IF($D$13="",IF($D$15="",INDEX(orderHistory[inv_amount],SMALL(IF(ISNUMBER(MATCH(orderHistory[status],$D$11,0)),MATCH(ROW(orderHistory[customer]),ROW(orderHistory[customer])),""),ROWS($A$15:A48)+$B$3)),INDEX(orderHistory[inv_amount],SMALL(IF(ISNUMBER(MATCH(orderHistory[status],$D$11,0)*MATCH(YEAR(orderHistory[invoice_date]),$D$15,0)),MATCH(ROW(orderHistory[customer]),ROW(orderHistory[customer])),""),ROWS($A$15:A48)+$B$3))),IF($D$15="",INDEX(orderHistory[inv_amount],SMALL(IF(ISNUMBER(MATCH(orderHistory[status],$D$11,0)*MATCH(orderHistory[order_type],$D$13,0)),MATCH(ROW(orderHistory[customer]),ROW(orderHistory[customer])),""),ROWS($A$15:A48)+$B$3)),INDEX(orderHistory[inv_amount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_amount],SMALL(IF(ISNUMBER(MATCH(orderHistory[customer],$D$9,0)),MATCH(ROW(orderHistory[customer]),ROW(orderHistory[customer])),""),ROWS($A$15:A48)+$B$3)),INDEX(orderHistory[inv_amount],SMALL(IF(ISNUMBER(MATCH(orderHistory[customer],$D$9,0)*MATCH(YEAR(orderHistory[invoice_date]),$D$15,0)),MATCH(ROW(orderHistory[customer]),ROW(orderHistory[customer])),""),ROWS($A$15:A48)+$B$3))),IF($D$15="",INDEX(orderHistory[inv_amount],SMALL(IF(ISNUMBER(MATCH(orderHistory[customer],$D$9,0)*MATCH(orderHistory[order_type],$D$13,0)),MATCH(ROW(orderHistory[customer]),ROW(orderHistory[customer])),""),ROWS($A$15:A48)+$B$3)),INDEX(orderHistory[inv_amount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YEAR(orderHistory[inv_amount]),$D$15,0)),MATCH(ROW(orderHistory[customer]),ROW(orderHistory[customer])),""),ROWS($A$15:A48)+$B$3))),IF($D$15="",INDEX(orderHistory[inv_amount],SMALL(IF(ISNUMBER(MATCH(orderHistory[customer],$D$9,0)*MATCH(orderHistory[status],$D$11,0)*MATCH(orderHistory[order_type],$D$13,0)),MATCH(ROW(orderHistory[customer]),ROW(orderHistory[customer])),""),ROWS($A$15:A48)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S43" s="569" t="str">
        <f t="array" ref="S43">IFERROR(IF($D$9="",IF($D$11="",IF($D$13="",IF($D$15="",INDEX(orderHistory[lock_goods],SMALL(MATCH(ROW(orderHistory[customer]),ROW(orderHistory[customer])),ROWS($A$15:A48)+$B$3)),INDEX(orderHistory[lock_goods],SMALL(IF(ISNUMBER(MATCH(YEAR(orderHistory[invoice_date]),$D$15,0)),MATCH(ROW(orderHistory[customer]),ROW(orderHistory[customer])),""),ROWS($A$15:A48)+$B$3))),IF($D$15="",INDEX(orderHistory[lock_goods],SMALL(IF(ISNUMBER(MATCH(orderHistory[order_type],$D$13,0)),MATCH(ROW(orderHistory[customer]),ROW(orderHistory[customer])),""),ROWS($A$15:A48)+$B$3)),INDEX(orderHistory[lock_goods],SMALL(IF(ISNUMBER(MATCH(orderHistory[order_type],$D$13,0)*MATCH(YEAR(orderHistory[invoice_date]),$D$15,0)),MATCH(ROW(orderHistory[customer]),ROW(orderHistory[customer])),""),ROWS($A$15:A48)+$B$3)))),IF($D$13="",IF($D$15="",INDEX(orderHistory[lock_goods],SMALL(IF(ISNUMBER(MATCH(orderHistory[status],$D$11,0)),MATCH(ROW(orderHistory[customer]),ROW(orderHistory[customer])),""),ROWS($A$15:A48)+$B$3)),INDEX(orderHistory[lock_goods],SMALL(IF(ISNUMBER(MATCH(orderHistory[status],$D$11,0)*MATCH(YEAR(orderHistory[invoice_date]),$D$15,0)),MATCH(ROW(orderHistory[customer]),ROW(orderHistory[customer])),""),ROWS($A$15:A48)+$B$3))),IF($D$15="",INDEX(orderHistory[lock_goods],SMALL(IF(ISNUMBER(MATCH(orderHistory[status],$D$11,0)*MATCH(orderHistory[order_type],$D$13,0)),MATCH(ROW(orderHistory[customer]),ROW(orderHistory[customer])),""),ROWS($A$15:A48)+$B$3)),INDEX(orderHistory[lock_good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lock_goods],SMALL(IF(ISNUMBER(MATCH(orderHistory[customer],$D$9,0)),MATCH(ROW(orderHistory[customer]),ROW(orderHistory[customer])),""),ROWS($A$15:A48)+$B$3)),INDEX(orderHistory[lock_goods],SMALL(IF(ISNUMBER(MATCH(orderHistory[customer],$D$9,0)*MATCH(YEAR(orderHistory[invoice_date]),$D$15,0)),MATCH(ROW(orderHistory[customer]),ROW(orderHistory[customer])),""),ROWS($A$15:A48)+$B$3))),IF($D$15="",INDEX(orderHistory[lock_goods],SMALL(IF(ISNUMBER(MATCH(orderHistory[customer],$D$9,0)*MATCH(orderHistory[order_type],$D$13,0)),MATCH(ROW(orderHistory[customer]),ROW(orderHistory[customer])),""),ROWS($A$15:A48)+$B$3)),INDEX(orderHistory[lock_good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lock_goods],SMALL(IF(ISNUMBER(MATCH(orderHistory[customer],$D$9,0)*MATCH(orderHistory[status],$D$11,0)),MATCH(ROW(orderHistory[customer]),ROW(orderHistory[customer])),""),ROWS($A$15:A48)+$B$3)),INDEX(orderHistory[lock_goods],SMALL(IF(ISNUMBER(MATCH(orderHistory[customer],$D$9,0)*MATCH(orderHistory[status],$D$11,0)*MATCH(YEAR(orderHistory[payed]),$D$15,0)),MATCH(ROW(orderHistory[customer]),ROW(orderHistory[customer])),""),ROWS($A$15:A48)+$B$3))),IF($D$15="",INDEX(orderHistory[lock_goods],SMALL(IF(ISNUMBER(MATCH(orderHistory[customer],$D$9,0)*MATCH(orderHistory[status],$D$11,0)*MATCH(orderHistory[order_type],$D$13,0)),MATCH(ROW(orderHistory[customer]),ROW(orderHistory[customer])),""),ROWS($A$15:A48)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T43" s="459" t="str">
        <f t="array" ref="T43">IFERROR(IF($D$9="",IF($D$11="",IF($D$13="",IF($D$15="",INDEX(orderHistory[payed],SMALL(MATCH(ROW(orderHistory[customer]),ROW(orderHistory[customer])),ROWS($A$15:A48)+$B$3)),INDEX(orderHistory[payed],SMALL(IF(ISNUMBER(MATCH(YEAR(orderHistory[invoice_date]),$D$15,0)),MATCH(ROW(orderHistory[customer]),ROW(orderHistory[customer])),""),ROWS($A$15:A48)+$B$3))),IF($D$15="",INDEX(orderHistory[payed],SMALL(IF(ISNUMBER(MATCH(orderHistory[order_type],$D$13,0)),MATCH(ROW(orderHistory[customer]),ROW(orderHistory[customer])),""),ROWS($A$15:A48)+$B$3)),INDEX(orderHistory[payed],SMALL(IF(ISNUMBER(MATCH(orderHistory[order_type],$D$13,0)*MATCH(YEAR(orderHistory[invoice_date]),$D$15,0)),MATCH(ROW(orderHistory[customer]),ROW(orderHistory[customer])),""),ROWS($A$15:A48)+$B$3)))),IF($D$13="",IF($D$15="",INDEX(orderHistory[payed],SMALL(IF(ISNUMBER(MATCH(orderHistory[status],$D$11,0)),MATCH(ROW(orderHistory[customer]),ROW(orderHistory[customer])),""),ROWS($A$15:A48)+$B$3)),INDEX(orderHistory[payed],SMALL(IF(ISNUMBER(MATCH(orderHistory[status],$D$11,0)*MATCH(YEAR(orderHistory[invoice_date]),$D$15,0)),MATCH(ROW(orderHistory[customer]),ROW(orderHistory[customer])),""),ROWS($A$15:A48)+$B$3))),IF($D$15="",INDEX(orderHistory[payed],SMALL(IF(ISNUMBER(MATCH(orderHistory[status],$D$11,0)*MATCH(orderHistory[order_type],$D$13,0)),MATCH(ROW(orderHistory[customer]),ROW(orderHistory[customer])),""),ROWS($A$15:A48)+$B$3)),INDEX(orderHistory[paye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payed],SMALL(IF(ISNUMBER(MATCH(orderHistory[customer],$D$9,0)),MATCH(ROW(orderHistory[customer]),ROW(orderHistory[customer])),""),ROWS($A$15:A48)+$B$3)),INDEX(orderHistory[payed],SMALL(IF(ISNUMBER(MATCH(orderHistory[customer],$D$9,0)*MATCH(YEAR(orderHistory[invoice_date]),$D$15,0)),MATCH(ROW(orderHistory[customer]),ROW(orderHistory[customer])),""),ROWS($A$15:A48)+$B$3))),IF($D$15="",INDEX(orderHistory[payed],SMALL(IF(ISNUMBER(MATCH(orderHistory[customer],$D$9,0)*MATCH(orderHistory[order_type],$D$13,0)),MATCH(ROW(orderHistory[customer]),ROW(orderHistory[customer])),""),ROWS($A$15:A48)+$B$3)),INDEX(orderHistory[paye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YEAR(orderHistory[payed]),$D$15,0)),MATCH(ROW(orderHistory[customer]),ROW(orderHistory[customer])),""),ROWS($A$15:A48)+$B$3))),IF($D$15="",INDEX(orderHistory[payed],SMALL(IF(ISNUMBER(MATCH(orderHistory[customer],$D$9,0)*MATCH(orderHistory[status],$D$11,0)*MATCH(orderHistory[order_type],$D$13,0)),MATCH(ROW(orderHistory[customer]),ROW(orderHistory[customer])),""),ROWS($A$15:A48)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U43" s="454" t="str">
        <f t="array" ref="U43">IFERROR(IF($D$9="",IF($D$11="",IF($D$13="",IF($D$15="",INDEX(orderHistory[shipping_method],SMALL(MATCH(ROW(orderHistory[customer]),ROW(orderHistory[customer])),ROWS($A$15:A48)+$B$3)),INDEX(orderHistory[shipping_method],SMALL(IF(ISNUMBER(MATCH(YEAR(orderHistory[invoice_date]),$D$15,0)),MATCH(ROW(orderHistory[customer]),ROW(orderHistory[customer])),""),ROWS($A$15:A48)+$B$3))),IF($D$15="",INDEX(orderHistory[shipping_method],SMALL(IF(ISNUMBER(MATCH(orderHistory[order_type],$D$13,0)),MATCH(ROW(orderHistory[customer]),ROW(orderHistory[customer])),""),ROWS($A$15:A48)+$B$3)),INDEX(orderHistory[shipping_method],SMALL(IF(ISNUMBER(MATCH(orderHistory[order_type],$D$13,0)*MATCH(YEAR(orderHistory[invoice_date]),$D$15,0)),MATCH(ROW(orderHistory[customer]),ROW(orderHistory[customer])),""),ROWS($A$15:A48)+$B$3)))),IF($D$13="",IF($D$15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YEAR(orderHistory[invoice_date]),$D$15,0)),MATCH(ROW(orderHistory[customer]),ROW(orderHistory[customer])),""),ROWS($A$15:A48)+$B$3))),IF($D$15="",INDEX(orderHistory[shipping_method],SMALL(IF(ISNUMBER(MATCH(orderHistory[status],$D$11,0)*MATCH(orderHistory[order_type],$D$13,0)),MATCH(ROW(orderHistory[customer]),ROW(orderHistory[customer])),""),ROWS($A$15:A48)+$B$3)),INDEX(orderHistory[shipping_metho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YEAR(orderHistory[invoice_date]),$D$15,0)),MATCH(ROW(orderHistory[customer]),ROW(orderHistory[customer])),""),ROWS($A$15:A48)+$B$3))),IF($D$15="",INDEX(orderHistory[shipping_method],SMALL(IF(ISNUMBER(MATCH(orderHistory[customer],$D$9,0)*MATCH(orderHistory[order_type],$D$13,0)),MATCH(ROW(orderHistory[customer]),ROW(orderHistory[customer])),""),ROWS($A$15:A48)+$B$3)),INDEX(orderHistory[shipping_metho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YEAR(orderHistory[shipping_method]),$D$15,0)),MATCH(ROW(orderHistory[customer]),ROW(orderHistory[customer])),""),ROWS($A$15:A48)+$B$3))),IF($D$15="",INDEX(orderHistory[shipping_method],SMALL(IF(ISNUMBER(MATCH(orderHistory[customer],$D$9,0)*MATCH(orderHistory[status],$D$11,0)*MATCH(orderHistory[order_type],$D$13,0)),MATCH(ROW(orderHistory[customer]),ROW(orderHistory[customer])),""),ROWS($A$15:A48)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V43" s="460" t="str">
        <f t="array" ref="V43">IFERROR(IF($D$9="",IF($D$11="",IF($D$13="",IF($D$15="",INDEX(orderHistory[status],SMALL(MATCH(ROW(orderHistory[customer]),ROW(orderHistory[customer])),ROWS($A$15:A48)+$B$3)),INDEX(orderHistory[status],SMALL(IF(ISNUMBER(MATCH(YEAR(orderHistory[invoice_date]),$D$15,0)),MATCH(ROW(orderHistory[customer]),ROW(orderHistory[customer])),""),ROWS($A$15:A48)+$B$3))),IF($D$15="",INDEX(orderHistory[status],SMALL(IF(ISNUMBER(MATCH(orderHistory[order_type],$D$13,0)),MATCH(ROW(orderHistory[customer]),ROW(orderHistory[customer])),""),ROWS($A$15:A48)+$B$3)),INDEX(orderHistory[status],SMALL(IF(ISNUMBER(MATCH(orderHistory[order_type],$D$13,0)*MATCH(YEAR(orderHistory[invoice_date]),$D$15,0)),MATCH(ROW(orderHistory[customer]),ROW(orderHistory[customer])),""),ROWS($A$15:A48)+$B$3)))),IF($D$13="",IF($D$15="",INDEX(orderHistory[status],SMALL(IF(ISNUMBER(MATCH(orderHistory[status],$D$11,0)),MATCH(ROW(orderHistory[customer]),ROW(orderHistory[customer])),""),ROWS($A$15:A48)+$B$3)),INDEX(orderHistory[status],SMALL(IF(ISNUMBER(MATCH(orderHistory[status],$D$11,0)*MATCH(YEAR(orderHistory[invoice_date]),$D$15,0)),MATCH(ROW(orderHistory[customer]),ROW(orderHistory[customer])),""),ROWS($A$15:A48)+$B$3))),IF($D$15="",INDEX(orderHistory[status],SMALL(IF(ISNUMBER(MATCH(orderHistory[status],$D$11,0)*MATCH(orderHistory[order_type],$D$13,0)),MATCH(ROW(orderHistory[customer]),ROW(orderHistory[customer])),""),ROWS($A$15:A48)+$B$3)),INDEX(orderHistory[statu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tatus],SMALL(IF(ISNUMBER(MATCH(orderHistory[customer],$D$9,0)),MATCH(ROW(orderHistory[customer]),ROW(orderHistory[customer])),""),ROWS($A$15:A48)+$B$3)),INDEX(orderHistory[status],SMALL(IF(ISNUMBER(MATCH(orderHistory[customer],$D$9,0)*MATCH(YEAR(orderHistory[invoice_date]),$D$15,0)),MATCH(ROW(orderHistory[customer]),ROW(orderHistory[customer])),""),ROWS($A$15:A48)+$B$3))),IF($D$15="",INDEX(orderHistory[status],SMALL(IF(ISNUMBER(MATCH(orderHistory[customer],$D$9,0)*MATCH(orderHistory[order_type],$D$13,0)),MATCH(ROW(orderHistory[customer]),ROW(orderHistory[customer])),""),ROWS($A$15:A48)+$B$3)),INDEX(orderHistory[statu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YEAR(orderHistory[status]),$D$15,0)),MATCH(ROW(orderHistory[customer]),ROW(orderHistory[customer])),""),ROWS($A$15:A48)+$B$3))),IF($D$15="",INDEX(orderHistory[status],SMALL(IF(ISNUMBER(MATCH(orderHistory[customer],$D$9,0)*MATCH(orderHistory[status],$D$11,0)*MATCH(orderHistory[order_type],$D$13,0)),MATCH(ROW(orderHistory[customer]),ROW(orderHistory[customer])),""),ROWS($A$15:A48)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W43" s="75"/>
      <c r="BG43" s="245"/>
      <c r="BK43" s="366"/>
      <c r="BL43" s="367"/>
      <c r="BM43" s="368"/>
      <c r="BN43" s="367"/>
      <c r="BO43" s="368"/>
      <c r="BZ43" s="476"/>
      <c r="CA43" s="477" t="str">
        <f>IF(BZ43="","",INDEX(bhpc_data[description],MATCH(BZ43,bhpc_data[sku],0)))</f>
        <v/>
      </c>
      <c r="CB43" s="480"/>
      <c r="CC43" s="479"/>
      <c r="CD43" s="494"/>
      <c r="CE43" s="481"/>
      <c r="CF43" s="482"/>
      <c r="CG43" s="483" t="str">
        <f>IFERROR(ROUNDUP(CB43/INDEX(bhpc_data[units_per_carton],MATCH(BZ43,bhpc_data[sku],0)),0),"")</f>
        <v/>
      </c>
      <c r="CH43" s="484" t="str">
        <f>IFERROR(ROUNDUP(CD43/INDEX(bhpc_data[units_per_carton],MATCH(BZ43,bhpc_data[sku],0)),0),"")</f>
        <v/>
      </c>
      <c r="CI43" s="484" t="str">
        <f>IFERROR(ROUNDUP(CF43/INDEX(bhpc_data[units_per_carton],MATCH(BZ43,bhpc_data[sku])),0),"")</f>
        <v/>
      </c>
      <c r="CJ43" s="484" t="str">
        <f>IFERROR(((CB43+CD43+CF43)/INDEX(bhpc_data[units_per_carton],MATCH(BZ43,bhpc_data[sku],0)))*INDEX(bhpc_data[net_weight],MATCH(BZ43,bhpc_data[sku],0)),"")</f>
        <v/>
      </c>
      <c r="CK43" s="484" t="str">
        <f>IFERROR(((CB43+CD43+CF43)/INDEX(bhpc_data[units_per_carton],MATCH(BZ43,bhpc_data[sku],0)))*INDEX(bhpc_data[gross_weight],MATCH(BZ43,bhpc_data[sku],0)),"")</f>
        <v/>
      </c>
      <c r="CL43" s="485" t="str">
        <f>IFERROR((CB43+CD43+CF43)/INDEX(bhpc_data[units_per_carton],MATCH(BZ43,bhpc_data[sku],0))*INDEX(bhpc_data[lenght],MATCH(BZ43,bhpc_data[sku],0))*INDEX(bhpc_data[width],MATCH(BZ43,bhpc_data[sku],0))*INDEX(bhpc_data[height],MATCH(BZ43,bhpc_data[sku],0))/1000000000,"")</f>
        <v/>
      </c>
      <c r="CM43" s="486" t="str">
        <f>IFERROR(INDEX(bhpc_data[category],MATCH(BZ43,bhpc_data[sku],0)),"")</f>
        <v/>
      </c>
      <c r="CN43" s="486" t="str">
        <f>IFERROR(INDEX(bhpc_data[size1],MATCH(BZ43,bhpc_data[sku],0)),"")</f>
        <v/>
      </c>
      <c r="CO43" s="487" t="str">
        <f>IFERROR(INDEX(bhpc_data[hs_code],MATCH(BZ43,bhpc_data[sku],0)),"")</f>
        <v/>
      </c>
      <c r="CP43" s="482"/>
      <c r="CQ43" s="488" t="str">
        <f>IFERROR(IF(BZ43="","",IF($BX$15="SALE",INDEX(inventory[COSTO UNITARIO],MATCH(BZ43,inventory[ARTICOLO],0)),IF($BX$15="SAMPLING",INDEX(inventory[COSTO UNITARIO],MATCH(BZ43,inventory[ARTICOLO],0)),""))),"")</f>
        <v/>
      </c>
      <c r="CR43" s="488" t="str">
        <f t="shared" si="5"/>
        <v/>
      </c>
      <c r="CS43" s="489" t="str">
        <f t="shared" si="6"/>
        <v/>
      </c>
      <c r="CT43" s="573" t="str">
        <f t="shared" si="7"/>
        <v/>
      </c>
      <c r="CU43" s="350"/>
      <c r="CV43" s="350"/>
      <c r="CW43" s="350"/>
      <c r="CX43" s="350"/>
      <c r="CY43" s="350"/>
      <c r="CZ43" s="350"/>
      <c r="DA43" s="350" t="str">
        <f>IFERROR(VLOOKUP(BZ43,bhpc_data[],22,FALSE),"")</f>
        <v/>
      </c>
      <c r="DH43" s="245"/>
      <c r="EE43" s="541" t="str" cm="1">
        <f t="array" ref="EE43">IFERROR(IF($EC$9="",IF($EC$11="",IF($EC$13="",INDEX(bhpc_data[sku],SMALL(MATCH(ROW(bhpc_data[sku]),ROW(bhpc_data[sku])),ROWS($A$15:A48)+$B$3)),INDEX(bhpc_data[sku],SMALL(IF(ISNUMBER(MATCH(bhpc_data[size1],$EC$13,0)),MATCH(ROW(bhpc_data[sku]),ROW(bhpc_data[sku])),""),ROWS($A$15:A48)+$B$3))),IF($EC$13="",INDEX(bhpc_data[sku],SMALL(IF(ISNUMBER(MATCH(bhpc_data[sex],$EC$11,0)),MATCH(ROW(bhpc_data[sku]),ROW(bhpc_data[sku])),""),ROWS($A$15:A48)+$B$3)),INDEX(bhpc_data[sku],SMALL(IF(ISNUMBER(MATCH(bhpc_data[sex],$EC$11,0)*MATCH(bhpc_data[size1],$EC$13,0)),MATCH(ROW(bhpc_data[sku]),ROW(bhpc_data[sku])),""),ROWS($A$15:A48)+$B$3)))),IF($EC$11="",IF($EC$13="",INDEX(bhpc_data[sku],SMALL(IF(ISNUMBER(MATCH(bhpc_data[category],$EC$9,0)),MATCH(ROW(bhpc_data[sku]),ROW(bhpc_data[sku])),""),ROWS($A$15:A48)+$B$3)),INDEX(bhpc_data[sku],SMALL(IF(ISNUMBER(MATCH(bhpc_data[category],$EC$9,0)*MATCH(bhpc_data[size1],$EC$13,0)),MATCH(ROW(bhpc_data[sku]),ROW(bhpc_data[sku])),""),ROWS($A$15:A48)+$B$3))),IF($EC$13="",INDEX(bhpc_data[sku],SMALL(IF(ISNUMBER(MATCH(bhpc_data[category],$EC$9,0)*MATCH(bhpc_data[sex],$EC$11,0)),MATCH(ROW(bhpc_data[sku]),ROW(bhpc_data[sku])),""),ROWS($A$15:A48)+$B$3)),INDEX(bhpc_data[sku],SMALL(IF(ISNUMBER(MATCH(bhpc_data[category],$EC$9,0)*MATCH(bhpc_data[sex],$EC$11,0)*MATCH(bhpc_data[size1],$EC$13,0)),MATCH(ROW(bhpc_data[sku]),ROW(bhpc_data[sku])),""),ROWS($A$15:A48)+$B$3))))),"")</f>
        <v>GSTW89</v>
      </c>
      <c r="EF43" s="542" t="str" cm="1">
        <f t="array" ref="EF43">IFERROR(IF($EC$9="",IF($EC$11="",IF($EC$13="",INDEX(bhpc_data[description],SMALL(MATCH(ROW(bhpc_data[sku]),ROW(bhpc_data[sku])),ROWS($A$15:A48)+$B$3)),INDEX(bhpc_data[description],SMALL(IF(ISNUMBER(MATCH(bhpc_data[size1],$EC$13,0)),MATCH(ROW(bhpc_data[sku]),ROW(bhpc_data[sku])),""),ROWS($A$15:A48)+$B$3))),IF($EC$13="",INDEX(bhpc_data[description],SMALL(IF(ISNUMBER(MATCH(bhpc_data[sex],$EC$11,0)),MATCH(ROW(bhpc_data[sku]),ROW(bhpc_data[sku])),""),ROWS($A$15:A48)+$B$3)),INDEX(bhpc_data[description],SMALL(IF(ISNUMBER(MATCH(bhpc_data[sex],$EC$11,0)*MATCH(bhpc_data[size1],$EC$13,0)),MATCH(ROW(bhpc_data[sku]),ROW(bhpc_data[sku])),""),ROWS($A$15:A48)+$B$3)))),IF($EC$11="",IF($EC$13="",INDEX(bhpc_data[description],SMALL(IF(ISNUMBER(MATCH(bhpc_data[category],$EC$9,0)),MATCH(ROW(bhpc_data[sku]),ROW(bhpc_data[sku])),""),ROWS($A$15:A48)+$B$3)),INDEX(bhpc_data[description],SMALL(IF(ISNUMBER(MATCH(bhpc_data[category],$EC$9,0)*MATCH(bhpc_data[size1],$EC$13,0)),MATCH(ROW(bhpc_data[sku]),ROW(bhpc_data[sku])),""),ROWS($A$15:A48)+$B$3))),IF($EC$13="",INDEX(bhpc_data[description],SMALL(IF(ISNUMBER(MATCH(bhpc_data[category],$EC$9,0)*MATCH(bhpc_data[sex],$EC$11,0)),MATCH(ROW(bhpc_data[sku]),ROW(bhpc_data[sku])),""),ROWS($A$15:A48)+$B$3)),INDEX(bhpc_data[description],SMALL(IF(ISNUMBER(MATCH(bhpc_data[category],$EC$9,0)*MATCH(bhpc_data[sex],$EC$11,0)*MATCH(bhpc_data[size1],$EC$13,0)),MATCH(ROW(bhpc_data[sku]),ROW(bhpc_data[sku])),""),ROWS($A$15:A48)+$B$3))))),"")</f>
        <v>BHPC TWINPACK DEO WOMEN #8 #9 150ML</v>
      </c>
      <c r="EG43" s="543">
        <f>IFERROR(IF('BHPC MANAGER'!$EE43="","",INDEX(inventory[ESISTENZA],MATCH('BHPC MANAGER'!$EE43,inventory[ARTICOLO],0))),0)</f>
        <v>0</v>
      </c>
      <c r="EH43" s="544" t="s">
        <v>914</v>
      </c>
      <c r="EI43" s="544">
        <f t="shared" si="3"/>
        <v>0</v>
      </c>
      <c r="EJ43" s="545" t="s">
        <v>914</v>
      </c>
      <c r="EK43" s="546">
        <f t="shared" si="4"/>
        <v>0</v>
      </c>
      <c r="EO43" s="245" t="str">
        <f t="array" ref="EO43">IFERROR(INDEX(orderHistory[order_no],SMALL(IF(ISNUMBER(MATCH(orderHistory[status],$EO$7,0)),MATCH(ROW(orderHistory[order_no]),ROW(orderHistory[order_no])),""),ROWS($A$15:A48))),"")</f>
        <v/>
      </c>
    </row>
    <row r="44" spans="6:228" ht="15" customHeight="1" x14ac:dyDescent="0.35">
      <c r="L44" s="452" t="str">
        <f t="array" ref="L44">IFERROR(IF($D$9="",IF($D$11="",IF($D$13="",IF($D$15="",INDEX(orderHistory[customer],SMALL(MATCH(ROW(orderHistory[customer]),ROW(orderHistory[customer])),ROWS($A$15:A49)+$B$3)),INDEX(orderHistory[customer],SMALL(IF(ISNUMBER(MATCH(YEAR(orderHistory[invoice_date]),$D$15,0)),MATCH(ROW(orderHistory[customer]),ROW(orderHistory[customer])),""),ROWS($A$15:A49)+$B$3))),IF($D$15="",INDEX(orderHistory[customer],SMALL(IF(ISNUMBER(MATCH(orderHistory[order_type],$D$13,0)),MATCH(ROW(orderHistory[customer]),ROW(orderHistory[customer])),""),ROWS($A$15:A49)+$B$3)),INDEX(orderHistory[customer],SMALL(IF(ISNUMBER(MATCH(orderHistory[order_type],$D$13,0)*MATCH(YEAR(orderHistory[invoice_date]),$D$15,0)),MATCH(ROW(orderHistory[customer]),ROW(orderHistory[customer])),""),ROWS($A$15:A49)+$B$3)))),IF($D$13="",IF($D$15="",INDEX(orderHistory[customer],SMALL(IF(ISNUMBER(MATCH(orderHistory[status],$D$11,0)),MATCH(ROW(orderHistory[customer]),ROW(orderHistory[customer])),""),ROWS($A$15:A49)+$B$3)),INDEX(orderHistory[customer],SMALL(IF(ISNUMBER(MATCH(orderHistory[status],$D$11,0)*MATCH(YEAR(orderHistory[invoice_date]),$D$15,0)),MATCH(ROW(orderHistory[customer]),ROW(orderHistory[customer])),""),ROWS($A$15:A49)+$B$3))),IF($D$15="",INDEX(orderHistory[customer],SMALL(IF(ISNUMBER(MATCH(orderHistory[status],$D$11,0)*MATCH(orderHistory[order_type],$D$13,0)),MATCH(ROW(orderHistory[customer]),ROW(orderHistory[customer])),""),ROWS($A$15:A49)+$B$3)),INDEX(orderHistory[customer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customer],SMALL(IF(ISNUMBER(MATCH(orderHistory[customer],$D$9,0)),MATCH(ROW(orderHistory[customer]),ROW(orderHistory[customer])),""),ROWS($A$15:A49)+$B$3)),INDEX(orderHistory[customer],SMALL(IF(ISNUMBER(MATCH(orderHistory[customer],$D$9,0)*MATCH(YEAR(orderHistory[invoice_date]),$D$15,0)),MATCH(ROW(orderHistory[customer]),ROW(orderHistory[customer])),""),ROWS($A$15:A49)+$B$3))),IF($D$15="",INDEX(orderHistory[customer],SMALL(IF(ISNUMBER(MATCH(orderHistory[customer],$D$9,0)*MATCH(orderHistory[order_type],$D$13,0)),MATCH(ROW(orderHistory[customer]),ROW(orderHistory[customer])),""),ROWS($A$15:A49)+$B$3)),INDEX(orderHistory[customer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YEAR(orderHistory[invoice_date]),$D$15,0)),MATCH(ROW(orderHistory[customer]),ROW(orderHistory[customer])),""),ROWS($A$15:A49)+$B$3))),IF($D$15="",INDEX(orderHistory[customer],SMALL(IF(ISNUMBER(MATCH(orderHistory[customer],$D$9,0)*MATCH(orderHistory[status],$D$11,0)*MATCH(orderHistory[order_type],$D$13,0)),MATCH(ROW(orderHistory[customer]),ROW(orderHistory[customer])),""),ROWS($A$15:A49)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M44" s="453" t="str">
        <f t="array" ref="M44">IFERROR(IF($D$9="",IF($D$11="",IF($D$13="",IF($D$15="",INDEX(orderHistory[order_no],SMALL(MATCH(ROW(orderHistory[customer]),ROW(orderHistory[customer])),ROWS($A$15:A49)+$B$3)),INDEX(orderHistory[order_no],SMALL(IF(ISNUMBER(MATCH(YEAR(orderHistory[invoice_date]),$D$15,0)),MATCH(ROW(orderHistory[customer]),ROW(orderHistory[customer])),""),ROWS($A$15:A49)+$B$3))),IF($D$15="",INDEX(orderHistory[order_no],SMALL(IF(ISNUMBER(MATCH(orderHistory[order_type],$D$13,0)),MATCH(ROW(orderHistory[customer]),ROW(orderHistory[customer])),""),ROWS($A$15:A49)+$B$3)),INDEX(orderHistory[order_no],SMALL(IF(ISNUMBER(MATCH(orderHistory[order_type],$D$13,0)*MATCH(YEAR(orderHistory[invoice_date]),$D$15,0)),MATCH(ROW(orderHistory[customer]),ROW(orderHistory[customer])),""),ROWS($A$15:A49)+$B$3)))),IF($D$13="",IF($D$15="",INDEX(orderHistory[order_no],SMALL(IF(ISNUMBER(MATCH(orderHistory[status],$D$11,0)),MATCH(ROW(orderHistory[customer]),ROW(orderHistory[customer])),""),ROWS($A$15:A49)+$B$3)),INDEX(orderHistory[order_no],SMALL(IF(ISNUMBER(MATCH(orderHistory[status],$D$11,0)*MATCH(YEAR(orderHistory[invoice_date]),$D$15,0)),MATCH(ROW(orderHistory[customer]),ROW(orderHistory[customer])),""),ROWS($A$15:A49)+$B$3))),IF($D$15="",INDEX(orderHistory[order_no],SMALL(IF(ISNUMBER(MATCH(orderHistory[status],$D$11,0)*MATCH(orderHistory[order_type],$D$13,0)),MATCH(ROW(orderHistory[customer]),ROW(orderHistory[customer])),""),ROWS($A$15:A49)+$B$3)),INDEX(orderHistory[order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no],SMALL(IF(ISNUMBER(MATCH(orderHistory[customer],$D$9,0)),MATCH(ROW(orderHistory[customer]),ROW(orderHistory[customer])),""),ROWS($A$15:A49)+$B$3)),INDEX(orderHistory[order_no],SMALL(IF(ISNUMBER(MATCH(orderHistory[customer],$D$9,0)*MATCH(YEAR(orderHistory[invoice_date]),$D$15,0)),MATCH(ROW(orderHistory[customer]),ROW(orderHistory[customer])),""),ROWS($A$15:A49)+$B$3))),IF($D$15="",INDEX(orderHistory[order_no],SMALL(IF(ISNUMBER(MATCH(orderHistory[customer],$D$9,0)*MATCH(orderHistory[order_type],$D$13,0)),MATCH(ROW(orderHistory[customer]),ROW(orderHistory[customer])),""),ROWS($A$15:A49)+$B$3)),INDEX(orderHistory[order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YEAR(orderHistory[invoice_date]),$D$15,0)),MATCH(ROW(orderHistory[customer]),ROW(orderHistory[customer])),""),ROWS($A$15:A49)+$B$3))),IF($D$15="",INDEX(orderHistory[order_no],SMALL(IF(ISNUMBER(MATCH(orderHistory[customer],$D$9,0)*MATCH(orderHistory[status],$D$11,0)*MATCH(orderHistory[order_type],$D$13,0)),MATCH(ROW(orderHistory[customer]),ROW(orderHistory[customer])),""),ROWS($A$15:A49)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N44" s="454" t="str">
        <f t="array" ref="N44">IFERROR(IF($D$9="",IF($D$11="",IF($D$13="",IF($D$15="",INDEX(orderHistory[order_type],SMALL(MATCH(ROW(orderHistory[customer]),ROW(orderHistory[customer])),ROWS($A$15:A49)+$B$3)),INDEX(orderHistory[order_type],SMALL(IF(ISNUMBER(MATCH(YEAR(orderHistory[invoice_date]),$D$15,0)),MATCH(ROW(orderHistory[customer]),ROW(orderHistory[customer])),""),ROWS($A$15:A49)+$B$3))),IF($D$15="",INDEX(orderHistory[order_type],SMALL(IF(ISNUMBER(MATCH(orderHistory[order_type],$D$13,0)),MATCH(ROW(orderHistory[customer]),ROW(orderHistory[customer])),""),ROWS($A$15:A49)+$B$3)),INDEX(orderHistory[order_type],SMALL(IF(ISNUMBER(MATCH(orderHistory[order_type],$D$13,0)*MATCH(YEAR(orderHistory[invoice_date]),$D$15,0)),MATCH(ROW(orderHistory[customer]),ROW(orderHistory[customer])),""),ROWS($A$15:A49)+$B$3)))),IF($D$13="",IF($D$15="",INDEX(orderHistory[order_type],SMALL(IF(ISNUMBER(MATCH(orderHistory[status],$D$11,0)),MATCH(ROW(orderHistory[customer]),ROW(orderHistory[customer])),""),ROWS($A$15:A49)+$B$3)),INDEX(orderHistory[order_type],SMALL(IF(ISNUMBER(MATCH(orderHistory[status],$D$11,0)*MATCH(YEAR(orderHistory[invoice_date]),$D$15,0)),MATCH(ROW(orderHistory[customer]),ROW(orderHistory[customer])),""),ROWS($A$15:A49)+$B$3))),IF($D$15="",INDEX(orderHistory[order_type],SMALL(IF(ISNUMBER(MATCH(orderHistory[status],$D$11,0)*MATCH(orderHistory[order_type],$D$13,0)),MATCH(ROW(orderHistory[customer]),ROW(orderHistory[customer])),""),ROWS($A$15:A49)+$B$3)),INDEX(orderHistory[order_typ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type],SMALL(IF(ISNUMBER(MATCH(orderHistory[customer],$D$9,0)),MATCH(ROW(orderHistory[customer]),ROW(orderHistory[customer])),""),ROWS($A$15:A49)+$B$3)),INDEX(orderHistory[order_type],SMALL(IF(ISNUMBER(MATCH(orderHistory[customer],$D$9,0)*MATCH(YEAR(orderHistory[invoice_date]),$D$15,0)),MATCH(ROW(orderHistory[customer]),ROW(orderHistory[customer])),""),ROWS($A$15:A49)+$B$3))),IF($D$15="",INDEX(orderHistory[order_type],SMALL(IF(ISNUMBER(MATCH(orderHistory[customer],$D$9,0)*MATCH(orderHistory[order_type],$D$13,0)),MATCH(ROW(orderHistory[customer]),ROW(orderHistory[customer])),""),ROWS($A$15:A49)+$B$3)),INDEX(orderHistory[order_typ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YEAR(orderHistory[invoice_date]),$D$15,0)),MATCH(ROW(orderHistory[customer]),ROW(orderHistory[customer])),""),ROWS($A$15:A49)+$B$3))),IF($D$15="",INDEX(orderHistory[order_type],SMALL(IF(ISNUMBER(MATCH(orderHistory[customer],$D$9,0)*MATCH(orderHistory[status],$D$11,0)*MATCH(orderHistory[order_type],$D$13,0)),MATCH(ROW(orderHistory[customer]),ROW(orderHistory[customer])),""),ROWS($A$15:A49)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O44" s="455" t="str">
        <f t="array" ref="O44">IFERROR(IF($D$9="",IF($D$11="",IF($D$13="",IF($D$15="",INDEX(orderHistory[order_date],SMALL(MATCH(ROW(orderHistory[customer]),ROW(orderHistory[customer])),ROWS($A$15:A49)+$B$3)),INDEX(orderHistory[order_date],SMALL(IF(ISNUMBER(MATCH(YEAR(orderHistory[invoice_date]),$D$15,0)),MATCH(ROW(orderHistory[customer]),ROW(orderHistory[customer])),""),ROWS($A$15:A49)+$B$3))),IF($D$15="",INDEX(orderHistory[order_date],SMALL(IF(ISNUMBER(MATCH(orderHistory[order_type],$D$13,0)),MATCH(ROW(orderHistory[customer]),ROW(orderHistory[customer])),""),ROWS($A$15:A49)+$B$3)),INDEX(orderHistory[order_date],SMALL(IF(ISNUMBER(MATCH(orderHistory[order_type],$D$13,0)*MATCH(YEAR(orderHistory[invoice_date]),$D$15,0)),MATCH(ROW(orderHistory[customer]),ROW(orderHistory[customer])),""),ROWS($A$15:A49)+$B$3)))),IF($D$13="",IF($D$15="",INDEX(orderHistory[order_date],SMALL(IF(ISNUMBER(MATCH(orderHistory[status],$D$11,0)),MATCH(ROW(orderHistory[customer]),ROW(orderHistory[customer])),""),ROWS($A$15:A49)+$B$3)),INDEX(orderHistory[order_date],SMALL(IF(ISNUMBER(MATCH(orderHistory[status],$D$11,0)*MATCH(YEAR(orderHistory[invoice_date]),$D$15,0)),MATCH(ROW(orderHistory[customer]),ROW(orderHistory[customer])),""),ROWS($A$15:A49)+$B$3))),IF($D$15="",INDEX(orderHistory[order_date],SMALL(IF(ISNUMBER(MATCH(orderHistory[status],$D$11,0)*MATCH(orderHistory[order_type],$D$13,0)),MATCH(ROW(orderHistory[customer]),ROW(orderHistory[customer])),""),ROWS($A$15:A49)+$B$3)),INDEX(orderHistory[order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date],SMALL(IF(ISNUMBER(MATCH(orderHistory[customer],$D$9,0)),MATCH(ROW(orderHistory[customer]),ROW(orderHistory[customer])),""),ROWS($A$15:A49)+$B$3)),INDEX(orderHistory[order_date],SMALL(IF(ISNUMBER(MATCH(orderHistory[customer],$D$9,0)*MATCH(YEAR(orderHistory[invoice_date]),$D$15,0)),MATCH(ROW(orderHistory[customer]),ROW(orderHistory[customer])),""),ROWS($A$15:A49)+$B$3))),IF($D$15="",INDEX(orderHistory[order_date],SMALL(IF(ISNUMBER(MATCH(orderHistory[customer],$D$9,0)*MATCH(orderHistory[order_type],$D$13,0)),MATCH(ROW(orderHistory[customer]),ROW(orderHistory[customer])),""),ROWS($A$15:A49)+$B$3)),INDEX(orderHistory[order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YEAR(orderHistory[invoice_date]),$D$15,0)),MATCH(ROW(orderHistory[customer]),ROW(orderHistory[customer])),""),ROWS($A$15:A49)+$B$3))),IF($D$15="",INDEX(orderHistory[order_date],SMALL(IF(ISNUMBER(MATCH(orderHistory[customer],$D$9,0)*MATCH(orderHistory[status],$D$11,0)*MATCH(orderHistory[order_type],$D$13,0)),MATCH(ROW(orderHistory[customer]),ROW(orderHistory[customer])),""),ROWS($A$15:A49)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P44" s="456" t="str">
        <f t="array" ref="P44">IFERROR(IF($D$9="",IF($D$11="",IF($D$13="",IF($D$15="",INDEX(orderHistory[invoice_no],SMALL(MATCH(ROW(orderHistory[customer]),ROW(orderHistory[customer])),ROWS($A$15:A49)+$B$3)),INDEX(orderHistory[invoice_no],SMALL(IF(ISNUMBER(MATCH(YEAR(orderHistory[invoice_date]),$D$15,0)),MATCH(ROW(orderHistory[customer]),ROW(orderHistory[customer])),""),ROWS($A$15:A49)+$B$3))),IF($D$15="",INDEX(orderHistory[invoice_no],SMALL(IF(ISNUMBER(MATCH(orderHistory[order_type],$D$13,0)),MATCH(ROW(orderHistory[customer]),ROW(orderHistory[customer])),""),ROWS($A$15:A49)+$B$3)),INDEX(orderHistory[invoice_no],SMALL(IF(ISNUMBER(MATCH(orderHistory[order_type],$D$13,0)*MATCH(YEAR(orderHistory[invoice_date]),$D$15,0)),MATCH(ROW(orderHistory[customer]),ROW(orderHistory[customer])),""),ROWS($A$15:A49)+$B$3)))),IF($D$13="",IF($D$15="",INDEX(orderHistory[invoice_no],SMALL(IF(ISNUMBER(MATCH(orderHistory[status],$D$11,0)),MATCH(ROW(orderHistory[customer]),ROW(orderHistory[customer])),""),ROWS($A$15:A49)+$B$3)),INDEX(orderHistory[invoice_no],SMALL(IF(ISNUMBER(MATCH(orderHistory[status],$D$11,0)*MATCH(YEAR(orderHistory[invoice_date]),$D$15,0)),MATCH(ROW(orderHistory[customer]),ROW(orderHistory[customer])),""),ROWS($A$15:A49)+$B$3))),IF($D$15="",INDEX(orderHistory[invoice_no],SMALL(IF(ISNUMBER(MATCH(orderHistory[status],$D$11,0)*MATCH(orderHistory[order_type],$D$13,0)),MATCH(ROW(orderHistory[customer]),ROW(orderHistory[customer])),""),ROWS($A$15:A49)+$B$3)),INDEX(orderHistory[invoice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no],SMALL(IF(ISNUMBER(MATCH(orderHistory[customer],$D$9,0)),MATCH(ROW(orderHistory[customer]),ROW(orderHistory[customer])),""),ROWS($A$15:A49)+$B$3)),INDEX(orderHistory[invoice_no],SMALL(IF(ISNUMBER(MATCH(orderHistory[customer],$D$9,0)*MATCH(YEAR(orderHistory[invoice_date]),$D$15,0)),MATCH(ROW(orderHistory[customer]),ROW(orderHistory[customer])),""),ROWS($A$15:A49)+$B$3))),IF($D$15="",INDEX(orderHistory[invoice_no],SMALL(IF(ISNUMBER(MATCH(orderHistory[customer],$D$9,0)*MATCH(orderHistory[order_type],$D$13,0)),MATCH(ROW(orderHistory[customer]),ROW(orderHistory[customer])),""),ROWS($A$15:A49)+$B$3)),INDEX(orderHistory[invoice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YEAR(orderHistory[invoice_date]),$D$15,0)),MATCH(ROW(orderHistory[customer]),ROW(orderHistory[customer])),""),ROWS($A$15:A49)+$B$3))),IF($D$15="",INDEX(orderHistory[invoice_no],SMALL(IF(ISNUMBER(MATCH(orderHistory[customer],$D$9,0)*MATCH(orderHistory[status],$D$11,0)*MATCH(orderHistory[order_type],$D$13,0)),MATCH(ROW(orderHistory[customer]),ROW(orderHistory[customer])),""),ROWS($A$15:A49)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Q44" s="457" t="str">
        <f t="array" ref="Q44">IFERROR(IF($D$9="",IF($D$11="",IF($D$13="",IF($D$15="",INDEX(orderHistory[invoice_date],SMALL(MATCH(ROW(orderHistory[customer]),ROW(orderHistory[customer])),ROWS($A$15:A49)+$B$3)),INDEX(orderHistory[invoice_date],SMALL(IF(ISNUMBER(MATCH(YEAR(orderHistory[invoice_date]),$D$15,0)),MATCH(ROW(orderHistory[customer]),ROW(orderHistory[customer])),""),ROWS($A$15:A49)+$B$3))),IF($D$15="",INDEX(orderHistory[invoice_date],SMALL(IF(ISNUMBER(MATCH(orderHistory[order_type],$D$13,0)),MATCH(ROW(orderHistory[customer]),ROW(orderHistory[customer])),""),ROWS($A$15:A49)+$B$3)),INDEX(orderHistory[invoice_date],SMALL(IF(ISNUMBER(MATCH(orderHistory[order_type],$D$13,0)*MATCH(YEAR(orderHistory[invoice_date]),$D$15,0)),MATCH(ROW(orderHistory[customer]),ROW(orderHistory[customer])),""),ROWS($A$15:A49)+$B$3)))),IF($D$13="",IF($D$15="",INDEX(orderHistory[invoice_date],SMALL(IF(ISNUMBER(MATCH(orderHistory[status],$D$11,0)),MATCH(ROW(orderHistory[customer]),ROW(orderHistory[customer])),""),ROWS($A$15:A49)+$B$3)),INDEX(orderHistory[invoice_date],SMALL(IF(ISNUMBER(MATCH(orderHistory[status],$D$11,0)*MATCH(YEAR(orderHistory[invoice_date]),$D$15,0)),MATCH(ROW(orderHistory[customer]),ROW(orderHistory[customer])),""),ROWS($A$15:A49)+$B$3))),IF($D$15="",INDEX(orderHistory[invoice_date],SMALL(IF(ISNUMBER(MATCH(orderHistory[status],$D$11,0)*MATCH(orderHistory[order_type],$D$13,0)),MATCH(ROW(orderHistory[customer]),ROW(orderHistory[customer])),""),ROWS($A$15:A49)+$B$3)),INDEX(orderHistory[invoice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date],SMALL(IF(ISNUMBER(MATCH(orderHistory[customer],$D$9,0)),MATCH(ROW(orderHistory[customer]),ROW(orderHistory[customer])),""),ROWS($A$15:A49)+$B$3)),INDEX(orderHistory[invoice_date],SMALL(IF(ISNUMBER(MATCH(orderHistory[customer],$D$9,0)*MATCH(YEAR(orderHistory[invoice_date]),$D$15,0)),MATCH(ROW(orderHistory[customer]),ROW(orderHistory[customer])),""),ROWS($A$15:A49)+$B$3))),IF($D$15="",INDEX(orderHistory[invoice_date],SMALL(IF(ISNUMBER(MATCH(orderHistory[customer],$D$9,0)*MATCH(orderHistory[order_type],$D$13,0)),MATCH(ROW(orderHistory[customer]),ROW(orderHistory[customer])),""),ROWS($A$15:A49)+$B$3)),INDEX(orderHistory[invoice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YEAR(orderHistory[invoice_date]),$D$15,0)),MATCH(ROW(orderHistory[customer]),ROW(orderHistory[customer])),""),ROWS($A$15:A49)+$B$3))),IF($D$15="",INDEX(orderHistory[invoice_date],SMALL(IF(ISNUMBER(MATCH(orderHistory[customer],$D$9,0)*MATCH(orderHistory[status],$D$11,0)*MATCH(orderHistory[order_type],$D$13,0)),MATCH(ROW(orderHistory[customer]),ROW(orderHistory[customer])),""),ROWS($A$15:A49)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R44" s="458" t="str">
        <f t="array" ref="R44">IFERROR(IF($D$9="",IF($D$11="",IF($D$13="",IF($D$15="",INDEX(orderHistory[inv_amount],SMALL(MATCH(ROW(orderHistory[customer]),ROW(orderHistory[customer])),ROWS($A$15:A49)+$B$3)),INDEX(orderHistory[inv_amount],SMALL(IF(ISNUMBER(MATCH(YEAR(orderHistory[invoice_date]),$D$15,0)),MATCH(ROW(orderHistory[customer]),ROW(orderHistory[customer])),""),ROWS($A$15:A49)+$B$3))),IF($D$15="",INDEX(orderHistory[inv_amount],SMALL(IF(ISNUMBER(MATCH(orderHistory[order_type],$D$13,0)),MATCH(ROW(orderHistory[customer]),ROW(orderHistory[customer])),""),ROWS($A$15:A49)+$B$3)),INDEX(orderHistory[inv_amount],SMALL(IF(ISNUMBER(MATCH(orderHistory[order_type],$D$13,0)*MATCH(YEAR(orderHistory[invoice_date]),$D$15,0)),MATCH(ROW(orderHistory[customer]),ROW(orderHistory[customer])),""),ROWS($A$15:A49)+$B$3)))),IF($D$13="",IF($D$15="",INDEX(orderHistory[inv_amount],SMALL(IF(ISNUMBER(MATCH(orderHistory[status],$D$11,0)),MATCH(ROW(orderHistory[customer]),ROW(orderHistory[customer])),""),ROWS($A$15:A49)+$B$3)),INDEX(orderHistory[inv_amount],SMALL(IF(ISNUMBER(MATCH(orderHistory[status],$D$11,0)*MATCH(YEAR(orderHistory[invoice_date]),$D$15,0)),MATCH(ROW(orderHistory[customer]),ROW(orderHistory[customer])),""),ROWS($A$15:A49)+$B$3))),IF($D$15="",INDEX(orderHistory[inv_amount],SMALL(IF(ISNUMBER(MATCH(orderHistory[status],$D$11,0)*MATCH(orderHistory[order_type],$D$13,0)),MATCH(ROW(orderHistory[customer]),ROW(orderHistory[customer])),""),ROWS($A$15:A49)+$B$3)),INDEX(orderHistory[inv_amount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_amount],SMALL(IF(ISNUMBER(MATCH(orderHistory[customer],$D$9,0)),MATCH(ROW(orderHistory[customer]),ROW(orderHistory[customer])),""),ROWS($A$15:A49)+$B$3)),INDEX(orderHistory[inv_amount],SMALL(IF(ISNUMBER(MATCH(orderHistory[customer],$D$9,0)*MATCH(YEAR(orderHistory[invoice_date]),$D$15,0)),MATCH(ROW(orderHistory[customer]),ROW(orderHistory[customer])),""),ROWS($A$15:A49)+$B$3))),IF($D$15="",INDEX(orderHistory[inv_amount],SMALL(IF(ISNUMBER(MATCH(orderHistory[customer],$D$9,0)*MATCH(orderHistory[order_type],$D$13,0)),MATCH(ROW(orderHistory[customer]),ROW(orderHistory[customer])),""),ROWS($A$15:A49)+$B$3)),INDEX(orderHistory[inv_amount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YEAR(orderHistory[inv_amount]),$D$15,0)),MATCH(ROW(orderHistory[customer]),ROW(orderHistory[customer])),""),ROWS($A$15:A49)+$B$3))),IF($D$15="",INDEX(orderHistory[inv_amount],SMALL(IF(ISNUMBER(MATCH(orderHistory[customer],$D$9,0)*MATCH(orderHistory[status],$D$11,0)*MATCH(orderHistory[order_type],$D$13,0)),MATCH(ROW(orderHistory[customer]),ROW(orderHistory[customer])),""),ROWS($A$15:A49)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S44" s="569" t="str">
        <f t="array" ref="S44">IFERROR(IF($D$9="",IF($D$11="",IF($D$13="",IF($D$15="",INDEX(orderHistory[lock_goods],SMALL(MATCH(ROW(orderHistory[customer]),ROW(orderHistory[customer])),ROWS($A$15:A49)+$B$3)),INDEX(orderHistory[lock_goods],SMALL(IF(ISNUMBER(MATCH(YEAR(orderHistory[invoice_date]),$D$15,0)),MATCH(ROW(orderHistory[customer]),ROW(orderHistory[customer])),""),ROWS($A$15:A49)+$B$3))),IF($D$15="",INDEX(orderHistory[lock_goods],SMALL(IF(ISNUMBER(MATCH(orderHistory[order_type],$D$13,0)),MATCH(ROW(orderHistory[customer]),ROW(orderHistory[customer])),""),ROWS($A$15:A49)+$B$3)),INDEX(orderHistory[lock_goods],SMALL(IF(ISNUMBER(MATCH(orderHistory[order_type],$D$13,0)*MATCH(YEAR(orderHistory[invoice_date]),$D$15,0)),MATCH(ROW(orderHistory[customer]),ROW(orderHistory[customer])),""),ROWS($A$15:A49)+$B$3)))),IF($D$13="",IF($D$15="",INDEX(orderHistory[lock_goods],SMALL(IF(ISNUMBER(MATCH(orderHistory[status],$D$11,0)),MATCH(ROW(orderHistory[customer]),ROW(orderHistory[customer])),""),ROWS($A$15:A49)+$B$3)),INDEX(orderHistory[lock_goods],SMALL(IF(ISNUMBER(MATCH(orderHistory[status],$D$11,0)*MATCH(YEAR(orderHistory[invoice_date]),$D$15,0)),MATCH(ROW(orderHistory[customer]),ROW(orderHistory[customer])),""),ROWS($A$15:A49)+$B$3))),IF($D$15="",INDEX(orderHistory[lock_goods],SMALL(IF(ISNUMBER(MATCH(orderHistory[status],$D$11,0)*MATCH(orderHistory[order_type],$D$13,0)),MATCH(ROW(orderHistory[customer]),ROW(orderHistory[customer])),""),ROWS($A$15:A49)+$B$3)),INDEX(orderHistory[lock_good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lock_goods],SMALL(IF(ISNUMBER(MATCH(orderHistory[customer],$D$9,0)),MATCH(ROW(orderHistory[customer]),ROW(orderHistory[customer])),""),ROWS($A$15:A49)+$B$3)),INDEX(orderHistory[lock_goods],SMALL(IF(ISNUMBER(MATCH(orderHistory[customer],$D$9,0)*MATCH(YEAR(orderHistory[invoice_date]),$D$15,0)),MATCH(ROW(orderHistory[customer]),ROW(orderHistory[customer])),""),ROWS($A$15:A49)+$B$3))),IF($D$15="",INDEX(orderHistory[lock_goods],SMALL(IF(ISNUMBER(MATCH(orderHistory[customer],$D$9,0)*MATCH(orderHistory[order_type],$D$13,0)),MATCH(ROW(orderHistory[customer]),ROW(orderHistory[customer])),""),ROWS($A$15:A49)+$B$3)),INDEX(orderHistory[lock_good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lock_goods],SMALL(IF(ISNUMBER(MATCH(orderHistory[customer],$D$9,0)*MATCH(orderHistory[status],$D$11,0)),MATCH(ROW(orderHistory[customer]),ROW(orderHistory[customer])),""),ROWS($A$15:A49)+$B$3)),INDEX(orderHistory[lock_goods],SMALL(IF(ISNUMBER(MATCH(orderHistory[customer],$D$9,0)*MATCH(orderHistory[status],$D$11,0)*MATCH(YEAR(orderHistory[payed]),$D$15,0)),MATCH(ROW(orderHistory[customer]),ROW(orderHistory[customer])),""),ROWS($A$15:A49)+$B$3))),IF($D$15="",INDEX(orderHistory[lock_goods],SMALL(IF(ISNUMBER(MATCH(orderHistory[customer],$D$9,0)*MATCH(orderHistory[status],$D$11,0)*MATCH(orderHistory[order_type],$D$13,0)),MATCH(ROW(orderHistory[customer]),ROW(orderHistory[customer])),""),ROWS($A$15:A49)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T44" s="459" t="str">
        <f t="array" ref="T44">IFERROR(IF($D$9="",IF($D$11="",IF($D$13="",IF($D$15="",INDEX(orderHistory[payed],SMALL(MATCH(ROW(orderHistory[customer]),ROW(orderHistory[customer])),ROWS($A$15:A49)+$B$3)),INDEX(orderHistory[payed],SMALL(IF(ISNUMBER(MATCH(YEAR(orderHistory[invoice_date]),$D$15,0)),MATCH(ROW(orderHistory[customer]),ROW(orderHistory[customer])),""),ROWS($A$15:A49)+$B$3))),IF($D$15="",INDEX(orderHistory[payed],SMALL(IF(ISNUMBER(MATCH(orderHistory[order_type],$D$13,0)),MATCH(ROW(orderHistory[customer]),ROW(orderHistory[customer])),""),ROWS($A$15:A49)+$B$3)),INDEX(orderHistory[payed],SMALL(IF(ISNUMBER(MATCH(orderHistory[order_type],$D$13,0)*MATCH(YEAR(orderHistory[invoice_date]),$D$15,0)),MATCH(ROW(orderHistory[customer]),ROW(orderHistory[customer])),""),ROWS($A$15:A49)+$B$3)))),IF($D$13="",IF($D$15="",INDEX(orderHistory[payed],SMALL(IF(ISNUMBER(MATCH(orderHistory[status],$D$11,0)),MATCH(ROW(orderHistory[customer]),ROW(orderHistory[customer])),""),ROWS($A$15:A49)+$B$3)),INDEX(orderHistory[payed],SMALL(IF(ISNUMBER(MATCH(orderHistory[status],$D$11,0)*MATCH(YEAR(orderHistory[invoice_date]),$D$15,0)),MATCH(ROW(orderHistory[customer]),ROW(orderHistory[customer])),""),ROWS($A$15:A49)+$B$3))),IF($D$15="",INDEX(orderHistory[payed],SMALL(IF(ISNUMBER(MATCH(orderHistory[status],$D$11,0)*MATCH(orderHistory[order_type],$D$13,0)),MATCH(ROW(orderHistory[customer]),ROW(orderHistory[customer])),""),ROWS($A$15:A49)+$B$3)),INDEX(orderHistory[paye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payed],SMALL(IF(ISNUMBER(MATCH(orderHistory[customer],$D$9,0)),MATCH(ROW(orderHistory[customer]),ROW(orderHistory[customer])),""),ROWS($A$15:A49)+$B$3)),INDEX(orderHistory[payed],SMALL(IF(ISNUMBER(MATCH(orderHistory[customer],$D$9,0)*MATCH(YEAR(orderHistory[invoice_date]),$D$15,0)),MATCH(ROW(orderHistory[customer]),ROW(orderHistory[customer])),""),ROWS($A$15:A49)+$B$3))),IF($D$15="",INDEX(orderHistory[payed],SMALL(IF(ISNUMBER(MATCH(orderHistory[customer],$D$9,0)*MATCH(orderHistory[order_type],$D$13,0)),MATCH(ROW(orderHistory[customer]),ROW(orderHistory[customer])),""),ROWS($A$15:A49)+$B$3)),INDEX(orderHistory[paye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YEAR(orderHistory[payed]),$D$15,0)),MATCH(ROW(orderHistory[customer]),ROW(orderHistory[customer])),""),ROWS($A$15:A49)+$B$3))),IF($D$15="",INDEX(orderHistory[payed],SMALL(IF(ISNUMBER(MATCH(orderHistory[customer],$D$9,0)*MATCH(orderHistory[status],$D$11,0)*MATCH(orderHistory[order_type],$D$13,0)),MATCH(ROW(orderHistory[customer]),ROW(orderHistory[customer])),""),ROWS($A$15:A49)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U44" s="454" t="str">
        <f t="array" ref="U44">IFERROR(IF($D$9="",IF($D$11="",IF($D$13="",IF($D$15="",INDEX(orderHistory[shipping_method],SMALL(MATCH(ROW(orderHistory[customer]),ROW(orderHistory[customer])),ROWS($A$15:A49)+$B$3)),INDEX(orderHistory[shipping_method],SMALL(IF(ISNUMBER(MATCH(YEAR(orderHistory[invoice_date]),$D$15,0)),MATCH(ROW(orderHistory[customer]),ROW(orderHistory[customer])),""),ROWS($A$15:A49)+$B$3))),IF($D$15="",INDEX(orderHistory[shipping_method],SMALL(IF(ISNUMBER(MATCH(orderHistory[order_type],$D$13,0)),MATCH(ROW(orderHistory[customer]),ROW(orderHistory[customer])),""),ROWS($A$15:A49)+$B$3)),INDEX(orderHistory[shipping_method],SMALL(IF(ISNUMBER(MATCH(orderHistory[order_type],$D$13,0)*MATCH(YEAR(orderHistory[invoice_date]),$D$15,0)),MATCH(ROW(orderHistory[customer]),ROW(orderHistory[customer])),""),ROWS($A$15:A49)+$B$3)))),IF($D$13="",IF($D$15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YEAR(orderHistory[invoice_date]),$D$15,0)),MATCH(ROW(orderHistory[customer]),ROW(orderHistory[customer])),""),ROWS($A$15:A49)+$B$3))),IF($D$15="",INDEX(orderHistory[shipping_method],SMALL(IF(ISNUMBER(MATCH(orderHistory[status],$D$11,0)*MATCH(orderHistory[order_type],$D$13,0)),MATCH(ROW(orderHistory[customer]),ROW(orderHistory[customer])),""),ROWS($A$15:A49)+$B$3)),INDEX(orderHistory[shipping_metho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YEAR(orderHistory[invoice_date]),$D$15,0)),MATCH(ROW(orderHistory[customer]),ROW(orderHistory[customer])),""),ROWS($A$15:A49)+$B$3))),IF($D$15="",INDEX(orderHistory[shipping_method],SMALL(IF(ISNUMBER(MATCH(orderHistory[customer],$D$9,0)*MATCH(orderHistory[order_type],$D$13,0)),MATCH(ROW(orderHistory[customer]),ROW(orderHistory[customer])),""),ROWS($A$15:A49)+$B$3)),INDEX(orderHistory[shipping_metho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YEAR(orderHistory[shipping_method]),$D$15,0)),MATCH(ROW(orderHistory[customer]),ROW(orderHistory[customer])),""),ROWS($A$15:A49)+$B$3))),IF($D$15="",INDEX(orderHistory[shipping_method],SMALL(IF(ISNUMBER(MATCH(orderHistory[customer],$D$9,0)*MATCH(orderHistory[status],$D$11,0)*MATCH(orderHistory[order_type],$D$13,0)),MATCH(ROW(orderHistory[customer]),ROW(orderHistory[customer])),""),ROWS($A$15:A49)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V44" s="460" t="str">
        <f t="array" ref="V44">IFERROR(IF($D$9="",IF($D$11="",IF($D$13="",IF($D$15="",INDEX(orderHistory[status],SMALL(MATCH(ROW(orderHistory[customer]),ROW(orderHistory[customer])),ROWS($A$15:A49)+$B$3)),INDEX(orderHistory[status],SMALL(IF(ISNUMBER(MATCH(YEAR(orderHistory[invoice_date]),$D$15,0)),MATCH(ROW(orderHistory[customer]),ROW(orderHistory[customer])),""),ROWS($A$15:A49)+$B$3))),IF($D$15="",INDEX(orderHistory[status],SMALL(IF(ISNUMBER(MATCH(orderHistory[order_type],$D$13,0)),MATCH(ROW(orderHistory[customer]),ROW(orderHistory[customer])),""),ROWS($A$15:A49)+$B$3)),INDEX(orderHistory[status],SMALL(IF(ISNUMBER(MATCH(orderHistory[order_type],$D$13,0)*MATCH(YEAR(orderHistory[invoice_date]),$D$15,0)),MATCH(ROW(orderHistory[customer]),ROW(orderHistory[customer])),""),ROWS($A$15:A49)+$B$3)))),IF($D$13="",IF($D$15="",INDEX(orderHistory[status],SMALL(IF(ISNUMBER(MATCH(orderHistory[status],$D$11,0)),MATCH(ROW(orderHistory[customer]),ROW(orderHistory[customer])),""),ROWS($A$15:A49)+$B$3)),INDEX(orderHistory[status],SMALL(IF(ISNUMBER(MATCH(orderHistory[status],$D$11,0)*MATCH(YEAR(orderHistory[invoice_date]),$D$15,0)),MATCH(ROW(orderHistory[customer]),ROW(orderHistory[customer])),""),ROWS($A$15:A49)+$B$3))),IF($D$15="",INDEX(orderHistory[status],SMALL(IF(ISNUMBER(MATCH(orderHistory[status],$D$11,0)*MATCH(orderHistory[order_type],$D$13,0)),MATCH(ROW(orderHistory[customer]),ROW(orderHistory[customer])),""),ROWS($A$15:A49)+$B$3)),INDEX(orderHistory[statu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tatus],SMALL(IF(ISNUMBER(MATCH(orderHistory[customer],$D$9,0)),MATCH(ROW(orderHistory[customer]),ROW(orderHistory[customer])),""),ROWS($A$15:A49)+$B$3)),INDEX(orderHistory[status],SMALL(IF(ISNUMBER(MATCH(orderHistory[customer],$D$9,0)*MATCH(YEAR(orderHistory[invoice_date]),$D$15,0)),MATCH(ROW(orderHistory[customer]),ROW(orderHistory[customer])),""),ROWS($A$15:A49)+$B$3))),IF($D$15="",INDEX(orderHistory[status],SMALL(IF(ISNUMBER(MATCH(orderHistory[customer],$D$9,0)*MATCH(orderHistory[order_type],$D$13,0)),MATCH(ROW(orderHistory[customer]),ROW(orderHistory[customer])),""),ROWS($A$15:A49)+$B$3)),INDEX(orderHistory[statu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YEAR(orderHistory[status]),$D$15,0)),MATCH(ROW(orderHistory[customer]),ROW(orderHistory[customer])),""),ROWS($A$15:A49)+$B$3))),IF($D$15="",INDEX(orderHistory[status],SMALL(IF(ISNUMBER(MATCH(orderHistory[customer],$D$9,0)*MATCH(orderHistory[status],$D$11,0)*MATCH(orderHistory[order_type],$D$13,0)),MATCH(ROW(orderHistory[customer]),ROW(orderHistory[customer])),""),ROWS($A$15:A49)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W44" s="75"/>
      <c r="BK44" s="366"/>
      <c r="BL44" s="367"/>
      <c r="BM44" s="368"/>
      <c r="BN44" s="367"/>
      <c r="BO44" s="368"/>
      <c r="BZ44" s="476"/>
      <c r="CA44" s="477" t="str">
        <f>IF(BZ44="","",INDEX(bhpc_data[description],MATCH(BZ44,bhpc_data[sku],0)))</f>
        <v/>
      </c>
      <c r="CB44" s="480"/>
      <c r="CC44" s="479"/>
      <c r="CD44" s="494"/>
      <c r="CE44" s="481"/>
      <c r="CF44" s="482"/>
      <c r="CG44" s="483" t="str">
        <f>IFERROR(ROUNDUP(CB44/INDEX(bhpc_data[units_per_carton],MATCH(BZ44,bhpc_data[sku],0)),0),"")</f>
        <v/>
      </c>
      <c r="CH44" s="484" t="str">
        <f>IFERROR(ROUNDUP(CD44/INDEX(bhpc_data[units_per_carton],MATCH(BZ44,bhpc_data[sku],0)),0),"")</f>
        <v/>
      </c>
      <c r="CI44" s="484" t="str">
        <f>IFERROR(ROUNDUP(CF44/INDEX(bhpc_data[units_per_carton],MATCH(BZ44,bhpc_data[sku])),0),"")</f>
        <v/>
      </c>
      <c r="CJ44" s="484" t="str">
        <f>IFERROR(((CB44+CD44+CF44)/INDEX(bhpc_data[units_per_carton],MATCH(BZ44,bhpc_data[sku],0)))*INDEX(bhpc_data[net_weight],MATCH(BZ44,bhpc_data[sku],0)),"")</f>
        <v/>
      </c>
      <c r="CK44" s="484" t="str">
        <f>IFERROR(((CB44+CD44+CF44)/INDEX(bhpc_data[units_per_carton],MATCH(BZ44,bhpc_data[sku],0)))*INDEX(bhpc_data[gross_weight],MATCH(BZ44,bhpc_data[sku],0)),"")</f>
        <v/>
      </c>
      <c r="CL44" s="485" t="str">
        <f>IFERROR((CB44+CD44+CF44)/INDEX(bhpc_data[units_per_carton],MATCH(BZ44,bhpc_data[sku],0))*INDEX(bhpc_data[lenght],MATCH(BZ44,bhpc_data[sku],0))*INDEX(bhpc_data[width],MATCH(BZ44,bhpc_data[sku],0))*INDEX(bhpc_data[height],MATCH(BZ44,bhpc_data[sku],0))/1000000000,"")</f>
        <v/>
      </c>
      <c r="CM44" s="486" t="str">
        <f>IFERROR(INDEX(bhpc_data[category],MATCH(BZ44,bhpc_data[sku],0)),"")</f>
        <v/>
      </c>
      <c r="CN44" s="486" t="str">
        <f>IFERROR(INDEX(bhpc_data[size1],MATCH(BZ44,bhpc_data[sku],0)),"")</f>
        <v/>
      </c>
      <c r="CO44" s="487" t="str">
        <f>IFERROR(INDEX(bhpc_data[hs_code],MATCH(BZ44,bhpc_data[sku],0)),"")</f>
        <v/>
      </c>
      <c r="CP44" s="482"/>
      <c r="CQ44" s="488" t="str">
        <f>IFERROR(IF(BZ44="","",IF($BX$15="SALE",INDEX(inventory[COSTO UNITARIO],MATCH(BZ44,inventory[ARTICOLO],0)),IF($BX$15="SAMPLING",INDEX(inventory[COSTO UNITARIO],MATCH(BZ44,inventory[ARTICOLO],0)),""))),"")</f>
        <v/>
      </c>
      <c r="CR44" s="488" t="str">
        <f t="shared" si="5"/>
        <v/>
      </c>
      <c r="CS44" s="489" t="str">
        <f t="shared" si="6"/>
        <v/>
      </c>
      <c r="CT44" s="573" t="str">
        <f t="shared" si="7"/>
        <v/>
      </c>
      <c r="CU44" s="350"/>
      <c r="CV44" s="350"/>
      <c r="CW44" s="350"/>
      <c r="CX44" s="350"/>
      <c r="CY44" s="350"/>
      <c r="CZ44" s="350"/>
      <c r="DA44" s="350" t="str">
        <f>IFERROR(VLOOKUP(BZ44,bhpc_data[],22,FALSE),"")</f>
        <v/>
      </c>
      <c r="DH44" s="245"/>
      <c r="EE44" s="547" t="str" cm="1">
        <f t="array" ref="EE44">IFERROR(IF($EC$9="",IF($EC$11="",IF($EC$13="",INDEX(bhpc_data[sku],SMALL(MATCH(ROW(bhpc_data[sku]),ROW(bhpc_data[sku])),ROWS($A$15:A49)+$B$3)),INDEX(bhpc_data[sku],SMALL(IF(ISNUMBER(MATCH(bhpc_data[size1],$EC$13,0)),MATCH(ROW(bhpc_data[sku]),ROW(bhpc_data[sku])),""),ROWS($A$15:A49)+$B$3))),IF($EC$13="",INDEX(bhpc_data[sku],SMALL(IF(ISNUMBER(MATCH(bhpc_data[sex],$EC$11,0)),MATCH(ROW(bhpc_data[sku]),ROW(bhpc_data[sku])),""),ROWS($A$15:A49)+$B$3)),INDEX(bhpc_data[sku],SMALL(IF(ISNUMBER(MATCH(bhpc_data[sex],$EC$11,0)*MATCH(bhpc_data[size1],$EC$13,0)),MATCH(ROW(bhpc_data[sku]),ROW(bhpc_data[sku])),""),ROWS($A$15:A49)+$B$3)))),IF($EC$11="",IF($EC$13="",INDEX(bhpc_data[sku],SMALL(IF(ISNUMBER(MATCH(bhpc_data[category],$EC$9,0)),MATCH(ROW(bhpc_data[sku]),ROW(bhpc_data[sku])),""),ROWS($A$15:A49)+$B$3)),INDEX(bhpc_data[sku],SMALL(IF(ISNUMBER(MATCH(bhpc_data[category],$EC$9,0)*MATCH(bhpc_data[size1],$EC$13,0)),MATCH(ROW(bhpc_data[sku]),ROW(bhpc_data[sku])),""),ROWS($A$15:A49)+$B$3))),IF($EC$13="",INDEX(bhpc_data[sku],SMALL(IF(ISNUMBER(MATCH(bhpc_data[category],$EC$9,0)*MATCH(bhpc_data[sex],$EC$11,0)),MATCH(ROW(bhpc_data[sku]),ROW(bhpc_data[sku])),""),ROWS($A$15:A49)+$B$3)),INDEX(bhpc_data[sku],SMALL(IF(ISNUMBER(MATCH(bhpc_data[category],$EC$9,0)*MATCH(bhpc_data[sex],$EC$11,0)*MATCH(bhpc_data[size1],$EC$13,0)),MATCH(ROW(bhpc_data[sku]),ROW(bhpc_data[sku])),""),ROWS($A$15:A49)+$B$3))))),"")</f>
        <v>P05000</v>
      </c>
      <c r="EF44" s="548" t="str" cm="1">
        <f t="array" ref="EF44">IFERROR(IF($EC$9="",IF($EC$11="",IF($EC$13="",INDEX(bhpc_data[description],SMALL(MATCH(ROW(bhpc_data[sku]),ROW(bhpc_data[sku])),ROWS($A$15:A49)+$B$3)),INDEX(bhpc_data[description],SMALL(IF(ISNUMBER(MATCH(bhpc_data[size1],$EC$13,0)),MATCH(ROW(bhpc_data[sku]),ROW(bhpc_data[sku])),""),ROWS($A$15:A49)+$B$3))),IF($EC$13="",INDEX(bhpc_data[description],SMALL(IF(ISNUMBER(MATCH(bhpc_data[sex],$EC$11,0)),MATCH(ROW(bhpc_data[sku]),ROW(bhpc_data[sku])),""),ROWS($A$15:A49)+$B$3)),INDEX(bhpc_data[description],SMALL(IF(ISNUMBER(MATCH(bhpc_data[sex],$EC$11,0)*MATCH(bhpc_data[size1],$EC$13,0)),MATCH(ROW(bhpc_data[sku]),ROW(bhpc_data[sku])),""),ROWS($A$15:A49)+$B$3)))),IF($EC$11="",IF($EC$13="",INDEX(bhpc_data[description],SMALL(IF(ISNUMBER(MATCH(bhpc_data[category],$EC$9,0)),MATCH(ROW(bhpc_data[sku]),ROW(bhpc_data[sku])),""),ROWS($A$15:A49)+$B$3)),INDEX(bhpc_data[description],SMALL(IF(ISNUMBER(MATCH(bhpc_data[category],$EC$9,0)*MATCH(bhpc_data[size1],$EC$13,0)),MATCH(ROW(bhpc_data[sku]),ROW(bhpc_data[sku])),""),ROWS($A$15:A49)+$B$3))),IF($EC$13="",INDEX(bhpc_data[description],SMALL(IF(ISNUMBER(MATCH(bhpc_data[category],$EC$9,0)*MATCH(bhpc_data[sex],$EC$11,0)),MATCH(ROW(bhpc_data[sku]),ROW(bhpc_data[sku])),""),ROWS($A$15:A49)+$B$3)),INDEX(bhpc_data[description],SMALL(IF(ISNUMBER(MATCH(bhpc_data[category],$EC$9,0)*MATCH(bhpc_data[sex],$EC$11,0)*MATCH(bhpc_data[size1],$EC$13,0)),MATCH(ROW(bhpc_data[sku]),ROW(bhpc_data[sku])),""),ROWS($A$15:A49)+$B$3))))),"")</f>
        <v>BHPC SPORT MEN 1 DEO 175ML</v>
      </c>
      <c r="EG44" s="549">
        <f>IFERROR(IF('BHPC MANAGER'!$EE44="","",INDEX(inventory[ESISTENZA],MATCH('BHPC MANAGER'!$EE44,inventory[ARTICOLO],0))),0)</f>
        <v>9473</v>
      </c>
      <c r="EH44" s="550">
        <v>-16088</v>
      </c>
      <c r="EI44" s="550">
        <f t="shared" si="3"/>
        <v>-6615</v>
      </c>
      <c r="EJ44" s="551">
        <v>0</v>
      </c>
      <c r="EK44" s="552">
        <f t="shared" si="4"/>
        <v>-6615</v>
      </c>
      <c r="EO44" s="245" t="str">
        <f t="array" ref="EO44">IFERROR(INDEX(orderHistory[order_no],SMALL(IF(ISNUMBER(MATCH(orderHistory[status],$EO$7,0)),MATCH(ROW(orderHistory[order_no]),ROW(orderHistory[order_no])),""),ROWS($A$15:A49))),"")</f>
        <v/>
      </c>
    </row>
    <row r="45" spans="6:228" ht="15" customHeight="1" x14ac:dyDescent="0.35">
      <c r="L45" s="452" t="str">
        <f t="array" ref="L45">IFERROR(IF($D$9="",IF($D$11="",IF($D$13="",IF($D$15="",INDEX(orderHistory[customer],SMALL(MATCH(ROW(orderHistory[customer]),ROW(orderHistory[customer])),ROWS($A$15:A50)+$B$3)),INDEX(orderHistory[customer],SMALL(IF(ISNUMBER(MATCH(YEAR(orderHistory[invoice_date]),$D$15,0)),MATCH(ROW(orderHistory[customer]),ROW(orderHistory[customer])),""),ROWS($A$15:A50)+$B$3))),IF($D$15="",INDEX(orderHistory[customer],SMALL(IF(ISNUMBER(MATCH(orderHistory[order_type],$D$13,0)),MATCH(ROW(orderHistory[customer]),ROW(orderHistory[customer])),""),ROWS($A$15:A50)+$B$3)),INDEX(orderHistory[customer],SMALL(IF(ISNUMBER(MATCH(orderHistory[order_type],$D$13,0)*MATCH(YEAR(orderHistory[invoice_date]),$D$15,0)),MATCH(ROW(orderHistory[customer]),ROW(orderHistory[customer])),""),ROWS($A$15:A50)+$B$3)))),IF($D$13="",IF($D$15="",INDEX(orderHistory[customer],SMALL(IF(ISNUMBER(MATCH(orderHistory[status],$D$11,0)),MATCH(ROW(orderHistory[customer]),ROW(orderHistory[customer])),""),ROWS($A$15:A50)+$B$3)),INDEX(orderHistory[customer],SMALL(IF(ISNUMBER(MATCH(orderHistory[status],$D$11,0)*MATCH(YEAR(orderHistory[invoice_date]),$D$15,0)),MATCH(ROW(orderHistory[customer]),ROW(orderHistory[customer])),""),ROWS($A$15:A50)+$B$3))),IF($D$15="",INDEX(orderHistory[customer],SMALL(IF(ISNUMBER(MATCH(orderHistory[status],$D$11,0)*MATCH(orderHistory[order_type],$D$13,0)),MATCH(ROW(orderHistory[customer]),ROW(orderHistory[customer])),""),ROWS($A$15:A50)+$B$3)),INDEX(orderHistory[customer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customer],SMALL(IF(ISNUMBER(MATCH(orderHistory[customer],$D$9,0)),MATCH(ROW(orderHistory[customer]),ROW(orderHistory[customer])),""),ROWS($A$15:A50)+$B$3)),INDEX(orderHistory[customer],SMALL(IF(ISNUMBER(MATCH(orderHistory[customer],$D$9,0)*MATCH(YEAR(orderHistory[invoice_date]),$D$15,0)),MATCH(ROW(orderHistory[customer]),ROW(orderHistory[customer])),""),ROWS($A$15:A50)+$B$3))),IF($D$15="",INDEX(orderHistory[customer],SMALL(IF(ISNUMBER(MATCH(orderHistory[customer],$D$9,0)*MATCH(orderHistory[order_type],$D$13,0)),MATCH(ROW(orderHistory[customer]),ROW(orderHistory[customer])),""),ROWS($A$15:A50)+$B$3)),INDEX(orderHistory[customer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YEAR(orderHistory[invoice_date]),$D$15,0)),MATCH(ROW(orderHistory[customer]),ROW(orderHistory[customer])),""),ROWS($A$15:A50)+$B$3))),IF($D$15="",INDEX(orderHistory[customer],SMALL(IF(ISNUMBER(MATCH(orderHistory[customer],$D$9,0)*MATCH(orderHistory[status],$D$11,0)*MATCH(orderHistory[order_type],$D$13,0)),MATCH(ROW(orderHistory[customer]),ROW(orderHistory[customer])),""),ROWS($A$15:A50)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M45" s="453" t="str">
        <f t="array" ref="M45">IFERROR(IF($D$9="",IF($D$11="",IF($D$13="",IF($D$15="",INDEX(orderHistory[order_no],SMALL(MATCH(ROW(orderHistory[customer]),ROW(orderHistory[customer])),ROWS($A$15:A50)+$B$3)),INDEX(orderHistory[order_no],SMALL(IF(ISNUMBER(MATCH(YEAR(orderHistory[invoice_date]),$D$15,0)),MATCH(ROW(orderHistory[customer]),ROW(orderHistory[customer])),""),ROWS($A$15:A50)+$B$3))),IF($D$15="",INDEX(orderHistory[order_no],SMALL(IF(ISNUMBER(MATCH(orderHistory[order_type],$D$13,0)),MATCH(ROW(orderHistory[customer]),ROW(orderHistory[customer])),""),ROWS($A$15:A50)+$B$3)),INDEX(orderHistory[order_no],SMALL(IF(ISNUMBER(MATCH(orderHistory[order_type],$D$13,0)*MATCH(YEAR(orderHistory[invoice_date]),$D$15,0)),MATCH(ROW(orderHistory[customer]),ROW(orderHistory[customer])),""),ROWS($A$15:A50)+$B$3)))),IF($D$13="",IF($D$15="",INDEX(orderHistory[order_no],SMALL(IF(ISNUMBER(MATCH(orderHistory[status],$D$11,0)),MATCH(ROW(orderHistory[customer]),ROW(orderHistory[customer])),""),ROWS($A$15:A50)+$B$3)),INDEX(orderHistory[order_no],SMALL(IF(ISNUMBER(MATCH(orderHistory[status],$D$11,0)*MATCH(YEAR(orderHistory[invoice_date]),$D$15,0)),MATCH(ROW(orderHistory[customer]),ROW(orderHistory[customer])),""),ROWS($A$15:A50)+$B$3))),IF($D$15="",INDEX(orderHistory[order_no],SMALL(IF(ISNUMBER(MATCH(orderHistory[status],$D$11,0)*MATCH(orderHistory[order_type],$D$13,0)),MATCH(ROW(orderHistory[customer]),ROW(orderHistory[customer])),""),ROWS($A$15:A50)+$B$3)),INDEX(orderHistory[order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no],SMALL(IF(ISNUMBER(MATCH(orderHistory[customer],$D$9,0)),MATCH(ROW(orderHistory[customer]),ROW(orderHistory[customer])),""),ROWS($A$15:A50)+$B$3)),INDEX(orderHistory[order_no],SMALL(IF(ISNUMBER(MATCH(orderHistory[customer],$D$9,0)*MATCH(YEAR(orderHistory[invoice_date]),$D$15,0)),MATCH(ROW(orderHistory[customer]),ROW(orderHistory[customer])),""),ROWS($A$15:A50)+$B$3))),IF($D$15="",INDEX(orderHistory[order_no],SMALL(IF(ISNUMBER(MATCH(orderHistory[customer],$D$9,0)*MATCH(orderHistory[order_type],$D$13,0)),MATCH(ROW(orderHistory[customer]),ROW(orderHistory[customer])),""),ROWS($A$15:A50)+$B$3)),INDEX(orderHistory[order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YEAR(orderHistory[invoice_date]),$D$15,0)),MATCH(ROW(orderHistory[customer]),ROW(orderHistory[customer])),""),ROWS($A$15:A50)+$B$3))),IF($D$15="",INDEX(orderHistory[order_no],SMALL(IF(ISNUMBER(MATCH(orderHistory[customer],$D$9,0)*MATCH(orderHistory[status],$D$11,0)*MATCH(orderHistory[order_type],$D$13,0)),MATCH(ROW(orderHistory[customer]),ROW(orderHistory[customer])),""),ROWS($A$15:A50)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N45" s="454" t="str">
        <f t="array" ref="N45">IFERROR(IF($D$9="",IF($D$11="",IF($D$13="",IF($D$15="",INDEX(orderHistory[order_type],SMALL(MATCH(ROW(orderHistory[customer]),ROW(orderHistory[customer])),ROWS($A$15:A50)+$B$3)),INDEX(orderHistory[order_type],SMALL(IF(ISNUMBER(MATCH(YEAR(orderHistory[invoice_date]),$D$15,0)),MATCH(ROW(orderHistory[customer]),ROW(orderHistory[customer])),""),ROWS($A$15:A50)+$B$3))),IF($D$15="",INDEX(orderHistory[order_type],SMALL(IF(ISNUMBER(MATCH(orderHistory[order_type],$D$13,0)),MATCH(ROW(orderHistory[customer]),ROW(orderHistory[customer])),""),ROWS($A$15:A50)+$B$3)),INDEX(orderHistory[order_type],SMALL(IF(ISNUMBER(MATCH(orderHistory[order_type],$D$13,0)*MATCH(YEAR(orderHistory[invoice_date]),$D$15,0)),MATCH(ROW(orderHistory[customer]),ROW(orderHistory[customer])),""),ROWS($A$15:A50)+$B$3)))),IF($D$13="",IF($D$15="",INDEX(orderHistory[order_type],SMALL(IF(ISNUMBER(MATCH(orderHistory[status],$D$11,0)),MATCH(ROW(orderHistory[customer]),ROW(orderHistory[customer])),""),ROWS($A$15:A50)+$B$3)),INDEX(orderHistory[order_type],SMALL(IF(ISNUMBER(MATCH(orderHistory[status],$D$11,0)*MATCH(YEAR(orderHistory[invoice_date]),$D$15,0)),MATCH(ROW(orderHistory[customer]),ROW(orderHistory[customer])),""),ROWS($A$15:A50)+$B$3))),IF($D$15="",INDEX(orderHistory[order_type],SMALL(IF(ISNUMBER(MATCH(orderHistory[status],$D$11,0)*MATCH(orderHistory[order_type],$D$13,0)),MATCH(ROW(orderHistory[customer]),ROW(orderHistory[customer])),""),ROWS($A$15:A50)+$B$3)),INDEX(orderHistory[order_typ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type],SMALL(IF(ISNUMBER(MATCH(orderHistory[customer],$D$9,0)),MATCH(ROW(orderHistory[customer]),ROW(orderHistory[customer])),""),ROWS($A$15:A50)+$B$3)),INDEX(orderHistory[order_type],SMALL(IF(ISNUMBER(MATCH(orderHistory[customer],$D$9,0)*MATCH(YEAR(orderHistory[invoice_date]),$D$15,0)),MATCH(ROW(orderHistory[customer]),ROW(orderHistory[customer])),""),ROWS($A$15:A50)+$B$3))),IF($D$15="",INDEX(orderHistory[order_type],SMALL(IF(ISNUMBER(MATCH(orderHistory[customer],$D$9,0)*MATCH(orderHistory[order_type],$D$13,0)),MATCH(ROW(orderHistory[customer]),ROW(orderHistory[customer])),""),ROWS($A$15:A50)+$B$3)),INDEX(orderHistory[order_typ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YEAR(orderHistory[invoice_date]),$D$15,0)),MATCH(ROW(orderHistory[customer]),ROW(orderHistory[customer])),""),ROWS($A$15:A50)+$B$3))),IF($D$15="",INDEX(orderHistory[order_type],SMALL(IF(ISNUMBER(MATCH(orderHistory[customer],$D$9,0)*MATCH(orderHistory[status],$D$11,0)*MATCH(orderHistory[order_type],$D$13,0)),MATCH(ROW(orderHistory[customer]),ROW(orderHistory[customer])),""),ROWS($A$15:A50)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O45" s="455" t="str">
        <f t="array" ref="O45">IFERROR(IF($D$9="",IF($D$11="",IF($D$13="",IF($D$15="",INDEX(orderHistory[order_date],SMALL(MATCH(ROW(orderHistory[customer]),ROW(orderHistory[customer])),ROWS($A$15:A50)+$B$3)),INDEX(orderHistory[order_date],SMALL(IF(ISNUMBER(MATCH(YEAR(orderHistory[invoice_date]),$D$15,0)),MATCH(ROW(orderHistory[customer]),ROW(orderHistory[customer])),""),ROWS($A$15:A50)+$B$3))),IF($D$15="",INDEX(orderHistory[order_date],SMALL(IF(ISNUMBER(MATCH(orderHistory[order_type],$D$13,0)),MATCH(ROW(orderHistory[customer]),ROW(orderHistory[customer])),""),ROWS($A$15:A50)+$B$3)),INDEX(orderHistory[order_date],SMALL(IF(ISNUMBER(MATCH(orderHistory[order_type],$D$13,0)*MATCH(YEAR(orderHistory[invoice_date]),$D$15,0)),MATCH(ROW(orderHistory[customer]),ROW(orderHistory[customer])),""),ROWS($A$15:A50)+$B$3)))),IF($D$13="",IF($D$15="",INDEX(orderHistory[order_date],SMALL(IF(ISNUMBER(MATCH(orderHistory[status],$D$11,0)),MATCH(ROW(orderHistory[customer]),ROW(orderHistory[customer])),""),ROWS($A$15:A50)+$B$3)),INDEX(orderHistory[order_date],SMALL(IF(ISNUMBER(MATCH(orderHistory[status],$D$11,0)*MATCH(YEAR(orderHistory[invoice_date]),$D$15,0)),MATCH(ROW(orderHistory[customer]),ROW(orderHistory[customer])),""),ROWS($A$15:A50)+$B$3))),IF($D$15="",INDEX(orderHistory[order_date],SMALL(IF(ISNUMBER(MATCH(orderHistory[status],$D$11,0)*MATCH(orderHistory[order_type],$D$13,0)),MATCH(ROW(orderHistory[customer]),ROW(orderHistory[customer])),""),ROWS($A$15:A50)+$B$3)),INDEX(orderHistory[order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date],SMALL(IF(ISNUMBER(MATCH(orderHistory[customer],$D$9,0)),MATCH(ROW(orderHistory[customer]),ROW(orderHistory[customer])),""),ROWS($A$15:A50)+$B$3)),INDEX(orderHistory[order_date],SMALL(IF(ISNUMBER(MATCH(orderHistory[customer],$D$9,0)*MATCH(YEAR(orderHistory[invoice_date]),$D$15,0)),MATCH(ROW(orderHistory[customer]),ROW(orderHistory[customer])),""),ROWS($A$15:A50)+$B$3))),IF($D$15="",INDEX(orderHistory[order_date],SMALL(IF(ISNUMBER(MATCH(orderHistory[customer],$D$9,0)*MATCH(orderHistory[order_type],$D$13,0)),MATCH(ROW(orderHistory[customer]),ROW(orderHistory[customer])),""),ROWS($A$15:A50)+$B$3)),INDEX(orderHistory[order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YEAR(orderHistory[invoice_date]),$D$15,0)),MATCH(ROW(orderHistory[customer]),ROW(orderHistory[customer])),""),ROWS($A$15:A50)+$B$3))),IF($D$15="",INDEX(orderHistory[order_date],SMALL(IF(ISNUMBER(MATCH(orderHistory[customer],$D$9,0)*MATCH(orderHistory[status],$D$11,0)*MATCH(orderHistory[order_type],$D$13,0)),MATCH(ROW(orderHistory[customer]),ROW(orderHistory[customer])),""),ROWS($A$15:A50)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P45" s="456" t="str">
        <f t="array" ref="P45">IFERROR(IF($D$9="",IF($D$11="",IF($D$13="",IF($D$15="",INDEX(orderHistory[invoice_no],SMALL(MATCH(ROW(orderHistory[customer]),ROW(orderHistory[customer])),ROWS($A$15:A50)+$B$3)),INDEX(orderHistory[invoice_no],SMALL(IF(ISNUMBER(MATCH(YEAR(orderHistory[invoice_date]),$D$15,0)),MATCH(ROW(orderHistory[customer]),ROW(orderHistory[customer])),""),ROWS($A$15:A50)+$B$3))),IF($D$15="",INDEX(orderHistory[invoice_no],SMALL(IF(ISNUMBER(MATCH(orderHistory[order_type],$D$13,0)),MATCH(ROW(orderHistory[customer]),ROW(orderHistory[customer])),""),ROWS($A$15:A50)+$B$3)),INDEX(orderHistory[invoice_no],SMALL(IF(ISNUMBER(MATCH(orderHistory[order_type],$D$13,0)*MATCH(YEAR(orderHistory[invoice_date]),$D$15,0)),MATCH(ROW(orderHistory[customer]),ROW(orderHistory[customer])),""),ROWS($A$15:A50)+$B$3)))),IF($D$13="",IF($D$15="",INDEX(orderHistory[invoice_no],SMALL(IF(ISNUMBER(MATCH(orderHistory[status],$D$11,0)),MATCH(ROW(orderHistory[customer]),ROW(orderHistory[customer])),""),ROWS($A$15:A50)+$B$3)),INDEX(orderHistory[invoice_no],SMALL(IF(ISNUMBER(MATCH(orderHistory[status],$D$11,0)*MATCH(YEAR(orderHistory[invoice_date]),$D$15,0)),MATCH(ROW(orderHistory[customer]),ROW(orderHistory[customer])),""),ROWS($A$15:A50)+$B$3))),IF($D$15="",INDEX(orderHistory[invoice_no],SMALL(IF(ISNUMBER(MATCH(orderHistory[status],$D$11,0)*MATCH(orderHistory[order_type],$D$13,0)),MATCH(ROW(orderHistory[customer]),ROW(orderHistory[customer])),""),ROWS($A$15:A50)+$B$3)),INDEX(orderHistory[invoice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no],SMALL(IF(ISNUMBER(MATCH(orderHistory[customer],$D$9,0)),MATCH(ROW(orderHistory[customer]),ROW(orderHistory[customer])),""),ROWS($A$15:A50)+$B$3)),INDEX(orderHistory[invoice_no],SMALL(IF(ISNUMBER(MATCH(orderHistory[customer],$D$9,0)*MATCH(YEAR(orderHistory[invoice_date]),$D$15,0)),MATCH(ROW(orderHistory[customer]),ROW(orderHistory[customer])),""),ROWS($A$15:A50)+$B$3))),IF($D$15="",INDEX(orderHistory[invoice_no],SMALL(IF(ISNUMBER(MATCH(orderHistory[customer],$D$9,0)*MATCH(orderHistory[order_type],$D$13,0)),MATCH(ROW(orderHistory[customer]),ROW(orderHistory[customer])),""),ROWS($A$15:A50)+$B$3)),INDEX(orderHistory[invoice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YEAR(orderHistory[invoice_date]),$D$15,0)),MATCH(ROW(orderHistory[customer]),ROW(orderHistory[customer])),""),ROWS($A$15:A50)+$B$3))),IF($D$15="",INDEX(orderHistory[invoice_no],SMALL(IF(ISNUMBER(MATCH(orderHistory[customer],$D$9,0)*MATCH(orderHistory[status],$D$11,0)*MATCH(orderHistory[order_type],$D$13,0)),MATCH(ROW(orderHistory[customer]),ROW(orderHistory[customer])),""),ROWS($A$15:A50)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Q45" s="457" t="str">
        <f t="array" ref="Q45">IFERROR(IF($D$9="",IF($D$11="",IF($D$13="",IF($D$15="",INDEX(orderHistory[invoice_date],SMALL(MATCH(ROW(orderHistory[customer]),ROW(orderHistory[customer])),ROWS($A$15:A50)+$B$3)),INDEX(orderHistory[invoice_date],SMALL(IF(ISNUMBER(MATCH(YEAR(orderHistory[invoice_date]),$D$15,0)),MATCH(ROW(orderHistory[customer]),ROW(orderHistory[customer])),""),ROWS($A$15:A50)+$B$3))),IF($D$15="",INDEX(orderHistory[invoice_date],SMALL(IF(ISNUMBER(MATCH(orderHistory[order_type],$D$13,0)),MATCH(ROW(orderHistory[customer]),ROW(orderHistory[customer])),""),ROWS($A$15:A50)+$B$3)),INDEX(orderHistory[invoice_date],SMALL(IF(ISNUMBER(MATCH(orderHistory[order_type],$D$13,0)*MATCH(YEAR(orderHistory[invoice_date]),$D$15,0)),MATCH(ROW(orderHistory[customer]),ROW(orderHistory[customer])),""),ROWS($A$15:A50)+$B$3)))),IF($D$13="",IF($D$15="",INDEX(orderHistory[invoice_date],SMALL(IF(ISNUMBER(MATCH(orderHistory[status],$D$11,0)),MATCH(ROW(orderHistory[customer]),ROW(orderHistory[customer])),""),ROWS($A$15:A50)+$B$3)),INDEX(orderHistory[invoice_date],SMALL(IF(ISNUMBER(MATCH(orderHistory[status],$D$11,0)*MATCH(YEAR(orderHistory[invoice_date]),$D$15,0)),MATCH(ROW(orderHistory[customer]),ROW(orderHistory[customer])),""),ROWS($A$15:A50)+$B$3))),IF($D$15="",INDEX(orderHistory[invoice_date],SMALL(IF(ISNUMBER(MATCH(orderHistory[status],$D$11,0)*MATCH(orderHistory[order_type],$D$13,0)),MATCH(ROW(orderHistory[customer]),ROW(orderHistory[customer])),""),ROWS($A$15:A50)+$B$3)),INDEX(orderHistory[invoice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date],SMALL(IF(ISNUMBER(MATCH(orderHistory[customer],$D$9,0)),MATCH(ROW(orderHistory[customer]),ROW(orderHistory[customer])),""),ROWS($A$15:A50)+$B$3)),INDEX(orderHistory[invoice_date],SMALL(IF(ISNUMBER(MATCH(orderHistory[customer],$D$9,0)*MATCH(YEAR(orderHistory[invoice_date]),$D$15,0)),MATCH(ROW(orderHistory[customer]),ROW(orderHistory[customer])),""),ROWS($A$15:A50)+$B$3))),IF($D$15="",INDEX(orderHistory[invoice_date],SMALL(IF(ISNUMBER(MATCH(orderHistory[customer],$D$9,0)*MATCH(orderHistory[order_type],$D$13,0)),MATCH(ROW(orderHistory[customer]),ROW(orderHistory[customer])),""),ROWS($A$15:A50)+$B$3)),INDEX(orderHistory[invoice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YEAR(orderHistory[invoice_date]),$D$15,0)),MATCH(ROW(orderHistory[customer]),ROW(orderHistory[customer])),""),ROWS($A$15:A50)+$B$3))),IF($D$15="",INDEX(orderHistory[invoice_date],SMALL(IF(ISNUMBER(MATCH(orderHistory[customer],$D$9,0)*MATCH(orderHistory[status],$D$11,0)*MATCH(orderHistory[order_type],$D$13,0)),MATCH(ROW(orderHistory[customer]),ROW(orderHistory[customer])),""),ROWS($A$15:A50)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R45" s="458" t="str">
        <f t="array" ref="R45">IFERROR(IF($D$9="",IF($D$11="",IF($D$13="",IF($D$15="",INDEX(orderHistory[inv_amount],SMALL(MATCH(ROW(orderHistory[customer]),ROW(orderHistory[customer])),ROWS($A$15:A50)+$B$3)),INDEX(orderHistory[inv_amount],SMALL(IF(ISNUMBER(MATCH(YEAR(orderHistory[invoice_date]),$D$15,0)),MATCH(ROW(orderHistory[customer]),ROW(orderHistory[customer])),""),ROWS($A$15:A50)+$B$3))),IF($D$15="",INDEX(orderHistory[inv_amount],SMALL(IF(ISNUMBER(MATCH(orderHistory[order_type],$D$13,0)),MATCH(ROW(orderHistory[customer]),ROW(orderHistory[customer])),""),ROWS($A$15:A50)+$B$3)),INDEX(orderHistory[inv_amount],SMALL(IF(ISNUMBER(MATCH(orderHistory[order_type],$D$13,0)*MATCH(YEAR(orderHistory[invoice_date]),$D$15,0)),MATCH(ROW(orderHistory[customer]),ROW(orderHistory[customer])),""),ROWS($A$15:A50)+$B$3)))),IF($D$13="",IF($D$15="",INDEX(orderHistory[inv_amount],SMALL(IF(ISNUMBER(MATCH(orderHistory[status],$D$11,0)),MATCH(ROW(orderHistory[customer]),ROW(orderHistory[customer])),""),ROWS($A$15:A50)+$B$3)),INDEX(orderHistory[inv_amount],SMALL(IF(ISNUMBER(MATCH(orderHistory[status],$D$11,0)*MATCH(YEAR(orderHistory[invoice_date]),$D$15,0)),MATCH(ROW(orderHistory[customer]),ROW(orderHistory[customer])),""),ROWS($A$15:A50)+$B$3))),IF($D$15="",INDEX(orderHistory[inv_amount],SMALL(IF(ISNUMBER(MATCH(orderHistory[status],$D$11,0)*MATCH(orderHistory[order_type],$D$13,0)),MATCH(ROW(orderHistory[customer]),ROW(orderHistory[customer])),""),ROWS($A$15:A50)+$B$3)),INDEX(orderHistory[inv_amount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_amount],SMALL(IF(ISNUMBER(MATCH(orderHistory[customer],$D$9,0)),MATCH(ROW(orderHistory[customer]),ROW(orderHistory[customer])),""),ROWS($A$15:A50)+$B$3)),INDEX(orderHistory[inv_amount],SMALL(IF(ISNUMBER(MATCH(orderHistory[customer],$D$9,0)*MATCH(YEAR(orderHistory[invoice_date]),$D$15,0)),MATCH(ROW(orderHistory[customer]),ROW(orderHistory[customer])),""),ROWS($A$15:A50)+$B$3))),IF($D$15="",INDEX(orderHistory[inv_amount],SMALL(IF(ISNUMBER(MATCH(orderHistory[customer],$D$9,0)*MATCH(orderHistory[order_type],$D$13,0)),MATCH(ROW(orderHistory[customer]),ROW(orderHistory[customer])),""),ROWS($A$15:A50)+$B$3)),INDEX(orderHistory[inv_amount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YEAR(orderHistory[inv_amount]),$D$15,0)),MATCH(ROW(orderHistory[customer]),ROW(orderHistory[customer])),""),ROWS($A$15:A50)+$B$3))),IF($D$15="",INDEX(orderHistory[inv_amount],SMALL(IF(ISNUMBER(MATCH(orderHistory[customer],$D$9,0)*MATCH(orderHistory[status],$D$11,0)*MATCH(orderHistory[order_type],$D$13,0)),MATCH(ROW(orderHistory[customer]),ROW(orderHistory[customer])),""),ROWS($A$15:A50)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S45" s="569" t="str">
        <f t="array" ref="S45">IFERROR(IF($D$9="",IF($D$11="",IF($D$13="",IF($D$15="",INDEX(orderHistory[lock_goods],SMALL(MATCH(ROW(orderHistory[customer]),ROW(orderHistory[customer])),ROWS($A$15:A50)+$B$3)),INDEX(orderHistory[lock_goods],SMALL(IF(ISNUMBER(MATCH(YEAR(orderHistory[invoice_date]),$D$15,0)),MATCH(ROW(orderHistory[customer]),ROW(orderHistory[customer])),""),ROWS($A$15:A50)+$B$3))),IF($D$15="",INDEX(orderHistory[lock_goods],SMALL(IF(ISNUMBER(MATCH(orderHistory[order_type],$D$13,0)),MATCH(ROW(orderHistory[customer]),ROW(orderHistory[customer])),""),ROWS($A$15:A50)+$B$3)),INDEX(orderHistory[lock_goods],SMALL(IF(ISNUMBER(MATCH(orderHistory[order_type],$D$13,0)*MATCH(YEAR(orderHistory[invoice_date]),$D$15,0)),MATCH(ROW(orderHistory[customer]),ROW(orderHistory[customer])),""),ROWS($A$15:A50)+$B$3)))),IF($D$13="",IF($D$15="",INDEX(orderHistory[lock_goods],SMALL(IF(ISNUMBER(MATCH(orderHistory[status],$D$11,0)),MATCH(ROW(orderHistory[customer]),ROW(orderHistory[customer])),""),ROWS($A$15:A50)+$B$3)),INDEX(orderHistory[lock_goods],SMALL(IF(ISNUMBER(MATCH(orderHistory[status],$D$11,0)*MATCH(YEAR(orderHistory[invoice_date]),$D$15,0)),MATCH(ROW(orderHistory[customer]),ROW(orderHistory[customer])),""),ROWS($A$15:A50)+$B$3))),IF($D$15="",INDEX(orderHistory[lock_goods],SMALL(IF(ISNUMBER(MATCH(orderHistory[status],$D$11,0)*MATCH(orderHistory[order_type],$D$13,0)),MATCH(ROW(orderHistory[customer]),ROW(orderHistory[customer])),""),ROWS($A$15:A50)+$B$3)),INDEX(orderHistory[lock_good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lock_goods],SMALL(IF(ISNUMBER(MATCH(orderHistory[customer],$D$9,0)),MATCH(ROW(orderHistory[customer]),ROW(orderHistory[customer])),""),ROWS($A$15:A50)+$B$3)),INDEX(orderHistory[lock_goods],SMALL(IF(ISNUMBER(MATCH(orderHistory[customer],$D$9,0)*MATCH(YEAR(orderHistory[invoice_date]),$D$15,0)),MATCH(ROW(orderHistory[customer]),ROW(orderHistory[customer])),""),ROWS($A$15:A50)+$B$3))),IF($D$15="",INDEX(orderHistory[lock_goods],SMALL(IF(ISNUMBER(MATCH(orderHistory[customer],$D$9,0)*MATCH(orderHistory[order_type],$D$13,0)),MATCH(ROW(orderHistory[customer]),ROW(orderHistory[customer])),""),ROWS($A$15:A50)+$B$3)),INDEX(orderHistory[lock_good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lock_goods],SMALL(IF(ISNUMBER(MATCH(orderHistory[customer],$D$9,0)*MATCH(orderHistory[status],$D$11,0)),MATCH(ROW(orderHistory[customer]),ROW(orderHistory[customer])),""),ROWS($A$15:A50)+$B$3)),INDEX(orderHistory[lock_goods],SMALL(IF(ISNUMBER(MATCH(orderHistory[customer],$D$9,0)*MATCH(orderHistory[status],$D$11,0)*MATCH(YEAR(orderHistory[payed]),$D$15,0)),MATCH(ROW(orderHistory[customer]),ROW(orderHistory[customer])),""),ROWS($A$15:A50)+$B$3))),IF($D$15="",INDEX(orderHistory[lock_goods],SMALL(IF(ISNUMBER(MATCH(orderHistory[customer],$D$9,0)*MATCH(orderHistory[status],$D$11,0)*MATCH(orderHistory[order_type],$D$13,0)),MATCH(ROW(orderHistory[customer]),ROW(orderHistory[customer])),""),ROWS($A$15:A50)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T45" s="459" t="str">
        <f t="array" ref="T45">IFERROR(IF($D$9="",IF($D$11="",IF($D$13="",IF($D$15="",INDEX(orderHistory[payed],SMALL(MATCH(ROW(orderHistory[customer]),ROW(orderHistory[customer])),ROWS($A$15:A50)+$B$3)),INDEX(orderHistory[payed],SMALL(IF(ISNUMBER(MATCH(YEAR(orderHistory[invoice_date]),$D$15,0)),MATCH(ROW(orderHistory[customer]),ROW(orderHistory[customer])),""),ROWS($A$15:A50)+$B$3))),IF($D$15="",INDEX(orderHistory[payed],SMALL(IF(ISNUMBER(MATCH(orderHistory[order_type],$D$13,0)),MATCH(ROW(orderHistory[customer]),ROW(orderHistory[customer])),""),ROWS($A$15:A50)+$B$3)),INDEX(orderHistory[payed],SMALL(IF(ISNUMBER(MATCH(orderHistory[order_type],$D$13,0)*MATCH(YEAR(orderHistory[invoice_date]),$D$15,0)),MATCH(ROW(orderHistory[customer]),ROW(orderHistory[customer])),""),ROWS($A$15:A50)+$B$3)))),IF($D$13="",IF($D$15="",INDEX(orderHistory[payed],SMALL(IF(ISNUMBER(MATCH(orderHistory[status],$D$11,0)),MATCH(ROW(orderHistory[customer]),ROW(orderHistory[customer])),""),ROWS($A$15:A50)+$B$3)),INDEX(orderHistory[payed],SMALL(IF(ISNUMBER(MATCH(orderHistory[status],$D$11,0)*MATCH(YEAR(orderHistory[invoice_date]),$D$15,0)),MATCH(ROW(orderHistory[customer]),ROW(orderHistory[customer])),""),ROWS($A$15:A50)+$B$3))),IF($D$15="",INDEX(orderHistory[payed],SMALL(IF(ISNUMBER(MATCH(orderHistory[status],$D$11,0)*MATCH(orderHistory[order_type],$D$13,0)),MATCH(ROW(orderHistory[customer]),ROW(orderHistory[customer])),""),ROWS($A$15:A50)+$B$3)),INDEX(orderHistory[paye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payed],SMALL(IF(ISNUMBER(MATCH(orderHistory[customer],$D$9,0)),MATCH(ROW(orderHistory[customer]),ROW(orderHistory[customer])),""),ROWS($A$15:A50)+$B$3)),INDEX(orderHistory[payed],SMALL(IF(ISNUMBER(MATCH(orderHistory[customer],$D$9,0)*MATCH(YEAR(orderHistory[invoice_date]),$D$15,0)),MATCH(ROW(orderHistory[customer]),ROW(orderHistory[customer])),""),ROWS($A$15:A50)+$B$3))),IF($D$15="",INDEX(orderHistory[payed],SMALL(IF(ISNUMBER(MATCH(orderHistory[customer],$D$9,0)*MATCH(orderHistory[order_type],$D$13,0)),MATCH(ROW(orderHistory[customer]),ROW(orderHistory[customer])),""),ROWS($A$15:A50)+$B$3)),INDEX(orderHistory[paye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YEAR(orderHistory[payed]),$D$15,0)),MATCH(ROW(orderHistory[customer]),ROW(orderHistory[customer])),""),ROWS($A$15:A50)+$B$3))),IF($D$15="",INDEX(orderHistory[payed],SMALL(IF(ISNUMBER(MATCH(orderHistory[customer],$D$9,0)*MATCH(orderHistory[status],$D$11,0)*MATCH(orderHistory[order_type],$D$13,0)),MATCH(ROW(orderHistory[customer]),ROW(orderHistory[customer])),""),ROWS($A$15:A50)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U45" s="454" t="str">
        <f t="array" ref="U45">IFERROR(IF($D$9="",IF($D$11="",IF($D$13="",IF($D$15="",INDEX(orderHistory[shipping_method],SMALL(MATCH(ROW(orderHistory[customer]),ROW(orderHistory[customer])),ROWS($A$15:A50)+$B$3)),INDEX(orderHistory[shipping_method],SMALL(IF(ISNUMBER(MATCH(YEAR(orderHistory[invoice_date]),$D$15,0)),MATCH(ROW(orderHistory[customer]),ROW(orderHistory[customer])),""),ROWS($A$15:A50)+$B$3))),IF($D$15="",INDEX(orderHistory[shipping_method],SMALL(IF(ISNUMBER(MATCH(orderHistory[order_type],$D$13,0)),MATCH(ROW(orderHistory[customer]),ROW(orderHistory[customer])),""),ROWS($A$15:A50)+$B$3)),INDEX(orderHistory[shipping_method],SMALL(IF(ISNUMBER(MATCH(orderHistory[order_type],$D$13,0)*MATCH(YEAR(orderHistory[invoice_date]),$D$15,0)),MATCH(ROW(orderHistory[customer]),ROW(orderHistory[customer])),""),ROWS($A$15:A50)+$B$3)))),IF($D$13="",IF($D$15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YEAR(orderHistory[invoice_date]),$D$15,0)),MATCH(ROW(orderHistory[customer]),ROW(orderHistory[customer])),""),ROWS($A$15:A50)+$B$3))),IF($D$15="",INDEX(orderHistory[shipping_method],SMALL(IF(ISNUMBER(MATCH(orderHistory[status],$D$11,0)*MATCH(orderHistory[order_type],$D$13,0)),MATCH(ROW(orderHistory[customer]),ROW(orderHistory[customer])),""),ROWS($A$15:A50)+$B$3)),INDEX(orderHistory[shipping_metho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YEAR(orderHistory[invoice_date]),$D$15,0)),MATCH(ROW(orderHistory[customer]),ROW(orderHistory[customer])),""),ROWS($A$15:A50)+$B$3))),IF($D$15="",INDEX(orderHistory[shipping_method],SMALL(IF(ISNUMBER(MATCH(orderHistory[customer],$D$9,0)*MATCH(orderHistory[order_type],$D$13,0)),MATCH(ROW(orderHistory[customer]),ROW(orderHistory[customer])),""),ROWS($A$15:A50)+$B$3)),INDEX(orderHistory[shipping_metho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YEAR(orderHistory[shipping_method]),$D$15,0)),MATCH(ROW(orderHistory[customer]),ROW(orderHistory[customer])),""),ROWS($A$15:A50)+$B$3))),IF($D$15="",INDEX(orderHistory[shipping_method],SMALL(IF(ISNUMBER(MATCH(orderHistory[customer],$D$9,0)*MATCH(orderHistory[status],$D$11,0)*MATCH(orderHistory[order_type],$D$13,0)),MATCH(ROW(orderHistory[customer]),ROW(orderHistory[customer])),""),ROWS($A$15:A50)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V45" s="460" t="str">
        <f t="array" ref="V45">IFERROR(IF($D$9="",IF($D$11="",IF($D$13="",IF($D$15="",INDEX(orderHistory[status],SMALL(MATCH(ROW(orderHistory[customer]),ROW(orderHistory[customer])),ROWS($A$15:A50)+$B$3)),INDEX(orderHistory[status],SMALL(IF(ISNUMBER(MATCH(YEAR(orderHistory[invoice_date]),$D$15,0)),MATCH(ROW(orderHistory[customer]),ROW(orderHistory[customer])),""),ROWS($A$15:A50)+$B$3))),IF($D$15="",INDEX(orderHistory[status],SMALL(IF(ISNUMBER(MATCH(orderHistory[order_type],$D$13,0)),MATCH(ROW(orderHistory[customer]),ROW(orderHistory[customer])),""),ROWS($A$15:A50)+$B$3)),INDEX(orderHistory[status],SMALL(IF(ISNUMBER(MATCH(orderHistory[order_type],$D$13,0)*MATCH(YEAR(orderHistory[invoice_date]),$D$15,0)),MATCH(ROW(orderHistory[customer]),ROW(orderHistory[customer])),""),ROWS($A$15:A50)+$B$3)))),IF($D$13="",IF($D$15="",INDEX(orderHistory[status],SMALL(IF(ISNUMBER(MATCH(orderHistory[status],$D$11,0)),MATCH(ROW(orderHistory[customer]),ROW(orderHistory[customer])),""),ROWS($A$15:A50)+$B$3)),INDEX(orderHistory[status],SMALL(IF(ISNUMBER(MATCH(orderHistory[status],$D$11,0)*MATCH(YEAR(orderHistory[invoice_date]),$D$15,0)),MATCH(ROW(orderHistory[customer]),ROW(orderHistory[customer])),""),ROWS($A$15:A50)+$B$3))),IF($D$15="",INDEX(orderHistory[status],SMALL(IF(ISNUMBER(MATCH(orderHistory[status],$D$11,0)*MATCH(orderHistory[order_type],$D$13,0)),MATCH(ROW(orderHistory[customer]),ROW(orderHistory[customer])),""),ROWS($A$15:A50)+$B$3)),INDEX(orderHistory[statu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tatus],SMALL(IF(ISNUMBER(MATCH(orderHistory[customer],$D$9,0)),MATCH(ROW(orderHistory[customer]),ROW(orderHistory[customer])),""),ROWS($A$15:A50)+$B$3)),INDEX(orderHistory[status],SMALL(IF(ISNUMBER(MATCH(orderHistory[customer],$D$9,0)*MATCH(YEAR(orderHistory[invoice_date]),$D$15,0)),MATCH(ROW(orderHistory[customer]),ROW(orderHistory[customer])),""),ROWS($A$15:A50)+$B$3))),IF($D$15="",INDEX(orderHistory[status],SMALL(IF(ISNUMBER(MATCH(orderHistory[customer],$D$9,0)*MATCH(orderHistory[order_type],$D$13,0)),MATCH(ROW(orderHistory[customer]),ROW(orderHistory[customer])),""),ROWS($A$15:A50)+$B$3)),INDEX(orderHistory[statu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YEAR(orderHistory[status]),$D$15,0)),MATCH(ROW(orderHistory[customer]),ROW(orderHistory[customer])),""),ROWS($A$15:A50)+$B$3))),IF($D$15="",INDEX(orderHistory[status],SMALL(IF(ISNUMBER(MATCH(orderHistory[customer],$D$9,0)*MATCH(orderHistory[status],$D$11,0)*MATCH(orderHistory[order_type],$D$13,0)),MATCH(ROW(orderHistory[customer]),ROW(orderHistory[customer])),""),ROWS($A$15:A50)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W45" s="75"/>
      <c r="BK45" s="366"/>
      <c r="BL45" s="367"/>
      <c r="BM45" s="368"/>
      <c r="BN45" s="367"/>
      <c r="BO45" s="368"/>
      <c r="BZ45" s="476"/>
      <c r="CA45" s="477" t="str">
        <f>IF(BZ45="","",INDEX(bhpc_data[description],MATCH(BZ45,bhpc_data[sku],0)))</f>
        <v/>
      </c>
      <c r="CB45" s="480"/>
      <c r="CC45" s="479"/>
      <c r="CD45" s="494"/>
      <c r="CE45" s="481"/>
      <c r="CF45" s="482"/>
      <c r="CG45" s="483" t="str">
        <f>IFERROR(ROUNDUP(CB45/INDEX(bhpc_data[units_per_carton],MATCH(BZ45,bhpc_data[sku],0)),0),"")</f>
        <v/>
      </c>
      <c r="CH45" s="484" t="str">
        <f>IFERROR(ROUNDUP(CD45/INDEX(bhpc_data[units_per_carton],MATCH(BZ45,bhpc_data[sku],0)),0),"")</f>
        <v/>
      </c>
      <c r="CI45" s="484" t="str">
        <f>IFERROR(ROUNDUP(CF45/INDEX(bhpc_data[units_per_carton],MATCH(BZ45,bhpc_data[sku])),0),"")</f>
        <v/>
      </c>
      <c r="CJ45" s="484" t="str">
        <f>IFERROR(((CB45+CD45+CF45)/INDEX(bhpc_data[units_per_carton],MATCH(BZ45,bhpc_data[sku],0)))*INDEX(bhpc_data[net_weight],MATCH(BZ45,bhpc_data[sku],0)),"")</f>
        <v/>
      </c>
      <c r="CK45" s="484" t="str">
        <f>IFERROR(((CB45+CD45+CF45)/INDEX(bhpc_data[units_per_carton],MATCH(BZ45,bhpc_data[sku],0)))*INDEX(bhpc_data[gross_weight],MATCH(BZ45,bhpc_data[sku],0)),"")</f>
        <v/>
      </c>
      <c r="CL45" s="485" t="str">
        <f>IFERROR((CB45+CD45+CF45)/INDEX(bhpc_data[units_per_carton],MATCH(BZ45,bhpc_data[sku],0))*INDEX(bhpc_data[lenght],MATCH(BZ45,bhpc_data[sku],0))*INDEX(bhpc_data[width],MATCH(BZ45,bhpc_data[sku],0))*INDEX(bhpc_data[height],MATCH(BZ45,bhpc_data[sku],0))/1000000000,"")</f>
        <v/>
      </c>
      <c r="CM45" s="486" t="str">
        <f>IFERROR(INDEX(bhpc_data[category],MATCH(BZ45,bhpc_data[sku],0)),"")</f>
        <v/>
      </c>
      <c r="CN45" s="486" t="str">
        <f>IFERROR(INDEX(bhpc_data[size1],MATCH(BZ45,bhpc_data[sku],0)),"")</f>
        <v/>
      </c>
      <c r="CO45" s="487" t="str">
        <f>IFERROR(INDEX(bhpc_data[hs_code],MATCH(BZ45,bhpc_data[sku],0)),"")</f>
        <v/>
      </c>
      <c r="CP45" s="482"/>
      <c r="CQ45" s="488" t="str">
        <f>IFERROR(IF(BZ45="","",IF($BX$15="SALE",INDEX(inventory[COSTO UNITARIO],MATCH(BZ45,inventory[ARTICOLO],0)),IF($BX$15="SAMPLING",INDEX(inventory[COSTO UNITARIO],MATCH(BZ45,inventory[ARTICOLO],0)),""))),"")</f>
        <v/>
      </c>
      <c r="CR45" s="488" t="str">
        <f t="shared" si="5"/>
        <v/>
      </c>
      <c r="CS45" s="489" t="str">
        <f t="shared" si="6"/>
        <v/>
      </c>
      <c r="CT45" s="573" t="str">
        <f t="shared" si="7"/>
        <v/>
      </c>
      <c r="CU45" s="350"/>
      <c r="CV45" s="350"/>
      <c r="CW45" s="350"/>
      <c r="CX45" s="350"/>
      <c r="CY45" s="350"/>
      <c r="CZ45" s="350"/>
      <c r="DA45" s="350" t="str">
        <f>IFERROR(VLOOKUP(BZ45,bhpc_data[],22,FALSE),"")</f>
        <v/>
      </c>
      <c r="DH45" s="245"/>
      <c r="EE45" s="541" t="str" cm="1">
        <f t="array" ref="EE45">IFERROR(IF($EC$9="",IF($EC$11="",IF($EC$13="",INDEX(bhpc_data[sku],SMALL(MATCH(ROW(bhpc_data[sku]),ROW(bhpc_data[sku])),ROWS($A$15:A50)+$B$3)),INDEX(bhpc_data[sku],SMALL(IF(ISNUMBER(MATCH(bhpc_data[size1],$EC$13,0)),MATCH(ROW(bhpc_data[sku]),ROW(bhpc_data[sku])),""),ROWS($A$15:A50)+$B$3))),IF($EC$13="",INDEX(bhpc_data[sku],SMALL(IF(ISNUMBER(MATCH(bhpc_data[sex],$EC$11,0)),MATCH(ROW(bhpc_data[sku]),ROW(bhpc_data[sku])),""),ROWS($A$15:A50)+$B$3)),INDEX(bhpc_data[sku],SMALL(IF(ISNUMBER(MATCH(bhpc_data[sex],$EC$11,0)*MATCH(bhpc_data[size1],$EC$13,0)),MATCH(ROW(bhpc_data[sku]),ROW(bhpc_data[sku])),""),ROWS($A$15:A50)+$B$3)))),IF($EC$11="",IF($EC$13="",INDEX(bhpc_data[sku],SMALL(IF(ISNUMBER(MATCH(bhpc_data[category],$EC$9,0)),MATCH(ROW(bhpc_data[sku]),ROW(bhpc_data[sku])),""),ROWS($A$15:A50)+$B$3)),INDEX(bhpc_data[sku],SMALL(IF(ISNUMBER(MATCH(bhpc_data[category],$EC$9,0)*MATCH(bhpc_data[size1],$EC$13,0)),MATCH(ROW(bhpc_data[sku]),ROW(bhpc_data[sku])),""),ROWS($A$15:A50)+$B$3))),IF($EC$13="",INDEX(bhpc_data[sku],SMALL(IF(ISNUMBER(MATCH(bhpc_data[category],$EC$9,0)*MATCH(bhpc_data[sex],$EC$11,0)),MATCH(ROW(bhpc_data[sku]),ROW(bhpc_data[sku])),""),ROWS($A$15:A50)+$B$3)),INDEX(bhpc_data[sku],SMALL(IF(ISNUMBER(MATCH(bhpc_data[category],$EC$9,0)*MATCH(bhpc_data[sex],$EC$11,0)*MATCH(bhpc_data[size1],$EC$13,0)),MATCH(ROW(bhpc_data[sku]),ROW(bhpc_data[sku])),""),ROWS($A$15:A50)+$B$3))))),"")</f>
        <v>P05001</v>
      </c>
      <c r="EF45" s="542" t="str" cm="1">
        <f t="array" ref="EF45">IFERROR(IF($EC$9="",IF($EC$11="",IF($EC$13="",INDEX(bhpc_data[description],SMALL(MATCH(ROW(bhpc_data[sku]),ROW(bhpc_data[sku])),ROWS($A$15:A50)+$B$3)),INDEX(bhpc_data[description],SMALL(IF(ISNUMBER(MATCH(bhpc_data[size1],$EC$13,0)),MATCH(ROW(bhpc_data[sku]),ROW(bhpc_data[sku])),""),ROWS($A$15:A50)+$B$3))),IF($EC$13="",INDEX(bhpc_data[description],SMALL(IF(ISNUMBER(MATCH(bhpc_data[sex],$EC$11,0)),MATCH(ROW(bhpc_data[sku]),ROW(bhpc_data[sku])),""),ROWS($A$15:A50)+$B$3)),INDEX(bhpc_data[description],SMALL(IF(ISNUMBER(MATCH(bhpc_data[sex],$EC$11,0)*MATCH(bhpc_data[size1],$EC$13,0)),MATCH(ROW(bhpc_data[sku]),ROW(bhpc_data[sku])),""),ROWS($A$15:A50)+$B$3)))),IF($EC$11="",IF($EC$13="",INDEX(bhpc_data[description],SMALL(IF(ISNUMBER(MATCH(bhpc_data[category],$EC$9,0)),MATCH(ROW(bhpc_data[sku]),ROW(bhpc_data[sku])),""),ROWS($A$15:A50)+$B$3)),INDEX(bhpc_data[description],SMALL(IF(ISNUMBER(MATCH(bhpc_data[category],$EC$9,0)*MATCH(bhpc_data[size1],$EC$13,0)),MATCH(ROW(bhpc_data[sku]),ROW(bhpc_data[sku])),""),ROWS($A$15:A50)+$B$3))),IF($EC$13="",INDEX(bhpc_data[description],SMALL(IF(ISNUMBER(MATCH(bhpc_data[category],$EC$9,0)*MATCH(bhpc_data[sex],$EC$11,0)),MATCH(ROW(bhpc_data[sku]),ROW(bhpc_data[sku])),""),ROWS($A$15:A50)+$B$3)),INDEX(bhpc_data[description],SMALL(IF(ISNUMBER(MATCH(bhpc_data[category],$EC$9,0)*MATCH(bhpc_data[sex],$EC$11,0)*MATCH(bhpc_data[size1],$EC$13,0)),MATCH(ROW(bhpc_data[sku]),ROW(bhpc_data[sku])),""),ROWS($A$15:A50)+$B$3))))),"")</f>
        <v>BHPC SPORT MEN 9 DEO 175ML</v>
      </c>
      <c r="EG45" s="543">
        <f>IFERROR(IF('BHPC MANAGER'!$EE45="","",INDEX(inventory[ESISTENZA],MATCH('BHPC MANAGER'!$EE45,inventory[ARTICOLO],0))),0)</f>
        <v>9874</v>
      </c>
      <c r="EH45" s="544">
        <v>-6728</v>
      </c>
      <c r="EI45" s="544">
        <f t="shared" si="3"/>
        <v>3146</v>
      </c>
      <c r="EJ45" s="545">
        <v>0</v>
      </c>
      <c r="EK45" s="546">
        <f t="shared" si="4"/>
        <v>3146</v>
      </c>
      <c r="EO45" s="245" t="str">
        <f t="array" ref="EO45">IFERROR(INDEX(orderHistory[order_no],SMALL(IF(ISNUMBER(MATCH(orderHistory[status],$EO$7,0)),MATCH(ROW(orderHistory[order_no]),ROW(orderHistory[order_no])),""),ROWS($A$15:A50))),"")</f>
        <v/>
      </c>
    </row>
    <row r="46" spans="6:228" ht="15" customHeight="1" x14ac:dyDescent="0.35">
      <c r="L46" s="452" t="str">
        <f t="array" ref="L46">IFERROR(IF($D$9="",IF($D$11="",IF($D$13="",IF($D$15="",INDEX(orderHistory[customer],SMALL(MATCH(ROW(orderHistory[customer]),ROW(orderHistory[customer])),ROWS($A$15:A51)+$B$3)),INDEX(orderHistory[customer],SMALL(IF(ISNUMBER(MATCH(YEAR(orderHistory[invoice_date]),$D$15,0)),MATCH(ROW(orderHistory[customer]),ROW(orderHistory[customer])),""),ROWS($A$15:A51)+$B$3))),IF($D$15="",INDEX(orderHistory[customer],SMALL(IF(ISNUMBER(MATCH(orderHistory[order_type],$D$13,0)),MATCH(ROW(orderHistory[customer]),ROW(orderHistory[customer])),""),ROWS($A$15:A51)+$B$3)),INDEX(orderHistory[customer],SMALL(IF(ISNUMBER(MATCH(orderHistory[order_type],$D$13,0)*MATCH(YEAR(orderHistory[invoice_date]),$D$15,0)),MATCH(ROW(orderHistory[customer]),ROW(orderHistory[customer])),""),ROWS($A$15:A51)+$B$3)))),IF($D$13="",IF($D$15="",INDEX(orderHistory[customer],SMALL(IF(ISNUMBER(MATCH(orderHistory[status],$D$11,0)),MATCH(ROW(orderHistory[customer]),ROW(orderHistory[customer])),""),ROWS($A$15:A51)+$B$3)),INDEX(orderHistory[customer],SMALL(IF(ISNUMBER(MATCH(orderHistory[status],$D$11,0)*MATCH(YEAR(orderHistory[invoice_date]),$D$15,0)),MATCH(ROW(orderHistory[customer]),ROW(orderHistory[customer])),""),ROWS($A$15:A51)+$B$3))),IF($D$15="",INDEX(orderHistory[customer],SMALL(IF(ISNUMBER(MATCH(orderHistory[status],$D$11,0)*MATCH(orderHistory[order_type],$D$13,0)),MATCH(ROW(orderHistory[customer]),ROW(orderHistory[customer])),""),ROWS($A$15:A51)+$B$3)),INDEX(orderHistory[customer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customer],SMALL(IF(ISNUMBER(MATCH(orderHistory[customer],$D$9,0)),MATCH(ROW(orderHistory[customer]),ROW(orderHistory[customer])),""),ROWS($A$15:A51)+$B$3)),INDEX(orderHistory[customer],SMALL(IF(ISNUMBER(MATCH(orderHistory[customer],$D$9,0)*MATCH(YEAR(orderHistory[invoice_date]),$D$15,0)),MATCH(ROW(orderHistory[customer]),ROW(orderHistory[customer])),""),ROWS($A$15:A51)+$B$3))),IF($D$15="",INDEX(orderHistory[customer],SMALL(IF(ISNUMBER(MATCH(orderHistory[customer],$D$9,0)*MATCH(orderHistory[order_type],$D$13,0)),MATCH(ROW(orderHistory[customer]),ROW(orderHistory[customer])),""),ROWS($A$15:A51)+$B$3)),INDEX(orderHistory[customer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YEAR(orderHistory[invoice_date]),$D$15,0)),MATCH(ROW(orderHistory[customer]),ROW(orderHistory[customer])),""),ROWS($A$15:A51)+$B$3))),IF($D$15="",INDEX(orderHistory[customer],SMALL(IF(ISNUMBER(MATCH(orderHistory[customer],$D$9,0)*MATCH(orderHistory[status],$D$11,0)*MATCH(orderHistory[order_type],$D$13,0)),MATCH(ROW(orderHistory[customer]),ROW(orderHistory[customer])),""),ROWS($A$15:A51)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M46" s="453" t="str">
        <f t="array" ref="M46">IFERROR(IF($D$9="",IF($D$11="",IF($D$13="",IF($D$15="",INDEX(orderHistory[order_no],SMALL(MATCH(ROW(orderHistory[customer]),ROW(orderHistory[customer])),ROWS($A$15:A51)+$B$3)),INDEX(orderHistory[order_no],SMALL(IF(ISNUMBER(MATCH(YEAR(orderHistory[invoice_date]),$D$15,0)),MATCH(ROW(orderHistory[customer]),ROW(orderHistory[customer])),""),ROWS($A$15:A51)+$B$3))),IF($D$15="",INDEX(orderHistory[order_no],SMALL(IF(ISNUMBER(MATCH(orderHistory[order_type],$D$13,0)),MATCH(ROW(orderHistory[customer]),ROW(orderHistory[customer])),""),ROWS($A$15:A51)+$B$3)),INDEX(orderHistory[order_no],SMALL(IF(ISNUMBER(MATCH(orderHistory[order_type],$D$13,0)*MATCH(YEAR(orderHistory[invoice_date]),$D$15,0)),MATCH(ROW(orderHistory[customer]),ROW(orderHistory[customer])),""),ROWS($A$15:A51)+$B$3)))),IF($D$13="",IF($D$15="",INDEX(orderHistory[order_no],SMALL(IF(ISNUMBER(MATCH(orderHistory[status],$D$11,0)),MATCH(ROW(orderHistory[customer]),ROW(orderHistory[customer])),""),ROWS($A$15:A51)+$B$3)),INDEX(orderHistory[order_no],SMALL(IF(ISNUMBER(MATCH(orderHistory[status],$D$11,0)*MATCH(YEAR(orderHistory[invoice_date]),$D$15,0)),MATCH(ROW(orderHistory[customer]),ROW(orderHistory[customer])),""),ROWS($A$15:A51)+$B$3))),IF($D$15="",INDEX(orderHistory[order_no],SMALL(IF(ISNUMBER(MATCH(orderHistory[status],$D$11,0)*MATCH(orderHistory[order_type],$D$13,0)),MATCH(ROW(orderHistory[customer]),ROW(orderHistory[customer])),""),ROWS($A$15:A51)+$B$3)),INDEX(orderHistory[order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no],SMALL(IF(ISNUMBER(MATCH(orderHistory[customer],$D$9,0)),MATCH(ROW(orderHistory[customer]),ROW(orderHistory[customer])),""),ROWS($A$15:A51)+$B$3)),INDEX(orderHistory[order_no],SMALL(IF(ISNUMBER(MATCH(orderHistory[customer],$D$9,0)*MATCH(YEAR(orderHistory[invoice_date]),$D$15,0)),MATCH(ROW(orderHistory[customer]),ROW(orderHistory[customer])),""),ROWS($A$15:A51)+$B$3))),IF($D$15="",INDEX(orderHistory[order_no],SMALL(IF(ISNUMBER(MATCH(orderHistory[customer],$D$9,0)*MATCH(orderHistory[order_type],$D$13,0)),MATCH(ROW(orderHistory[customer]),ROW(orderHistory[customer])),""),ROWS($A$15:A51)+$B$3)),INDEX(orderHistory[order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YEAR(orderHistory[invoice_date]),$D$15,0)),MATCH(ROW(orderHistory[customer]),ROW(orderHistory[customer])),""),ROWS($A$15:A51)+$B$3))),IF($D$15="",INDEX(orderHistory[order_no],SMALL(IF(ISNUMBER(MATCH(orderHistory[customer],$D$9,0)*MATCH(orderHistory[status],$D$11,0)*MATCH(orderHistory[order_type],$D$13,0)),MATCH(ROW(orderHistory[customer]),ROW(orderHistory[customer])),""),ROWS($A$15:A51)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N46" s="454" t="str">
        <f t="array" ref="N46">IFERROR(IF($D$9="",IF($D$11="",IF($D$13="",IF($D$15="",INDEX(orderHistory[order_type],SMALL(MATCH(ROW(orderHistory[customer]),ROW(orderHistory[customer])),ROWS($A$15:A51)+$B$3)),INDEX(orderHistory[order_type],SMALL(IF(ISNUMBER(MATCH(YEAR(orderHistory[invoice_date]),$D$15,0)),MATCH(ROW(orderHistory[customer]),ROW(orderHistory[customer])),""),ROWS($A$15:A51)+$B$3))),IF($D$15="",INDEX(orderHistory[order_type],SMALL(IF(ISNUMBER(MATCH(orderHistory[order_type],$D$13,0)),MATCH(ROW(orderHistory[customer]),ROW(orderHistory[customer])),""),ROWS($A$15:A51)+$B$3)),INDEX(orderHistory[order_type],SMALL(IF(ISNUMBER(MATCH(orderHistory[order_type],$D$13,0)*MATCH(YEAR(orderHistory[invoice_date]),$D$15,0)),MATCH(ROW(orderHistory[customer]),ROW(orderHistory[customer])),""),ROWS($A$15:A51)+$B$3)))),IF($D$13="",IF($D$15="",INDEX(orderHistory[order_type],SMALL(IF(ISNUMBER(MATCH(orderHistory[status],$D$11,0)),MATCH(ROW(orderHistory[customer]),ROW(orderHistory[customer])),""),ROWS($A$15:A51)+$B$3)),INDEX(orderHistory[order_type],SMALL(IF(ISNUMBER(MATCH(orderHistory[status],$D$11,0)*MATCH(YEAR(orderHistory[invoice_date]),$D$15,0)),MATCH(ROW(orderHistory[customer]),ROW(orderHistory[customer])),""),ROWS($A$15:A51)+$B$3))),IF($D$15="",INDEX(orderHistory[order_type],SMALL(IF(ISNUMBER(MATCH(orderHistory[status],$D$11,0)*MATCH(orderHistory[order_type],$D$13,0)),MATCH(ROW(orderHistory[customer]),ROW(orderHistory[customer])),""),ROWS($A$15:A51)+$B$3)),INDEX(orderHistory[order_typ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type],SMALL(IF(ISNUMBER(MATCH(orderHistory[customer],$D$9,0)),MATCH(ROW(orderHistory[customer]),ROW(orderHistory[customer])),""),ROWS($A$15:A51)+$B$3)),INDEX(orderHistory[order_type],SMALL(IF(ISNUMBER(MATCH(orderHistory[customer],$D$9,0)*MATCH(YEAR(orderHistory[invoice_date]),$D$15,0)),MATCH(ROW(orderHistory[customer]),ROW(orderHistory[customer])),""),ROWS($A$15:A51)+$B$3))),IF($D$15="",INDEX(orderHistory[order_type],SMALL(IF(ISNUMBER(MATCH(orderHistory[customer],$D$9,0)*MATCH(orderHistory[order_type],$D$13,0)),MATCH(ROW(orderHistory[customer]),ROW(orderHistory[customer])),""),ROWS($A$15:A51)+$B$3)),INDEX(orderHistory[order_typ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YEAR(orderHistory[invoice_date]),$D$15,0)),MATCH(ROW(orderHistory[customer]),ROW(orderHistory[customer])),""),ROWS($A$15:A51)+$B$3))),IF($D$15="",INDEX(orderHistory[order_type],SMALL(IF(ISNUMBER(MATCH(orderHistory[customer],$D$9,0)*MATCH(orderHistory[status],$D$11,0)*MATCH(orderHistory[order_type],$D$13,0)),MATCH(ROW(orderHistory[customer]),ROW(orderHistory[customer])),""),ROWS($A$15:A51)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O46" s="455" t="str">
        <f t="array" ref="O46">IFERROR(IF($D$9="",IF($D$11="",IF($D$13="",IF($D$15="",INDEX(orderHistory[order_date],SMALL(MATCH(ROW(orderHistory[customer]),ROW(orderHistory[customer])),ROWS($A$15:A51)+$B$3)),INDEX(orderHistory[order_date],SMALL(IF(ISNUMBER(MATCH(YEAR(orderHistory[invoice_date]),$D$15,0)),MATCH(ROW(orderHistory[customer]),ROW(orderHistory[customer])),""),ROWS($A$15:A51)+$B$3))),IF($D$15="",INDEX(orderHistory[order_date],SMALL(IF(ISNUMBER(MATCH(orderHistory[order_type],$D$13,0)),MATCH(ROW(orderHistory[customer]),ROW(orderHistory[customer])),""),ROWS($A$15:A51)+$B$3)),INDEX(orderHistory[order_date],SMALL(IF(ISNUMBER(MATCH(orderHistory[order_type],$D$13,0)*MATCH(YEAR(orderHistory[invoice_date]),$D$15,0)),MATCH(ROW(orderHistory[customer]),ROW(orderHistory[customer])),""),ROWS($A$15:A51)+$B$3)))),IF($D$13="",IF($D$15="",INDEX(orderHistory[order_date],SMALL(IF(ISNUMBER(MATCH(orderHistory[status],$D$11,0)),MATCH(ROW(orderHistory[customer]),ROW(orderHistory[customer])),""),ROWS($A$15:A51)+$B$3)),INDEX(orderHistory[order_date],SMALL(IF(ISNUMBER(MATCH(orderHistory[status],$D$11,0)*MATCH(YEAR(orderHistory[invoice_date]),$D$15,0)),MATCH(ROW(orderHistory[customer]),ROW(orderHistory[customer])),""),ROWS($A$15:A51)+$B$3))),IF($D$15="",INDEX(orderHistory[order_date],SMALL(IF(ISNUMBER(MATCH(orderHistory[status],$D$11,0)*MATCH(orderHistory[order_type],$D$13,0)),MATCH(ROW(orderHistory[customer]),ROW(orderHistory[customer])),""),ROWS($A$15:A51)+$B$3)),INDEX(orderHistory[order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date],SMALL(IF(ISNUMBER(MATCH(orderHistory[customer],$D$9,0)),MATCH(ROW(orderHistory[customer]),ROW(orderHistory[customer])),""),ROWS($A$15:A51)+$B$3)),INDEX(orderHistory[order_date],SMALL(IF(ISNUMBER(MATCH(orderHistory[customer],$D$9,0)*MATCH(YEAR(orderHistory[invoice_date]),$D$15,0)),MATCH(ROW(orderHistory[customer]),ROW(orderHistory[customer])),""),ROWS($A$15:A51)+$B$3))),IF($D$15="",INDEX(orderHistory[order_date],SMALL(IF(ISNUMBER(MATCH(orderHistory[customer],$D$9,0)*MATCH(orderHistory[order_type],$D$13,0)),MATCH(ROW(orderHistory[customer]),ROW(orderHistory[customer])),""),ROWS($A$15:A51)+$B$3)),INDEX(orderHistory[order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YEAR(orderHistory[invoice_date]),$D$15,0)),MATCH(ROW(orderHistory[customer]),ROW(orderHistory[customer])),""),ROWS($A$15:A51)+$B$3))),IF($D$15="",INDEX(orderHistory[order_date],SMALL(IF(ISNUMBER(MATCH(orderHistory[customer],$D$9,0)*MATCH(orderHistory[status],$D$11,0)*MATCH(orderHistory[order_type],$D$13,0)),MATCH(ROW(orderHistory[customer]),ROW(orderHistory[customer])),""),ROWS($A$15:A51)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P46" s="456" t="str">
        <f t="array" ref="P46">IFERROR(IF($D$9="",IF($D$11="",IF($D$13="",IF($D$15="",INDEX(orderHistory[invoice_no],SMALL(MATCH(ROW(orderHistory[customer]),ROW(orderHistory[customer])),ROWS($A$15:A51)+$B$3)),INDEX(orderHistory[invoice_no],SMALL(IF(ISNUMBER(MATCH(YEAR(orderHistory[invoice_date]),$D$15,0)),MATCH(ROW(orderHistory[customer]),ROW(orderHistory[customer])),""),ROWS($A$15:A51)+$B$3))),IF($D$15="",INDEX(orderHistory[invoice_no],SMALL(IF(ISNUMBER(MATCH(orderHistory[order_type],$D$13,0)),MATCH(ROW(orderHistory[customer]),ROW(orderHistory[customer])),""),ROWS($A$15:A51)+$B$3)),INDEX(orderHistory[invoice_no],SMALL(IF(ISNUMBER(MATCH(orderHistory[order_type],$D$13,0)*MATCH(YEAR(orderHistory[invoice_date]),$D$15,0)),MATCH(ROW(orderHistory[customer]),ROW(orderHistory[customer])),""),ROWS($A$15:A51)+$B$3)))),IF($D$13="",IF($D$15="",INDEX(orderHistory[invoice_no],SMALL(IF(ISNUMBER(MATCH(orderHistory[status],$D$11,0)),MATCH(ROW(orderHistory[customer]),ROW(orderHistory[customer])),""),ROWS($A$15:A51)+$B$3)),INDEX(orderHistory[invoice_no],SMALL(IF(ISNUMBER(MATCH(orderHistory[status],$D$11,0)*MATCH(YEAR(orderHistory[invoice_date]),$D$15,0)),MATCH(ROW(orderHistory[customer]),ROW(orderHistory[customer])),""),ROWS($A$15:A51)+$B$3))),IF($D$15="",INDEX(orderHistory[invoice_no],SMALL(IF(ISNUMBER(MATCH(orderHistory[status],$D$11,0)*MATCH(orderHistory[order_type],$D$13,0)),MATCH(ROW(orderHistory[customer]),ROW(orderHistory[customer])),""),ROWS($A$15:A51)+$B$3)),INDEX(orderHistory[invoice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no],SMALL(IF(ISNUMBER(MATCH(orderHistory[customer],$D$9,0)),MATCH(ROW(orderHistory[customer]),ROW(orderHistory[customer])),""),ROWS($A$15:A51)+$B$3)),INDEX(orderHistory[invoice_no],SMALL(IF(ISNUMBER(MATCH(orderHistory[customer],$D$9,0)*MATCH(YEAR(orderHistory[invoice_date]),$D$15,0)),MATCH(ROW(orderHistory[customer]),ROW(orderHistory[customer])),""),ROWS($A$15:A51)+$B$3))),IF($D$15="",INDEX(orderHistory[invoice_no],SMALL(IF(ISNUMBER(MATCH(orderHistory[customer],$D$9,0)*MATCH(orderHistory[order_type],$D$13,0)),MATCH(ROW(orderHistory[customer]),ROW(orderHistory[customer])),""),ROWS($A$15:A51)+$B$3)),INDEX(orderHistory[invoice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YEAR(orderHistory[invoice_date]),$D$15,0)),MATCH(ROW(orderHistory[customer]),ROW(orderHistory[customer])),""),ROWS($A$15:A51)+$B$3))),IF($D$15="",INDEX(orderHistory[invoice_no],SMALL(IF(ISNUMBER(MATCH(orderHistory[customer],$D$9,0)*MATCH(orderHistory[status],$D$11,0)*MATCH(orderHistory[order_type],$D$13,0)),MATCH(ROW(orderHistory[customer]),ROW(orderHistory[customer])),""),ROWS($A$15:A51)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Q46" s="457" t="str">
        <f t="array" ref="Q46">IFERROR(IF($D$9="",IF($D$11="",IF($D$13="",IF($D$15="",INDEX(orderHistory[invoice_date],SMALL(MATCH(ROW(orderHistory[customer]),ROW(orderHistory[customer])),ROWS($A$15:A51)+$B$3)),INDEX(orderHistory[invoice_date],SMALL(IF(ISNUMBER(MATCH(YEAR(orderHistory[invoice_date]),$D$15,0)),MATCH(ROW(orderHistory[customer]),ROW(orderHistory[customer])),""),ROWS($A$15:A51)+$B$3))),IF($D$15="",INDEX(orderHistory[invoice_date],SMALL(IF(ISNUMBER(MATCH(orderHistory[order_type],$D$13,0)),MATCH(ROW(orderHistory[customer]),ROW(orderHistory[customer])),""),ROWS($A$15:A51)+$B$3)),INDEX(orderHistory[invoice_date],SMALL(IF(ISNUMBER(MATCH(orderHistory[order_type],$D$13,0)*MATCH(YEAR(orderHistory[invoice_date]),$D$15,0)),MATCH(ROW(orderHistory[customer]),ROW(orderHistory[customer])),""),ROWS($A$15:A51)+$B$3)))),IF($D$13="",IF($D$15="",INDEX(orderHistory[invoice_date],SMALL(IF(ISNUMBER(MATCH(orderHistory[status],$D$11,0)),MATCH(ROW(orderHistory[customer]),ROW(orderHistory[customer])),""),ROWS($A$15:A51)+$B$3)),INDEX(orderHistory[invoice_date],SMALL(IF(ISNUMBER(MATCH(orderHistory[status],$D$11,0)*MATCH(YEAR(orderHistory[invoice_date]),$D$15,0)),MATCH(ROW(orderHistory[customer]),ROW(orderHistory[customer])),""),ROWS($A$15:A51)+$B$3))),IF($D$15="",INDEX(orderHistory[invoice_date],SMALL(IF(ISNUMBER(MATCH(orderHistory[status],$D$11,0)*MATCH(orderHistory[order_type],$D$13,0)),MATCH(ROW(orderHistory[customer]),ROW(orderHistory[customer])),""),ROWS($A$15:A51)+$B$3)),INDEX(orderHistory[invoice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date],SMALL(IF(ISNUMBER(MATCH(orderHistory[customer],$D$9,0)),MATCH(ROW(orderHistory[customer]),ROW(orderHistory[customer])),""),ROWS($A$15:A51)+$B$3)),INDEX(orderHistory[invoice_date],SMALL(IF(ISNUMBER(MATCH(orderHistory[customer],$D$9,0)*MATCH(YEAR(orderHistory[invoice_date]),$D$15,0)),MATCH(ROW(orderHistory[customer]),ROW(orderHistory[customer])),""),ROWS($A$15:A51)+$B$3))),IF($D$15="",INDEX(orderHistory[invoice_date],SMALL(IF(ISNUMBER(MATCH(orderHistory[customer],$D$9,0)*MATCH(orderHistory[order_type],$D$13,0)),MATCH(ROW(orderHistory[customer]),ROW(orderHistory[customer])),""),ROWS($A$15:A51)+$B$3)),INDEX(orderHistory[invoice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YEAR(orderHistory[invoice_date]),$D$15,0)),MATCH(ROW(orderHistory[customer]),ROW(orderHistory[customer])),""),ROWS($A$15:A51)+$B$3))),IF($D$15="",INDEX(orderHistory[invoice_date],SMALL(IF(ISNUMBER(MATCH(orderHistory[customer],$D$9,0)*MATCH(orderHistory[status],$D$11,0)*MATCH(orderHistory[order_type],$D$13,0)),MATCH(ROW(orderHistory[customer]),ROW(orderHistory[customer])),""),ROWS($A$15:A51)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R46" s="458" t="str">
        <f t="array" ref="R46">IFERROR(IF($D$9="",IF($D$11="",IF($D$13="",IF($D$15="",INDEX(orderHistory[inv_amount],SMALL(MATCH(ROW(orderHistory[customer]),ROW(orderHistory[customer])),ROWS($A$15:A51)+$B$3)),INDEX(orderHistory[inv_amount],SMALL(IF(ISNUMBER(MATCH(YEAR(orderHistory[invoice_date]),$D$15,0)),MATCH(ROW(orderHistory[customer]),ROW(orderHistory[customer])),""),ROWS($A$15:A51)+$B$3))),IF($D$15="",INDEX(orderHistory[inv_amount],SMALL(IF(ISNUMBER(MATCH(orderHistory[order_type],$D$13,0)),MATCH(ROW(orderHistory[customer]),ROW(orderHistory[customer])),""),ROWS($A$15:A51)+$B$3)),INDEX(orderHistory[inv_amount],SMALL(IF(ISNUMBER(MATCH(orderHistory[order_type],$D$13,0)*MATCH(YEAR(orderHistory[invoice_date]),$D$15,0)),MATCH(ROW(orderHistory[customer]),ROW(orderHistory[customer])),""),ROWS($A$15:A51)+$B$3)))),IF($D$13="",IF($D$15="",INDEX(orderHistory[inv_amount],SMALL(IF(ISNUMBER(MATCH(orderHistory[status],$D$11,0)),MATCH(ROW(orderHistory[customer]),ROW(orderHistory[customer])),""),ROWS($A$15:A51)+$B$3)),INDEX(orderHistory[inv_amount],SMALL(IF(ISNUMBER(MATCH(orderHistory[status],$D$11,0)*MATCH(YEAR(orderHistory[invoice_date]),$D$15,0)),MATCH(ROW(orderHistory[customer]),ROW(orderHistory[customer])),""),ROWS($A$15:A51)+$B$3))),IF($D$15="",INDEX(orderHistory[inv_amount],SMALL(IF(ISNUMBER(MATCH(orderHistory[status],$D$11,0)*MATCH(orderHistory[order_type],$D$13,0)),MATCH(ROW(orderHistory[customer]),ROW(orderHistory[customer])),""),ROWS($A$15:A51)+$B$3)),INDEX(orderHistory[inv_amount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_amount],SMALL(IF(ISNUMBER(MATCH(orderHistory[customer],$D$9,0)),MATCH(ROW(orderHistory[customer]),ROW(orderHistory[customer])),""),ROWS($A$15:A51)+$B$3)),INDEX(orderHistory[inv_amount],SMALL(IF(ISNUMBER(MATCH(orderHistory[customer],$D$9,0)*MATCH(YEAR(orderHistory[invoice_date]),$D$15,0)),MATCH(ROW(orderHistory[customer]),ROW(orderHistory[customer])),""),ROWS($A$15:A51)+$B$3))),IF($D$15="",INDEX(orderHistory[inv_amount],SMALL(IF(ISNUMBER(MATCH(orderHistory[customer],$D$9,0)*MATCH(orderHistory[order_type],$D$13,0)),MATCH(ROW(orderHistory[customer]),ROW(orderHistory[customer])),""),ROWS($A$15:A51)+$B$3)),INDEX(orderHistory[inv_amount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YEAR(orderHistory[inv_amount]),$D$15,0)),MATCH(ROW(orderHistory[customer]),ROW(orderHistory[customer])),""),ROWS($A$15:A51)+$B$3))),IF($D$15="",INDEX(orderHistory[inv_amount],SMALL(IF(ISNUMBER(MATCH(orderHistory[customer],$D$9,0)*MATCH(orderHistory[status],$D$11,0)*MATCH(orderHistory[order_type],$D$13,0)),MATCH(ROW(orderHistory[customer]),ROW(orderHistory[customer])),""),ROWS($A$15:A51)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S46" s="569" t="str">
        <f t="array" ref="S46">IFERROR(IF($D$9="",IF($D$11="",IF($D$13="",IF($D$15="",INDEX(orderHistory[lock_goods],SMALL(MATCH(ROW(orderHistory[customer]),ROW(orderHistory[customer])),ROWS($A$15:A51)+$B$3)),INDEX(orderHistory[lock_goods],SMALL(IF(ISNUMBER(MATCH(YEAR(orderHistory[invoice_date]),$D$15,0)),MATCH(ROW(orderHistory[customer]),ROW(orderHistory[customer])),""),ROWS($A$15:A51)+$B$3))),IF($D$15="",INDEX(orderHistory[lock_goods],SMALL(IF(ISNUMBER(MATCH(orderHistory[order_type],$D$13,0)),MATCH(ROW(orderHistory[customer]),ROW(orderHistory[customer])),""),ROWS($A$15:A51)+$B$3)),INDEX(orderHistory[lock_goods],SMALL(IF(ISNUMBER(MATCH(orderHistory[order_type],$D$13,0)*MATCH(YEAR(orderHistory[invoice_date]),$D$15,0)),MATCH(ROW(orderHistory[customer]),ROW(orderHistory[customer])),""),ROWS($A$15:A51)+$B$3)))),IF($D$13="",IF($D$15="",INDEX(orderHistory[lock_goods],SMALL(IF(ISNUMBER(MATCH(orderHistory[status],$D$11,0)),MATCH(ROW(orderHistory[customer]),ROW(orderHistory[customer])),""),ROWS($A$15:A51)+$B$3)),INDEX(orderHistory[lock_goods],SMALL(IF(ISNUMBER(MATCH(orderHistory[status],$D$11,0)*MATCH(YEAR(orderHistory[invoice_date]),$D$15,0)),MATCH(ROW(orderHistory[customer]),ROW(orderHistory[customer])),""),ROWS($A$15:A51)+$B$3))),IF($D$15="",INDEX(orderHistory[lock_goods],SMALL(IF(ISNUMBER(MATCH(orderHistory[status],$D$11,0)*MATCH(orderHistory[order_type],$D$13,0)),MATCH(ROW(orderHistory[customer]),ROW(orderHistory[customer])),""),ROWS($A$15:A51)+$B$3)),INDEX(orderHistory[lock_good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lock_goods],SMALL(IF(ISNUMBER(MATCH(orderHistory[customer],$D$9,0)),MATCH(ROW(orderHistory[customer]),ROW(orderHistory[customer])),""),ROWS($A$15:A51)+$B$3)),INDEX(orderHistory[lock_goods],SMALL(IF(ISNUMBER(MATCH(orderHistory[customer],$D$9,0)*MATCH(YEAR(orderHistory[invoice_date]),$D$15,0)),MATCH(ROW(orderHistory[customer]),ROW(orderHistory[customer])),""),ROWS($A$15:A51)+$B$3))),IF($D$15="",INDEX(orderHistory[lock_goods],SMALL(IF(ISNUMBER(MATCH(orderHistory[customer],$D$9,0)*MATCH(orderHistory[order_type],$D$13,0)),MATCH(ROW(orderHistory[customer]),ROW(orderHistory[customer])),""),ROWS($A$15:A51)+$B$3)),INDEX(orderHistory[lock_good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lock_goods],SMALL(IF(ISNUMBER(MATCH(orderHistory[customer],$D$9,0)*MATCH(orderHistory[status],$D$11,0)),MATCH(ROW(orderHistory[customer]),ROW(orderHistory[customer])),""),ROWS($A$15:A51)+$B$3)),INDEX(orderHistory[lock_goods],SMALL(IF(ISNUMBER(MATCH(orderHistory[customer],$D$9,0)*MATCH(orderHistory[status],$D$11,0)*MATCH(YEAR(orderHistory[payed]),$D$15,0)),MATCH(ROW(orderHistory[customer]),ROW(orderHistory[customer])),""),ROWS($A$15:A51)+$B$3))),IF($D$15="",INDEX(orderHistory[lock_goods],SMALL(IF(ISNUMBER(MATCH(orderHistory[customer],$D$9,0)*MATCH(orderHistory[status],$D$11,0)*MATCH(orderHistory[order_type],$D$13,0)),MATCH(ROW(orderHistory[customer]),ROW(orderHistory[customer])),""),ROWS($A$15:A51)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T46" s="459" t="str">
        <f t="array" ref="T46">IFERROR(IF($D$9="",IF($D$11="",IF($D$13="",IF($D$15="",INDEX(orderHistory[payed],SMALL(MATCH(ROW(orderHistory[customer]),ROW(orderHistory[customer])),ROWS($A$15:A51)+$B$3)),INDEX(orderHistory[payed],SMALL(IF(ISNUMBER(MATCH(YEAR(orderHistory[invoice_date]),$D$15,0)),MATCH(ROW(orderHistory[customer]),ROW(orderHistory[customer])),""),ROWS($A$15:A51)+$B$3))),IF($D$15="",INDEX(orderHistory[payed],SMALL(IF(ISNUMBER(MATCH(orderHistory[order_type],$D$13,0)),MATCH(ROW(orderHistory[customer]),ROW(orderHistory[customer])),""),ROWS($A$15:A51)+$B$3)),INDEX(orderHistory[payed],SMALL(IF(ISNUMBER(MATCH(orderHistory[order_type],$D$13,0)*MATCH(YEAR(orderHistory[invoice_date]),$D$15,0)),MATCH(ROW(orderHistory[customer]),ROW(orderHistory[customer])),""),ROWS($A$15:A51)+$B$3)))),IF($D$13="",IF($D$15="",INDEX(orderHistory[payed],SMALL(IF(ISNUMBER(MATCH(orderHistory[status],$D$11,0)),MATCH(ROW(orderHistory[customer]),ROW(orderHistory[customer])),""),ROWS($A$15:A51)+$B$3)),INDEX(orderHistory[payed],SMALL(IF(ISNUMBER(MATCH(orderHistory[status],$D$11,0)*MATCH(YEAR(orderHistory[invoice_date]),$D$15,0)),MATCH(ROW(orderHistory[customer]),ROW(orderHistory[customer])),""),ROWS($A$15:A51)+$B$3))),IF($D$15="",INDEX(orderHistory[payed],SMALL(IF(ISNUMBER(MATCH(orderHistory[status],$D$11,0)*MATCH(orderHistory[order_type],$D$13,0)),MATCH(ROW(orderHistory[customer]),ROW(orderHistory[customer])),""),ROWS($A$15:A51)+$B$3)),INDEX(orderHistory[paye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payed],SMALL(IF(ISNUMBER(MATCH(orderHistory[customer],$D$9,0)),MATCH(ROW(orderHistory[customer]),ROW(orderHistory[customer])),""),ROWS($A$15:A51)+$B$3)),INDEX(orderHistory[payed],SMALL(IF(ISNUMBER(MATCH(orderHistory[customer],$D$9,0)*MATCH(YEAR(orderHistory[invoice_date]),$D$15,0)),MATCH(ROW(orderHistory[customer]),ROW(orderHistory[customer])),""),ROWS($A$15:A51)+$B$3))),IF($D$15="",INDEX(orderHistory[payed],SMALL(IF(ISNUMBER(MATCH(orderHistory[customer],$D$9,0)*MATCH(orderHistory[order_type],$D$13,0)),MATCH(ROW(orderHistory[customer]),ROW(orderHistory[customer])),""),ROWS($A$15:A51)+$B$3)),INDEX(orderHistory[paye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YEAR(orderHistory[payed]),$D$15,0)),MATCH(ROW(orderHistory[customer]),ROW(orderHistory[customer])),""),ROWS($A$15:A51)+$B$3))),IF($D$15="",INDEX(orderHistory[payed],SMALL(IF(ISNUMBER(MATCH(orderHistory[customer],$D$9,0)*MATCH(orderHistory[status],$D$11,0)*MATCH(orderHistory[order_type],$D$13,0)),MATCH(ROW(orderHistory[customer]),ROW(orderHistory[customer])),""),ROWS($A$15:A51)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U46" s="454" t="str">
        <f t="array" ref="U46">IFERROR(IF($D$9="",IF($D$11="",IF($D$13="",IF($D$15="",INDEX(orderHistory[shipping_method],SMALL(MATCH(ROW(orderHistory[customer]),ROW(orderHistory[customer])),ROWS($A$15:A51)+$B$3)),INDEX(orderHistory[shipping_method],SMALL(IF(ISNUMBER(MATCH(YEAR(orderHistory[invoice_date]),$D$15,0)),MATCH(ROW(orderHistory[customer]),ROW(orderHistory[customer])),""),ROWS($A$15:A51)+$B$3))),IF($D$15="",INDEX(orderHistory[shipping_method],SMALL(IF(ISNUMBER(MATCH(orderHistory[order_type],$D$13,0)),MATCH(ROW(orderHistory[customer]),ROW(orderHistory[customer])),""),ROWS($A$15:A51)+$B$3)),INDEX(orderHistory[shipping_method],SMALL(IF(ISNUMBER(MATCH(orderHistory[order_type],$D$13,0)*MATCH(YEAR(orderHistory[invoice_date]),$D$15,0)),MATCH(ROW(orderHistory[customer]),ROW(orderHistory[customer])),""),ROWS($A$15:A51)+$B$3)))),IF($D$13="",IF($D$15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YEAR(orderHistory[invoice_date]),$D$15,0)),MATCH(ROW(orderHistory[customer]),ROW(orderHistory[customer])),""),ROWS($A$15:A51)+$B$3))),IF($D$15="",INDEX(orderHistory[shipping_method],SMALL(IF(ISNUMBER(MATCH(orderHistory[status],$D$11,0)*MATCH(orderHistory[order_type],$D$13,0)),MATCH(ROW(orderHistory[customer]),ROW(orderHistory[customer])),""),ROWS($A$15:A51)+$B$3)),INDEX(orderHistory[shipping_metho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YEAR(orderHistory[invoice_date]),$D$15,0)),MATCH(ROW(orderHistory[customer]),ROW(orderHistory[customer])),""),ROWS($A$15:A51)+$B$3))),IF($D$15="",INDEX(orderHistory[shipping_method],SMALL(IF(ISNUMBER(MATCH(orderHistory[customer],$D$9,0)*MATCH(orderHistory[order_type],$D$13,0)),MATCH(ROW(orderHistory[customer]),ROW(orderHistory[customer])),""),ROWS($A$15:A51)+$B$3)),INDEX(orderHistory[shipping_metho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YEAR(orderHistory[shipping_method]),$D$15,0)),MATCH(ROW(orderHistory[customer]),ROW(orderHistory[customer])),""),ROWS($A$15:A51)+$B$3))),IF($D$15="",INDEX(orderHistory[shipping_method],SMALL(IF(ISNUMBER(MATCH(orderHistory[customer],$D$9,0)*MATCH(orderHistory[status],$D$11,0)*MATCH(orderHistory[order_type],$D$13,0)),MATCH(ROW(orderHistory[customer]),ROW(orderHistory[customer])),""),ROWS($A$15:A51)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V46" s="460" t="str">
        <f t="array" ref="V46">IFERROR(IF($D$9="",IF($D$11="",IF($D$13="",IF($D$15="",INDEX(orderHistory[status],SMALL(MATCH(ROW(orderHistory[customer]),ROW(orderHistory[customer])),ROWS($A$15:A51)+$B$3)),INDEX(orderHistory[status],SMALL(IF(ISNUMBER(MATCH(YEAR(orderHistory[invoice_date]),$D$15,0)),MATCH(ROW(orderHistory[customer]),ROW(orderHistory[customer])),""),ROWS($A$15:A51)+$B$3))),IF($D$15="",INDEX(orderHistory[status],SMALL(IF(ISNUMBER(MATCH(orderHistory[order_type],$D$13,0)),MATCH(ROW(orderHistory[customer]),ROW(orderHistory[customer])),""),ROWS($A$15:A51)+$B$3)),INDEX(orderHistory[status],SMALL(IF(ISNUMBER(MATCH(orderHistory[order_type],$D$13,0)*MATCH(YEAR(orderHistory[invoice_date]),$D$15,0)),MATCH(ROW(orderHistory[customer]),ROW(orderHistory[customer])),""),ROWS($A$15:A51)+$B$3)))),IF($D$13="",IF($D$15="",INDEX(orderHistory[status],SMALL(IF(ISNUMBER(MATCH(orderHistory[status],$D$11,0)),MATCH(ROW(orderHistory[customer]),ROW(orderHistory[customer])),""),ROWS($A$15:A51)+$B$3)),INDEX(orderHistory[status],SMALL(IF(ISNUMBER(MATCH(orderHistory[status],$D$11,0)*MATCH(YEAR(orderHistory[invoice_date]),$D$15,0)),MATCH(ROW(orderHistory[customer]),ROW(orderHistory[customer])),""),ROWS($A$15:A51)+$B$3))),IF($D$15="",INDEX(orderHistory[status],SMALL(IF(ISNUMBER(MATCH(orderHistory[status],$D$11,0)*MATCH(orderHistory[order_type],$D$13,0)),MATCH(ROW(orderHistory[customer]),ROW(orderHistory[customer])),""),ROWS($A$15:A51)+$B$3)),INDEX(orderHistory[statu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tatus],SMALL(IF(ISNUMBER(MATCH(orderHistory[customer],$D$9,0)),MATCH(ROW(orderHistory[customer]),ROW(orderHistory[customer])),""),ROWS($A$15:A51)+$B$3)),INDEX(orderHistory[status],SMALL(IF(ISNUMBER(MATCH(orderHistory[customer],$D$9,0)*MATCH(YEAR(orderHistory[invoice_date]),$D$15,0)),MATCH(ROW(orderHistory[customer]),ROW(orderHistory[customer])),""),ROWS($A$15:A51)+$B$3))),IF($D$15="",INDEX(orderHistory[status],SMALL(IF(ISNUMBER(MATCH(orderHistory[customer],$D$9,0)*MATCH(orderHistory[order_type],$D$13,0)),MATCH(ROW(orderHistory[customer]),ROW(orderHistory[customer])),""),ROWS($A$15:A51)+$B$3)),INDEX(orderHistory[statu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YEAR(orderHistory[status]),$D$15,0)),MATCH(ROW(orderHistory[customer]),ROW(orderHistory[customer])),""),ROWS($A$15:A51)+$B$3))),IF($D$15="",INDEX(orderHistory[status],SMALL(IF(ISNUMBER(MATCH(orderHistory[customer],$D$9,0)*MATCH(orderHistory[status],$D$11,0)*MATCH(orderHistory[order_type],$D$13,0)),MATCH(ROW(orderHistory[customer]),ROW(orderHistory[customer])),""),ROWS($A$15:A51)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W46" s="75"/>
      <c r="BK46" s="366"/>
      <c r="BL46" s="367"/>
      <c r="BM46" s="368"/>
      <c r="BN46" s="367"/>
      <c r="BO46" s="368"/>
      <c r="BZ46" s="476"/>
      <c r="CA46" s="477" t="str">
        <f>IF(BZ46="","",INDEX(bhpc_data[description],MATCH(BZ46,bhpc_data[sku],0)))</f>
        <v/>
      </c>
      <c r="CB46" s="480"/>
      <c r="CC46" s="479"/>
      <c r="CD46" s="494"/>
      <c r="CE46" s="481"/>
      <c r="CF46" s="482"/>
      <c r="CG46" s="483" t="str">
        <f>IFERROR(ROUNDUP(CB46/INDEX(bhpc_data[units_per_carton],MATCH(BZ46,bhpc_data[sku],0)),0),"")</f>
        <v/>
      </c>
      <c r="CH46" s="484" t="str">
        <f>IFERROR(ROUNDUP(CD46/INDEX(bhpc_data[units_per_carton],MATCH(BZ46,bhpc_data[sku],0)),0),"")</f>
        <v/>
      </c>
      <c r="CI46" s="484" t="str">
        <f>IFERROR(ROUNDUP(CF46/INDEX(bhpc_data[units_per_carton],MATCH(BZ46,bhpc_data[sku])),0),"")</f>
        <v/>
      </c>
      <c r="CJ46" s="484" t="str">
        <f>IFERROR(((CB46+CD46+CF46)/INDEX(bhpc_data[units_per_carton],MATCH(BZ46,bhpc_data[sku],0)))*INDEX(bhpc_data[net_weight],MATCH(BZ46,bhpc_data[sku],0)),"")</f>
        <v/>
      </c>
      <c r="CK46" s="484" t="str">
        <f>IFERROR(((CB46+CD46+CF46)/INDEX(bhpc_data[units_per_carton],MATCH(BZ46,bhpc_data[sku],0)))*INDEX(bhpc_data[gross_weight],MATCH(BZ46,bhpc_data[sku],0)),"")</f>
        <v/>
      </c>
      <c r="CL46" s="485" t="str">
        <f>IFERROR((CB46+CD46+CF46)/INDEX(bhpc_data[units_per_carton],MATCH(BZ46,bhpc_data[sku],0))*INDEX(bhpc_data[lenght],MATCH(BZ46,bhpc_data[sku],0))*INDEX(bhpc_data[width],MATCH(BZ46,bhpc_data[sku],0))*INDEX(bhpc_data[height],MATCH(BZ46,bhpc_data[sku],0))/1000000000,"")</f>
        <v/>
      </c>
      <c r="CM46" s="486" t="str">
        <f>IFERROR(INDEX(bhpc_data[category],MATCH(BZ46,bhpc_data[sku],0)),"")</f>
        <v/>
      </c>
      <c r="CN46" s="486" t="str">
        <f>IFERROR(INDEX(bhpc_data[size1],MATCH(BZ46,bhpc_data[sku],0)),"")</f>
        <v/>
      </c>
      <c r="CO46" s="487" t="str">
        <f>IFERROR(INDEX(bhpc_data[hs_code],MATCH(BZ46,bhpc_data[sku],0)),"")</f>
        <v/>
      </c>
      <c r="CP46" s="482"/>
      <c r="CQ46" s="488" t="str">
        <f>IFERROR(IF(BZ46="","",IF($BX$15="SALE",INDEX(inventory[COSTO UNITARIO],MATCH(BZ46,inventory[ARTICOLO],0)),IF($BX$15="SAMPLING",INDEX(inventory[COSTO UNITARIO],MATCH(BZ46,inventory[ARTICOLO],0)),""))),"")</f>
        <v/>
      </c>
      <c r="CR46" s="488" t="str">
        <f t="shared" si="5"/>
        <v/>
      </c>
      <c r="CS46" s="489" t="str">
        <f t="shared" si="6"/>
        <v/>
      </c>
      <c r="CT46" s="573" t="str">
        <f t="shared" si="7"/>
        <v/>
      </c>
      <c r="CU46" s="350"/>
      <c r="CV46" s="431"/>
      <c r="CW46" s="350"/>
      <c r="CX46" s="350"/>
      <c r="CY46" s="350"/>
      <c r="CZ46" s="350"/>
      <c r="DA46" s="350" t="str">
        <f>IFERROR(VLOOKUP(BZ46,bhpc_data[],22,FALSE),"")</f>
        <v/>
      </c>
      <c r="EE46" s="547" t="str" cm="1">
        <f t="array" ref="EE46">IFERROR(IF($EC$9="",IF($EC$11="",IF($EC$13="",INDEX(bhpc_data[sku],SMALL(MATCH(ROW(bhpc_data[sku]),ROW(bhpc_data[sku])),ROWS($A$15:A51)+$B$3)),INDEX(bhpc_data[sku],SMALL(IF(ISNUMBER(MATCH(bhpc_data[size1],$EC$13,0)),MATCH(ROW(bhpc_data[sku]),ROW(bhpc_data[sku])),""),ROWS($A$15:A51)+$B$3))),IF($EC$13="",INDEX(bhpc_data[sku],SMALL(IF(ISNUMBER(MATCH(bhpc_data[sex],$EC$11,0)),MATCH(ROW(bhpc_data[sku]),ROW(bhpc_data[sku])),""),ROWS($A$15:A51)+$B$3)),INDEX(bhpc_data[sku],SMALL(IF(ISNUMBER(MATCH(bhpc_data[sex],$EC$11,0)*MATCH(bhpc_data[size1],$EC$13,0)),MATCH(ROW(bhpc_data[sku]),ROW(bhpc_data[sku])),""),ROWS($A$15:A51)+$B$3)))),IF($EC$11="",IF($EC$13="",INDEX(bhpc_data[sku],SMALL(IF(ISNUMBER(MATCH(bhpc_data[category],$EC$9,0)),MATCH(ROW(bhpc_data[sku]),ROW(bhpc_data[sku])),""),ROWS($A$15:A51)+$B$3)),INDEX(bhpc_data[sku],SMALL(IF(ISNUMBER(MATCH(bhpc_data[category],$EC$9,0)*MATCH(bhpc_data[size1],$EC$13,0)),MATCH(ROW(bhpc_data[sku]),ROW(bhpc_data[sku])),""),ROWS($A$15:A51)+$B$3))),IF($EC$13="",INDEX(bhpc_data[sku],SMALL(IF(ISNUMBER(MATCH(bhpc_data[category],$EC$9,0)*MATCH(bhpc_data[sex],$EC$11,0)),MATCH(ROW(bhpc_data[sku]),ROW(bhpc_data[sku])),""),ROWS($A$15:A51)+$B$3)),INDEX(bhpc_data[sku],SMALL(IF(ISNUMBER(MATCH(bhpc_data[category],$EC$9,0)*MATCH(bhpc_data[sex],$EC$11,0)*MATCH(bhpc_data[size1],$EC$13,0)),MATCH(ROW(bhpc_data[sku]),ROW(bhpc_data[sku])),""),ROWS($A$15:A51)+$B$3))))),"")</f>
        <v>P05002</v>
      </c>
      <c r="EF46" s="548" t="str" cm="1">
        <f t="array" ref="EF46">IFERROR(IF($EC$9="",IF($EC$11="",IF($EC$13="",INDEX(bhpc_data[description],SMALL(MATCH(ROW(bhpc_data[sku]),ROW(bhpc_data[sku])),ROWS($A$15:A51)+$B$3)),INDEX(bhpc_data[description],SMALL(IF(ISNUMBER(MATCH(bhpc_data[size1],$EC$13,0)),MATCH(ROW(bhpc_data[sku]),ROW(bhpc_data[sku])),""),ROWS($A$15:A51)+$B$3))),IF($EC$13="",INDEX(bhpc_data[description],SMALL(IF(ISNUMBER(MATCH(bhpc_data[sex],$EC$11,0)),MATCH(ROW(bhpc_data[sku]),ROW(bhpc_data[sku])),""),ROWS($A$15:A51)+$B$3)),INDEX(bhpc_data[description],SMALL(IF(ISNUMBER(MATCH(bhpc_data[sex],$EC$11,0)*MATCH(bhpc_data[size1],$EC$13,0)),MATCH(ROW(bhpc_data[sku]),ROW(bhpc_data[sku])),""),ROWS($A$15:A51)+$B$3)))),IF($EC$11="",IF($EC$13="",INDEX(bhpc_data[description],SMALL(IF(ISNUMBER(MATCH(bhpc_data[category],$EC$9,0)),MATCH(ROW(bhpc_data[sku]),ROW(bhpc_data[sku])),""),ROWS($A$15:A51)+$B$3)),INDEX(bhpc_data[description],SMALL(IF(ISNUMBER(MATCH(bhpc_data[category],$EC$9,0)*MATCH(bhpc_data[size1],$EC$13,0)),MATCH(ROW(bhpc_data[sku]),ROW(bhpc_data[sku])),""),ROWS($A$15:A51)+$B$3))),IF($EC$13="",INDEX(bhpc_data[description],SMALL(IF(ISNUMBER(MATCH(bhpc_data[category],$EC$9,0)*MATCH(bhpc_data[sex],$EC$11,0)),MATCH(ROW(bhpc_data[sku]),ROW(bhpc_data[sku])),""),ROWS($A$15:A51)+$B$3)),INDEX(bhpc_data[description],SMALL(IF(ISNUMBER(MATCH(bhpc_data[category],$EC$9,0)*MATCH(bhpc_data[sex],$EC$11,0)*MATCH(bhpc_data[size1],$EC$13,0)),MATCH(ROW(bhpc_data[sku]),ROW(bhpc_data[sku])),""),ROWS($A$15:A51)+$B$3))))),"")</f>
        <v>BHPC SPORT MEN 8 DEO 175ML</v>
      </c>
      <c r="EG46" s="549">
        <f>IFERROR(IF('BHPC MANAGER'!$EE46="","",INDEX(inventory[ESISTENZA],MATCH('BHPC MANAGER'!$EE46,inventory[ARTICOLO],0))),0)</f>
        <v>9689</v>
      </c>
      <c r="EH46" s="550">
        <v>-5144</v>
      </c>
      <c r="EI46" s="550">
        <f t="shared" si="3"/>
        <v>4545</v>
      </c>
      <c r="EJ46" s="551">
        <v>0</v>
      </c>
      <c r="EK46" s="552">
        <f t="shared" si="4"/>
        <v>4545</v>
      </c>
      <c r="EO46" s="245" t="str">
        <f t="array" ref="EO46">IFERROR(INDEX(orderHistory[order_no],SMALL(IF(ISNUMBER(MATCH(orderHistory[status],$EO$7,0)),MATCH(ROW(orderHistory[order_no]),ROW(orderHistory[order_no])),""),ROWS($A$15:A51))),"")</f>
        <v/>
      </c>
    </row>
    <row r="47" spans="6:228" ht="15" customHeight="1" x14ac:dyDescent="0.35">
      <c r="J47" s="332"/>
      <c r="K47" s="332"/>
      <c r="L47" s="452" t="str">
        <f t="array" ref="L47">IFERROR(IF($D$9="",IF($D$11="",IF($D$13="",IF($D$15="",INDEX(orderHistory[customer],SMALL(MATCH(ROW(orderHistory[customer]),ROW(orderHistory[customer])),ROWS($A$15:A52)+$B$3)),INDEX(orderHistory[customer],SMALL(IF(ISNUMBER(MATCH(YEAR(orderHistory[invoice_date]),$D$15,0)),MATCH(ROW(orderHistory[customer]),ROW(orderHistory[customer])),""),ROWS($A$15:A52)+$B$3))),IF($D$15="",INDEX(orderHistory[customer],SMALL(IF(ISNUMBER(MATCH(orderHistory[order_type],$D$13,0)),MATCH(ROW(orderHistory[customer]),ROW(orderHistory[customer])),""),ROWS($A$15:A52)+$B$3)),INDEX(orderHistory[customer],SMALL(IF(ISNUMBER(MATCH(orderHistory[order_type],$D$13,0)*MATCH(YEAR(orderHistory[invoice_date]),$D$15,0)),MATCH(ROW(orderHistory[customer]),ROW(orderHistory[customer])),""),ROWS($A$15:A52)+$B$3)))),IF($D$13="",IF($D$15="",INDEX(orderHistory[customer],SMALL(IF(ISNUMBER(MATCH(orderHistory[status],$D$11,0)),MATCH(ROW(orderHistory[customer]),ROW(orderHistory[customer])),""),ROWS($A$15:A52)+$B$3)),INDEX(orderHistory[customer],SMALL(IF(ISNUMBER(MATCH(orderHistory[status],$D$11,0)*MATCH(YEAR(orderHistory[invoice_date]),$D$15,0)),MATCH(ROW(orderHistory[customer]),ROW(orderHistory[customer])),""),ROWS($A$15:A52)+$B$3))),IF($D$15="",INDEX(orderHistory[customer],SMALL(IF(ISNUMBER(MATCH(orderHistory[status],$D$11,0)*MATCH(orderHistory[order_type],$D$13,0)),MATCH(ROW(orderHistory[customer]),ROW(orderHistory[customer])),""),ROWS($A$15:A52)+$B$3)),INDEX(orderHistory[customer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customer],SMALL(IF(ISNUMBER(MATCH(orderHistory[customer],$D$9,0)),MATCH(ROW(orderHistory[customer]),ROW(orderHistory[customer])),""),ROWS($A$15:A52)+$B$3)),INDEX(orderHistory[customer],SMALL(IF(ISNUMBER(MATCH(orderHistory[customer],$D$9,0)*MATCH(YEAR(orderHistory[invoice_date]),$D$15,0)),MATCH(ROW(orderHistory[customer]),ROW(orderHistory[customer])),""),ROWS($A$15:A52)+$B$3))),IF($D$15="",INDEX(orderHistory[customer],SMALL(IF(ISNUMBER(MATCH(orderHistory[customer],$D$9,0)*MATCH(orderHistory[order_type],$D$13,0)),MATCH(ROW(orderHistory[customer]),ROW(orderHistory[customer])),""),ROWS($A$15:A52)+$B$3)),INDEX(orderHistory[customer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YEAR(orderHistory[invoice_date]),$D$15,0)),MATCH(ROW(orderHistory[customer]),ROW(orderHistory[customer])),""),ROWS($A$15:A52)+$B$3))),IF($D$15="",INDEX(orderHistory[customer],SMALL(IF(ISNUMBER(MATCH(orderHistory[customer],$D$9,0)*MATCH(orderHistory[status],$D$11,0)*MATCH(orderHistory[order_type],$D$13,0)),MATCH(ROW(orderHistory[customer]),ROW(orderHistory[customer])),""),ROWS($A$15:A52)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M47" s="453" t="str">
        <f t="array" ref="M47">IFERROR(IF($D$9="",IF($D$11="",IF($D$13="",IF($D$15="",INDEX(orderHistory[order_no],SMALL(MATCH(ROW(orderHistory[customer]),ROW(orderHistory[customer])),ROWS($A$15:A52)+$B$3)),INDEX(orderHistory[order_no],SMALL(IF(ISNUMBER(MATCH(YEAR(orderHistory[invoice_date]),$D$15,0)),MATCH(ROW(orderHistory[customer]),ROW(orderHistory[customer])),""),ROWS($A$15:A52)+$B$3))),IF($D$15="",INDEX(orderHistory[order_no],SMALL(IF(ISNUMBER(MATCH(orderHistory[order_type],$D$13,0)),MATCH(ROW(orderHistory[customer]),ROW(orderHistory[customer])),""),ROWS($A$15:A52)+$B$3)),INDEX(orderHistory[order_no],SMALL(IF(ISNUMBER(MATCH(orderHistory[order_type],$D$13,0)*MATCH(YEAR(orderHistory[invoice_date]),$D$15,0)),MATCH(ROW(orderHistory[customer]),ROW(orderHistory[customer])),""),ROWS($A$15:A52)+$B$3)))),IF($D$13="",IF($D$15="",INDEX(orderHistory[order_no],SMALL(IF(ISNUMBER(MATCH(orderHistory[status],$D$11,0)),MATCH(ROW(orderHistory[customer]),ROW(orderHistory[customer])),""),ROWS($A$15:A52)+$B$3)),INDEX(orderHistory[order_no],SMALL(IF(ISNUMBER(MATCH(orderHistory[status],$D$11,0)*MATCH(YEAR(orderHistory[invoice_date]),$D$15,0)),MATCH(ROW(orderHistory[customer]),ROW(orderHistory[customer])),""),ROWS($A$15:A52)+$B$3))),IF($D$15="",INDEX(orderHistory[order_no],SMALL(IF(ISNUMBER(MATCH(orderHistory[status],$D$11,0)*MATCH(orderHistory[order_type],$D$13,0)),MATCH(ROW(orderHistory[customer]),ROW(orderHistory[customer])),""),ROWS($A$15:A52)+$B$3)),INDEX(orderHistory[order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no],SMALL(IF(ISNUMBER(MATCH(orderHistory[customer],$D$9,0)),MATCH(ROW(orderHistory[customer]),ROW(orderHistory[customer])),""),ROWS($A$15:A52)+$B$3)),INDEX(orderHistory[order_no],SMALL(IF(ISNUMBER(MATCH(orderHistory[customer],$D$9,0)*MATCH(YEAR(orderHistory[invoice_date]),$D$15,0)),MATCH(ROW(orderHistory[customer]),ROW(orderHistory[customer])),""),ROWS($A$15:A52)+$B$3))),IF($D$15="",INDEX(orderHistory[order_no],SMALL(IF(ISNUMBER(MATCH(orderHistory[customer],$D$9,0)*MATCH(orderHistory[order_type],$D$13,0)),MATCH(ROW(orderHistory[customer]),ROW(orderHistory[customer])),""),ROWS($A$15:A52)+$B$3)),INDEX(orderHistory[order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YEAR(orderHistory[invoice_date]),$D$15,0)),MATCH(ROW(orderHistory[customer]),ROW(orderHistory[customer])),""),ROWS($A$15:A52)+$B$3))),IF($D$15="",INDEX(orderHistory[order_no],SMALL(IF(ISNUMBER(MATCH(orderHistory[customer],$D$9,0)*MATCH(orderHistory[status],$D$11,0)*MATCH(orderHistory[order_type],$D$13,0)),MATCH(ROW(orderHistory[customer]),ROW(orderHistory[customer])),""),ROWS($A$15:A52)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N47" s="454" t="str">
        <f t="array" ref="N47">IFERROR(IF($D$9="",IF($D$11="",IF($D$13="",IF($D$15="",INDEX(orderHistory[order_type],SMALL(MATCH(ROW(orderHistory[customer]),ROW(orderHistory[customer])),ROWS($A$15:A52)+$B$3)),INDEX(orderHistory[order_type],SMALL(IF(ISNUMBER(MATCH(YEAR(orderHistory[invoice_date]),$D$15,0)),MATCH(ROW(orderHistory[customer]),ROW(orderHistory[customer])),""),ROWS($A$15:A52)+$B$3))),IF($D$15="",INDEX(orderHistory[order_type],SMALL(IF(ISNUMBER(MATCH(orderHistory[order_type],$D$13,0)),MATCH(ROW(orderHistory[customer]),ROW(orderHistory[customer])),""),ROWS($A$15:A52)+$B$3)),INDEX(orderHistory[order_type],SMALL(IF(ISNUMBER(MATCH(orderHistory[order_type],$D$13,0)*MATCH(YEAR(orderHistory[invoice_date]),$D$15,0)),MATCH(ROW(orderHistory[customer]),ROW(orderHistory[customer])),""),ROWS($A$15:A52)+$B$3)))),IF($D$13="",IF($D$15="",INDEX(orderHistory[order_type],SMALL(IF(ISNUMBER(MATCH(orderHistory[status],$D$11,0)),MATCH(ROW(orderHistory[customer]),ROW(orderHistory[customer])),""),ROWS($A$15:A52)+$B$3)),INDEX(orderHistory[order_type],SMALL(IF(ISNUMBER(MATCH(orderHistory[status],$D$11,0)*MATCH(YEAR(orderHistory[invoice_date]),$D$15,0)),MATCH(ROW(orderHistory[customer]),ROW(orderHistory[customer])),""),ROWS($A$15:A52)+$B$3))),IF($D$15="",INDEX(orderHistory[order_type],SMALL(IF(ISNUMBER(MATCH(orderHistory[status],$D$11,0)*MATCH(orderHistory[order_type],$D$13,0)),MATCH(ROW(orderHistory[customer]),ROW(orderHistory[customer])),""),ROWS($A$15:A52)+$B$3)),INDEX(orderHistory[order_typ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type],SMALL(IF(ISNUMBER(MATCH(orderHistory[customer],$D$9,0)),MATCH(ROW(orderHistory[customer]),ROW(orderHistory[customer])),""),ROWS($A$15:A52)+$B$3)),INDEX(orderHistory[order_type],SMALL(IF(ISNUMBER(MATCH(orderHistory[customer],$D$9,0)*MATCH(YEAR(orderHistory[invoice_date]),$D$15,0)),MATCH(ROW(orderHistory[customer]),ROW(orderHistory[customer])),""),ROWS($A$15:A52)+$B$3))),IF($D$15="",INDEX(orderHistory[order_type],SMALL(IF(ISNUMBER(MATCH(orderHistory[customer],$D$9,0)*MATCH(orderHistory[order_type],$D$13,0)),MATCH(ROW(orderHistory[customer]),ROW(orderHistory[customer])),""),ROWS($A$15:A52)+$B$3)),INDEX(orderHistory[order_typ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YEAR(orderHistory[invoice_date]),$D$15,0)),MATCH(ROW(orderHistory[customer]),ROW(orderHistory[customer])),""),ROWS($A$15:A52)+$B$3))),IF($D$15="",INDEX(orderHistory[order_type],SMALL(IF(ISNUMBER(MATCH(orderHistory[customer],$D$9,0)*MATCH(orderHistory[status],$D$11,0)*MATCH(orderHistory[order_type],$D$13,0)),MATCH(ROW(orderHistory[customer]),ROW(orderHistory[customer])),""),ROWS($A$15:A52)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O47" s="455" t="str">
        <f t="array" ref="O47">IFERROR(IF($D$9="",IF($D$11="",IF($D$13="",IF($D$15="",INDEX(orderHistory[order_date],SMALL(MATCH(ROW(orderHistory[customer]),ROW(orderHistory[customer])),ROWS($A$15:A52)+$B$3)),INDEX(orderHistory[order_date],SMALL(IF(ISNUMBER(MATCH(YEAR(orderHistory[invoice_date]),$D$15,0)),MATCH(ROW(orderHistory[customer]),ROW(orderHistory[customer])),""),ROWS($A$15:A52)+$B$3))),IF($D$15="",INDEX(orderHistory[order_date],SMALL(IF(ISNUMBER(MATCH(orderHistory[order_type],$D$13,0)),MATCH(ROW(orderHistory[customer]),ROW(orderHistory[customer])),""),ROWS($A$15:A52)+$B$3)),INDEX(orderHistory[order_date],SMALL(IF(ISNUMBER(MATCH(orderHistory[order_type],$D$13,0)*MATCH(YEAR(orderHistory[invoice_date]),$D$15,0)),MATCH(ROW(orderHistory[customer]),ROW(orderHistory[customer])),""),ROWS($A$15:A52)+$B$3)))),IF($D$13="",IF($D$15="",INDEX(orderHistory[order_date],SMALL(IF(ISNUMBER(MATCH(orderHistory[status],$D$11,0)),MATCH(ROW(orderHistory[customer]),ROW(orderHistory[customer])),""),ROWS($A$15:A52)+$B$3)),INDEX(orderHistory[order_date],SMALL(IF(ISNUMBER(MATCH(orderHistory[status],$D$11,0)*MATCH(YEAR(orderHistory[invoice_date]),$D$15,0)),MATCH(ROW(orderHistory[customer]),ROW(orderHistory[customer])),""),ROWS($A$15:A52)+$B$3))),IF($D$15="",INDEX(orderHistory[order_date],SMALL(IF(ISNUMBER(MATCH(orderHistory[status],$D$11,0)*MATCH(orderHistory[order_type],$D$13,0)),MATCH(ROW(orderHistory[customer]),ROW(orderHistory[customer])),""),ROWS($A$15:A52)+$B$3)),INDEX(orderHistory[order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date],SMALL(IF(ISNUMBER(MATCH(orderHistory[customer],$D$9,0)),MATCH(ROW(orderHistory[customer]),ROW(orderHistory[customer])),""),ROWS($A$15:A52)+$B$3)),INDEX(orderHistory[order_date],SMALL(IF(ISNUMBER(MATCH(orderHistory[customer],$D$9,0)*MATCH(YEAR(orderHistory[invoice_date]),$D$15,0)),MATCH(ROW(orderHistory[customer]),ROW(orderHistory[customer])),""),ROWS($A$15:A52)+$B$3))),IF($D$15="",INDEX(orderHistory[order_date],SMALL(IF(ISNUMBER(MATCH(orderHistory[customer],$D$9,0)*MATCH(orderHistory[order_type],$D$13,0)),MATCH(ROW(orderHistory[customer]),ROW(orderHistory[customer])),""),ROWS($A$15:A52)+$B$3)),INDEX(orderHistory[order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YEAR(orderHistory[invoice_date]),$D$15,0)),MATCH(ROW(orderHistory[customer]),ROW(orderHistory[customer])),""),ROWS($A$15:A52)+$B$3))),IF($D$15="",INDEX(orderHistory[order_date],SMALL(IF(ISNUMBER(MATCH(orderHistory[customer],$D$9,0)*MATCH(orderHistory[status],$D$11,0)*MATCH(orderHistory[order_type],$D$13,0)),MATCH(ROW(orderHistory[customer]),ROW(orderHistory[customer])),""),ROWS($A$15:A52)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P47" s="456" t="str">
        <f t="array" ref="P47">IFERROR(IF($D$9="",IF($D$11="",IF($D$13="",IF($D$15="",INDEX(orderHistory[invoice_no],SMALL(MATCH(ROW(orderHistory[customer]),ROW(orderHistory[customer])),ROWS($A$15:A52)+$B$3)),INDEX(orderHistory[invoice_no],SMALL(IF(ISNUMBER(MATCH(YEAR(orderHistory[invoice_date]),$D$15,0)),MATCH(ROW(orderHistory[customer]),ROW(orderHistory[customer])),""),ROWS($A$15:A52)+$B$3))),IF($D$15="",INDEX(orderHistory[invoice_no],SMALL(IF(ISNUMBER(MATCH(orderHistory[order_type],$D$13,0)),MATCH(ROW(orderHistory[customer]),ROW(orderHistory[customer])),""),ROWS($A$15:A52)+$B$3)),INDEX(orderHistory[invoice_no],SMALL(IF(ISNUMBER(MATCH(orderHistory[order_type],$D$13,0)*MATCH(YEAR(orderHistory[invoice_date]),$D$15,0)),MATCH(ROW(orderHistory[customer]),ROW(orderHistory[customer])),""),ROWS($A$15:A52)+$B$3)))),IF($D$13="",IF($D$15="",INDEX(orderHistory[invoice_no],SMALL(IF(ISNUMBER(MATCH(orderHistory[status],$D$11,0)),MATCH(ROW(orderHistory[customer]),ROW(orderHistory[customer])),""),ROWS($A$15:A52)+$B$3)),INDEX(orderHistory[invoice_no],SMALL(IF(ISNUMBER(MATCH(orderHistory[status],$D$11,0)*MATCH(YEAR(orderHistory[invoice_date]),$D$15,0)),MATCH(ROW(orderHistory[customer]),ROW(orderHistory[customer])),""),ROWS($A$15:A52)+$B$3))),IF($D$15="",INDEX(orderHistory[invoice_no],SMALL(IF(ISNUMBER(MATCH(orderHistory[status],$D$11,0)*MATCH(orderHistory[order_type],$D$13,0)),MATCH(ROW(orderHistory[customer]),ROW(orderHistory[customer])),""),ROWS($A$15:A52)+$B$3)),INDEX(orderHistory[invoice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no],SMALL(IF(ISNUMBER(MATCH(orderHistory[customer],$D$9,0)),MATCH(ROW(orderHistory[customer]),ROW(orderHistory[customer])),""),ROWS($A$15:A52)+$B$3)),INDEX(orderHistory[invoice_no],SMALL(IF(ISNUMBER(MATCH(orderHistory[customer],$D$9,0)*MATCH(YEAR(orderHistory[invoice_date]),$D$15,0)),MATCH(ROW(orderHistory[customer]),ROW(orderHistory[customer])),""),ROWS($A$15:A52)+$B$3))),IF($D$15="",INDEX(orderHistory[invoice_no],SMALL(IF(ISNUMBER(MATCH(orderHistory[customer],$D$9,0)*MATCH(orderHistory[order_type],$D$13,0)),MATCH(ROW(orderHistory[customer]),ROW(orderHistory[customer])),""),ROWS($A$15:A52)+$B$3)),INDEX(orderHistory[invoice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YEAR(orderHistory[invoice_date]),$D$15,0)),MATCH(ROW(orderHistory[customer]),ROW(orderHistory[customer])),""),ROWS($A$15:A52)+$B$3))),IF($D$15="",INDEX(orderHistory[invoice_no],SMALL(IF(ISNUMBER(MATCH(orderHistory[customer],$D$9,0)*MATCH(orderHistory[status],$D$11,0)*MATCH(orderHistory[order_type],$D$13,0)),MATCH(ROW(orderHistory[customer]),ROW(orderHistory[customer])),""),ROWS($A$15:A52)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Q47" s="457" t="str">
        <f t="array" ref="Q47">IFERROR(IF($D$9="",IF($D$11="",IF($D$13="",IF($D$15="",INDEX(orderHistory[invoice_date],SMALL(MATCH(ROW(orderHistory[customer]),ROW(orderHistory[customer])),ROWS($A$15:A52)+$B$3)),INDEX(orderHistory[invoice_date],SMALL(IF(ISNUMBER(MATCH(YEAR(orderHistory[invoice_date]),$D$15,0)),MATCH(ROW(orderHistory[customer]),ROW(orderHistory[customer])),""),ROWS($A$15:A52)+$B$3))),IF($D$15="",INDEX(orderHistory[invoice_date],SMALL(IF(ISNUMBER(MATCH(orderHistory[order_type],$D$13,0)),MATCH(ROW(orderHistory[customer]),ROW(orderHistory[customer])),""),ROWS($A$15:A52)+$B$3)),INDEX(orderHistory[invoice_date],SMALL(IF(ISNUMBER(MATCH(orderHistory[order_type],$D$13,0)*MATCH(YEAR(orderHistory[invoice_date]),$D$15,0)),MATCH(ROW(orderHistory[customer]),ROW(orderHistory[customer])),""),ROWS($A$15:A52)+$B$3)))),IF($D$13="",IF($D$15="",INDEX(orderHistory[invoice_date],SMALL(IF(ISNUMBER(MATCH(orderHistory[status],$D$11,0)),MATCH(ROW(orderHistory[customer]),ROW(orderHistory[customer])),""),ROWS($A$15:A52)+$B$3)),INDEX(orderHistory[invoice_date],SMALL(IF(ISNUMBER(MATCH(orderHistory[status],$D$11,0)*MATCH(YEAR(orderHistory[invoice_date]),$D$15,0)),MATCH(ROW(orderHistory[customer]),ROW(orderHistory[customer])),""),ROWS($A$15:A52)+$B$3))),IF($D$15="",INDEX(orderHistory[invoice_date],SMALL(IF(ISNUMBER(MATCH(orderHistory[status],$D$11,0)*MATCH(orderHistory[order_type],$D$13,0)),MATCH(ROW(orderHistory[customer]),ROW(orderHistory[customer])),""),ROWS($A$15:A52)+$B$3)),INDEX(orderHistory[invoice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date],SMALL(IF(ISNUMBER(MATCH(orderHistory[customer],$D$9,0)),MATCH(ROW(orderHistory[customer]),ROW(orderHistory[customer])),""),ROWS($A$15:A52)+$B$3)),INDEX(orderHistory[invoice_date],SMALL(IF(ISNUMBER(MATCH(orderHistory[customer],$D$9,0)*MATCH(YEAR(orderHistory[invoice_date]),$D$15,0)),MATCH(ROW(orderHistory[customer]),ROW(orderHistory[customer])),""),ROWS($A$15:A52)+$B$3))),IF($D$15="",INDEX(orderHistory[invoice_date],SMALL(IF(ISNUMBER(MATCH(orderHistory[customer],$D$9,0)*MATCH(orderHistory[order_type],$D$13,0)),MATCH(ROW(orderHistory[customer]),ROW(orderHistory[customer])),""),ROWS($A$15:A52)+$B$3)),INDEX(orderHistory[invoice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YEAR(orderHistory[invoice_date]),$D$15,0)),MATCH(ROW(orderHistory[customer]),ROW(orderHistory[customer])),""),ROWS($A$15:A52)+$B$3))),IF($D$15="",INDEX(orderHistory[invoice_date],SMALL(IF(ISNUMBER(MATCH(orderHistory[customer],$D$9,0)*MATCH(orderHistory[status],$D$11,0)*MATCH(orderHistory[order_type],$D$13,0)),MATCH(ROW(orderHistory[customer]),ROW(orderHistory[customer])),""),ROWS($A$15:A52)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R47" s="458" t="str">
        <f t="array" ref="R47">IFERROR(IF($D$9="",IF($D$11="",IF($D$13="",IF($D$15="",INDEX(orderHistory[inv_amount],SMALL(MATCH(ROW(orderHistory[customer]),ROW(orderHistory[customer])),ROWS($A$15:A52)+$B$3)),INDEX(orderHistory[inv_amount],SMALL(IF(ISNUMBER(MATCH(YEAR(orderHistory[invoice_date]),$D$15,0)),MATCH(ROW(orderHistory[customer]),ROW(orderHistory[customer])),""),ROWS($A$15:A52)+$B$3))),IF($D$15="",INDEX(orderHistory[inv_amount],SMALL(IF(ISNUMBER(MATCH(orderHistory[order_type],$D$13,0)),MATCH(ROW(orderHistory[customer]),ROW(orderHistory[customer])),""),ROWS($A$15:A52)+$B$3)),INDEX(orderHistory[inv_amount],SMALL(IF(ISNUMBER(MATCH(orderHistory[order_type],$D$13,0)*MATCH(YEAR(orderHistory[invoice_date]),$D$15,0)),MATCH(ROW(orderHistory[customer]),ROW(orderHistory[customer])),""),ROWS($A$15:A52)+$B$3)))),IF($D$13="",IF($D$15="",INDEX(orderHistory[inv_amount],SMALL(IF(ISNUMBER(MATCH(orderHistory[status],$D$11,0)),MATCH(ROW(orderHistory[customer]),ROW(orderHistory[customer])),""),ROWS($A$15:A52)+$B$3)),INDEX(orderHistory[inv_amount],SMALL(IF(ISNUMBER(MATCH(orderHistory[status],$D$11,0)*MATCH(YEAR(orderHistory[invoice_date]),$D$15,0)),MATCH(ROW(orderHistory[customer]),ROW(orderHistory[customer])),""),ROWS($A$15:A52)+$B$3))),IF($D$15="",INDEX(orderHistory[inv_amount],SMALL(IF(ISNUMBER(MATCH(orderHistory[status],$D$11,0)*MATCH(orderHistory[order_type],$D$13,0)),MATCH(ROW(orderHistory[customer]),ROW(orderHistory[customer])),""),ROWS($A$15:A52)+$B$3)),INDEX(orderHistory[inv_amount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_amount],SMALL(IF(ISNUMBER(MATCH(orderHistory[customer],$D$9,0)),MATCH(ROW(orderHistory[customer]),ROW(orderHistory[customer])),""),ROWS($A$15:A52)+$B$3)),INDEX(orderHistory[inv_amount],SMALL(IF(ISNUMBER(MATCH(orderHistory[customer],$D$9,0)*MATCH(YEAR(orderHistory[invoice_date]),$D$15,0)),MATCH(ROW(orderHistory[customer]),ROW(orderHistory[customer])),""),ROWS($A$15:A52)+$B$3))),IF($D$15="",INDEX(orderHistory[inv_amount],SMALL(IF(ISNUMBER(MATCH(orderHistory[customer],$D$9,0)*MATCH(orderHistory[order_type],$D$13,0)),MATCH(ROW(orderHistory[customer]),ROW(orderHistory[customer])),""),ROWS($A$15:A52)+$B$3)),INDEX(orderHistory[inv_amount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YEAR(orderHistory[inv_amount]),$D$15,0)),MATCH(ROW(orderHistory[customer]),ROW(orderHistory[customer])),""),ROWS($A$15:A52)+$B$3))),IF($D$15="",INDEX(orderHistory[inv_amount],SMALL(IF(ISNUMBER(MATCH(orderHistory[customer],$D$9,0)*MATCH(orderHistory[status],$D$11,0)*MATCH(orderHistory[order_type],$D$13,0)),MATCH(ROW(orderHistory[customer]),ROW(orderHistory[customer])),""),ROWS($A$15:A52)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S47" s="569" t="str">
        <f t="array" ref="S47">IFERROR(IF($D$9="",IF($D$11="",IF($D$13="",IF($D$15="",INDEX(orderHistory[lock_goods],SMALL(MATCH(ROW(orderHistory[customer]),ROW(orderHistory[customer])),ROWS($A$15:A52)+$B$3)),INDEX(orderHistory[lock_goods],SMALL(IF(ISNUMBER(MATCH(YEAR(orderHistory[invoice_date]),$D$15,0)),MATCH(ROW(orderHistory[customer]),ROW(orderHistory[customer])),""),ROWS($A$15:A52)+$B$3))),IF($D$15="",INDEX(orderHistory[lock_goods],SMALL(IF(ISNUMBER(MATCH(orderHistory[order_type],$D$13,0)),MATCH(ROW(orderHistory[customer]),ROW(orderHistory[customer])),""),ROWS($A$15:A52)+$B$3)),INDEX(orderHistory[lock_goods],SMALL(IF(ISNUMBER(MATCH(orderHistory[order_type],$D$13,0)*MATCH(YEAR(orderHistory[invoice_date]),$D$15,0)),MATCH(ROW(orderHistory[customer]),ROW(orderHistory[customer])),""),ROWS($A$15:A52)+$B$3)))),IF($D$13="",IF($D$15="",INDEX(orderHistory[lock_goods],SMALL(IF(ISNUMBER(MATCH(orderHistory[status],$D$11,0)),MATCH(ROW(orderHistory[customer]),ROW(orderHistory[customer])),""),ROWS($A$15:A52)+$B$3)),INDEX(orderHistory[lock_goods],SMALL(IF(ISNUMBER(MATCH(orderHistory[status],$D$11,0)*MATCH(YEAR(orderHistory[invoice_date]),$D$15,0)),MATCH(ROW(orderHistory[customer]),ROW(orderHistory[customer])),""),ROWS($A$15:A52)+$B$3))),IF($D$15="",INDEX(orderHistory[lock_goods],SMALL(IF(ISNUMBER(MATCH(orderHistory[status],$D$11,0)*MATCH(orderHistory[order_type],$D$13,0)),MATCH(ROW(orderHistory[customer]),ROW(orderHistory[customer])),""),ROWS($A$15:A52)+$B$3)),INDEX(orderHistory[lock_good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lock_goods],SMALL(IF(ISNUMBER(MATCH(orderHistory[customer],$D$9,0)),MATCH(ROW(orderHistory[customer]),ROW(orderHistory[customer])),""),ROWS($A$15:A52)+$B$3)),INDEX(orderHistory[lock_goods],SMALL(IF(ISNUMBER(MATCH(orderHistory[customer],$D$9,0)*MATCH(YEAR(orderHistory[invoice_date]),$D$15,0)),MATCH(ROW(orderHistory[customer]),ROW(orderHistory[customer])),""),ROWS($A$15:A52)+$B$3))),IF($D$15="",INDEX(orderHistory[lock_goods],SMALL(IF(ISNUMBER(MATCH(orderHistory[customer],$D$9,0)*MATCH(orderHistory[order_type],$D$13,0)),MATCH(ROW(orderHistory[customer]),ROW(orderHistory[customer])),""),ROWS($A$15:A52)+$B$3)),INDEX(orderHistory[lock_good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lock_goods],SMALL(IF(ISNUMBER(MATCH(orderHistory[customer],$D$9,0)*MATCH(orderHistory[status],$D$11,0)),MATCH(ROW(orderHistory[customer]),ROW(orderHistory[customer])),""),ROWS($A$15:A52)+$B$3)),INDEX(orderHistory[lock_goods],SMALL(IF(ISNUMBER(MATCH(orderHistory[customer],$D$9,0)*MATCH(orderHistory[status],$D$11,0)*MATCH(YEAR(orderHistory[payed]),$D$15,0)),MATCH(ROW(orderHistory[customer]),ROW(orderHistory[customer])),""),ROWS($A$15:A52)+$B$3))),IF($D$15="",INDEX(orderHistory[lock_goods],SMALL(IF(ISNUMBER(MATCH(orderHistory[customer],$D$9,0)*MATCH(orderHistory[status],$D$11,0)*MATCH(orderHistory[order_type],$D$13,0)),MATCH(ROW(orderHistory[customer]),ROW(orderHistory[customer])),""),ROWS($A$15:A52)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T47" s="459" t="str">
        <f t="array" ref="T47">IFERROR(IF($D$9="",IF($D$11="",IF($D$13="",IF($D$15="",INDEX(orderHistory[payed],SMALL(MATCH(ROW(orderHistory[customer]),ROW(orderHistory[customer])),ROWS($A$15:A52)+$B$3)),INDEX(orderHistory[payed],SMALL(IF(ISNUMBER(MATCH(YEAR(orderHistory[invoice_date]),$D$15,0)),MATCH(ROW(orderHistory[customer]),ROW(orderHistory[customer])),""),ROWS($A$15:A52)+$B$3))),IF($D$15="",INDEX(orderHistory[payed],SMALL(IF(ISNUMBER(MATCH(orderHistory[order_type],$D$13,0)),MATCH(ROW(orderHistory[customer]),ROW(orderHistory[customer])),""),ROWS($A$15:A52)+$B$3)),INDEX(orderHistory[payed],SMALL(IF(ISNUMBER(MATCH(orderHistory[order_type],$D$13,0)*MATCH(YEAR(orderHistory[invoice_date]),$D$15,0)),MATCH(ROW(orderHistory[customer]),ROW(orderHistory[customer])),""),ROWS($A$15:A52)+$B$3)))),IF($D$13="",IF($D$15="",INDEX(orderHistory[payed],SMALL(IF(ISNUMBER(MATCH(orderHistory[status],$D$11,0)),MATCH(ROW(orderHistory[customer]),ROW(orderHistory[customer])),""),ROWS($A$15:A52)+$B$3)),INDEX(orderHistory[payed],SMALL(IF(ISNUMBER(MATCH(orderHistory[status],$D$11,0)*MATCH(YEAR(orderHistory[invoice_date]),$D$15,0)),MATCH(ROW(orderHistory[customer]),ROW(orderHistory[customer])),""),ROWS($A$15:A52)+$B$3))),IF($D$15="",INDEX(orderHistory[payed],SMALL(IF(ISNUMBER(MATCH(orderHistory[status],$D$11,0)*MATCH(orderHistory[order_type],$D$13,0)),MATCH(ROW(orderHistory[customer]),ROW(orderHistory[customer])),""),ROWS($A$15:A52)+$B$3)),INDEX(orderHistory[paye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payed],SMALL(IF(ISNUMBER(MATCH(orderHistory[customer],$D$9,0)),MATCH(ROW(orderHistory[customer]),ROW(orderHistory[customer])),""),ROWS($A$15:A52)+$B$3)),INDEX(orderHistory[payed],SMALL(IF(ISNUMBER(MATCH(orderHistory[customer],$D$9,0)*MATCH(YEAR(orderHistory[invoice_date]),$D$15,0)),MATCH(ROW(orderHistory[customer]),ROW(orderHistory[customer])),""),ROWS($A$15:A52)+$B$3))),IF($D$15="",INDEX(orderHistory[payed],SMALL(IF(ISNUMBER(MATCH(orderHistory[customer],$D$9,0)*MATCH(orderHistory[order_type],$D$13,0)),MATCH(ROW(orderHistory[customer]),ROW(orderHistory[customer])),""),ROWS($A$15:A52)+$B$3)),INDEX(orderHistory[paye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YEAR(orderHistory[payed]),$D$15,0)),MATCH(ROW(orderHistory[customer]),ROW(orderHistory[customer])),""),ROWS($A$15:A52)+$B$3))),IF($D$15="",INDEX(orderHistory[payed],SMALL(IF(ISNUMBER(MATCH(orderHistory[customer],$D$9,0)*MATCH(orderHistory[status],$D$11,0)*MATCH(orderHistory[order_type],$D$13,0)),MATCH(ROW(orderHistory[customer]),ROW(orderHistory[customer])),""),ROWS($A$15:A52)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U47" s="454" t="str">
        <f t="array" ref="U47">IFERROR(IF($D$9="",IF($D$11="",IF($D$13="",IF($D$15="",INDEX(orderHistory[shipping_method],SMALL(MATCH(ROW(orderHistory[customer]),ROW(orderHistory[customer])),ROWS($A$15:A52)+$B$3)),INDEX(orderHistory[shipping_method],SMALL(IF(ISNUMBER(MATCH(YEAR(orderHistory[invoice_date]),$D$15,0)),MATCH(ROW(orderHistory[customer]),ROW(orderHistory[customer])),""),ROWS($A$15:A52)+$B$3))),IF($D$15="",INDEX(orderHistory[shipping_method],SMALL(IF(ISNUMBER(MATCH(orderHistory[order_type],$D$13,0)),MATCH(ROW(orderHistory[customer]),ROW(orderHistory[customer])),""),ROWS($A$15:A52)+$B$3)),INDEX(orderHistory[shipping_method],SMALL(IF(ISNUMBER(MATCH(orderHistory[order_type],$D$13,0)*MATCH(YEAR(orderHistory[invoice_date]),$D$15,0)),MATCH(ROW(orderHistory[customer]),ROW(orderHistory[customer])),""),ROWS($A$15:A52)+$B$3)))),IF($D$13="",IF($D$15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YEAR(orderHistory[invoice_date]),$D$15,0)),MATCH(ROW(orderHistory[customer]),ROW(orderHistory[customer])),""),ROWS($A$15:A52)+$B$3))),IF($D$15="",INDEX(orderHistory[shipping_method],SMALL(IF(ISNUMBER(MATCH(orderHistory[status],$D$11,0)*MATCH(orderHistory[order_type],$D$13,0)),MATCH(ROW(orderHistory[customer]),ROW(orderHistory[customer])),""),ROWS($A$15:A52)+$B$3)),INDEX(orderHistory[shipping_metho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YEAR(orderHistory[invoice_date]),$D$15,0)),MATCH(ROW(orderHistory[customer]),ROW(orderHistory[customer])),""),ROWS($A$15:A52)+$B$3))),IF($D$15="",INDEX(orderHistory[shipping_method],SMALL(IF(ISNUMBER(MATCH(orderHistory[customer],$D$9,0)*MATCH(orderHistory[order_type],$D$13,0)),MATCH(ROW(orderHistory[customer]),ROW(orderHistory[customer])),""),ROWS($A$15:A52)+$B$3)),INDEX(orderHistory[shipping_metho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YEAR(orderHistory[shipping_method]),$D$15,0)),MATCH(ROW(orderHistory[customer]),ROW(orderHistory[customer])),""),ROWS($A$15:A52)+$B$3))),IF($D$15="",INDEX(orderHistory[shipping_method],SMALL(IF(ISNUMBER(MATCH(orderHistory[customer],$D$9,0)*MATCH(orderHistory[status],$D$11,0)*MATCH(orderHistory[order_type],$D$13,0)),MATCH(ROW(orderHistory[customer]),ROW(orderHistory[customer])),""),ROWS($A$15:A52)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V47" s="460" t="str">
        <f t="array" ref="V47">IFERROR(IF($D$9="",IF($D$11="",IF($D$13="",IF($D$15="",INDEX(orderHistory[status],SMALL(MATCH(ROW(orderHistory[customer]),ROW(orderHistory[customer])),ROWS($A$15:A52)+$B$3)),INDEX(orderHistory[status],SMALL(IF(ISNUMBER(MATCH(YEAR(orderHistory[invoice_date]),$D$15,0)),MATCH(ROW(orderHistory[customer]),ROW(orderHistory[customer])),""),ROWS($A$15:A52)+$B$3))),IF($D$15="",INDEX(orderHistory[status],SMALL(IF(ISNUMBER(MATCH(orderHistory[order_type],$D$13,0)),MATCH(ROW(orderHistory[customer]),ROW(orderHistory[customer])),""),ROWS($A$15:A52)+$B$3)),INDEX(orderHistory[status],SMALL(IF(ISNUMBER(MATCH(orderHistory[order_type],$D$13,0)*MATCH(YEAR(orderHistory[invoice_date]),$D$15,0)),MATCH(ROW(orderHistory[customer]),ROW(orderHistory[customer])),""),ROWS($A$15:A52)+$B$3)))),IF($D$13="",IF($D$15="",INDEX(orderHistory[status],SMALL(IF(ISNUMBER(MATCH(orderHistory[status],$D$11,0)),MATCH(ROW(orderHistory[customer]),ROW(orderHistory[customer])),""),ROWS($A$15:A52)+$B$3)),INDEX(orderHistory[status],SMALL(IF(ISNUMBER(MATCH(orderHistory[status],$D$11,0)*MATCH(YEAR(orderHistory[invoice_date]),$D$15,0)),MATCH(ROW(orderHistory[customer]),ROW(orderHistory[customer])),""),ROWS($A$15:A52)+$B$3))),IF($D$15="",INDEX(orderHistory[status],SMALL(IF(ISNUMBER(MATCH(orderHistory[status],$D$11,0)*MATCH(orderHistory[order_type],$D$13,0)),MATCH(ROW(orderHistory[customer]),ROW(orderHistory[customer])),""),ROWS($A$15:A52)+$B$3)),INDEX(orderHistory[statu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tatus],SMALL(IF(ISNUMBER(MATCH(orderHistory[customer],$D$9,0)),MATCH(ROW(orderHistory[customer]),ROW(orderHistory[customer])),""),ROWS($A$15:A52)+$B$3)),INDEX(orderHistory[status],SMALL(IF(ISNUMBER(MATCH(orderHistory[customer],$D$9,0)*MATCH(YEAR(orderHistory[invoice_date]),$D$15,0)),MATCH(ROW(orderHistory[customer]),ROW(orderHistory[customer])),""),ROWS($A$15:A52)+$B$3))),IF($D$15="",INDEX(orderHistory[status],SMALL(IF(ISNUMBER(MATCH(orderHistory[customer],$D$9,0)*MATCH(orderHistory[order_type],$D$13,0)),MATCH(ROW(orderHistory[customer]),ROW(orderHistory[customer])),""),ROWS($A$15:A52)+$B$3)),INDEX(orderHistory[statu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YEAR(orderHistory[status]),$D$15,0)),MATCH(ROW(orderHistory[customer]),ROW(orderHistory[customer])),""),ROWS($A$15:A52)+$B$3))),IF($D$15="",INDEX(orderHistory[status],SMALL(IF(ISNUMBER(MATCH(orderHistory[customer],$D$9,0)*MATCH(orderHistory[status],$D$11,0)*MATCH(orderHistory[order_type],$D$13,0)),MATCH(ROW(orderHistory[customer]),ROW(orderHistory[customer])),""),ROWS($A$15:A52)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W47" s="75"/>
      <c r="X47" s="332"/>
      <c r="BG47" s="245"/>
      <c r="BK47" s="366"/>
      <c r="BL47" s="367"/>
      <c r="BM47" s="368"/>
      <c r="BN47" s="367"/>
      <c r="BO47" s="368"/>
      <c r="BZ47" s="476"/>
      <c r="CA47" s="477" t="str">
        <f>IF(BZ47="","",INDEX(bhpc_data[description],MATCH(BZ47,bhpc_data[sku],0)))</f>
        <v/>
      </c>
      <c r="CB47" s="480"/>
      <c r="CC47" s="490"/>
      <c r="CD47" s="494"/>
      <c r="CE47" s="481"/>
      <c r="CF47" s="482"/>
      <c r="CG47" s="483" t="str">
        <f>IFERROR(ROUNDUP(CB47/INDEX(bhpc_data[units_per_carton],MATCH(BZ47,bhpc_data[sku],0)),0),"")</f>
        <v/>
      </c>
      <c r="CH47" s="484" t="str">
        <f>IFERROR(ROUNDUP(CD47/INDEX(bhpc_data[units_per_carton],MATCH(BZ47,bhpc_data[sku],0)),0),"")</f>
        <v/>
      </c>
      <c r="CI47" s="484" t="str">
        <f>IFERROR(ROUNDUP(CF47/INDEX(bhpc_data[units_per_carton],MATCH(BZ47,bhpc_data[sku])),0),"")</f>
        <v/>
      </c>
      <c r="CJ47" s="484" t="str">
        <f>IFERROR(((CB47+CD47+CF47)/INDEX(bhpc_data[units_per_carton],MATCH(BZ47,bhpc_data[sku],0)))*INDEX(bhpc_data[net_weight],MATCH(BZ47,bhpc_data[sku],0)),"")</f>
        <v/>
      </c>
      <c r="CK47" s="484" t="str">
        <f>IFERROR(((CB47+CD47+CF47)/INDEX(bhpc_data[units_per_carton],MATCH(BZ47,bhpc_data[sku],0)))*INDEX(bhpc_data[gross_weight],MATCH(BZ47,bhpc_data[sku],0)),"")</f>
        <v/>
      </c>
      <c r="CL47" s="485" t="str">
        <f>IFERROR((CB47+CD47+CF47)/INDEX(bhpc_data[units_per_carton],MATCH(BZ47,bhpc_data[sku],0))*INDEX(bhpc_data[lenght],MATCH(BZ47,bhpc_data[sku],0))*INDEX(bhpc_data[width],MATCH(BZ47,bhpc_data[sku],0))*INDEX(bhpc_data[height],MATCH(BZ47,bhpc_data[sku],0))/1000000000,"")</f>
        <v/>
      </c>
      <c r="CM47" s="486" t="str">
        <f>IFERROR(INDEX(bhpc_data[category],MATCH(BZ47,bhpc_data[sku],0)),"")</f>
        <v/>
      </c>
      <c r="CN47" s="486" t="str">
        <f>IFERROR(INDEX(bhpc_data[size1],MATCH(BZ47,bhpc_data[sku],0)),"")</f>
        <v/>
      </c>
      <c r="CO47" s="487" t="str">
        <f>IFERROR(INDEX(bhpc_data[hs_code],MATCH(BZ47,bhpc_data[sku],0)),"")</f>
        <v/>
      </c>
      <c r="CP47" s="482"/>
      <c r="CQ47" s="492" t="str">
        <f>IFERROR(IF(BZ47="","",IF($BX$15="SALE",INDEX(inventory[COSTO UNITARIO],MATCH(BZ47,inventory[ARTICOLO],0)),IF($BX$15="SAMPLING",INDEX(inventory[COSTO UNITARIO],MATCH(BZ47,inventory[ARTICOLO],0)),""))),"")</f>
        <v/>
      </c>
      <c r="CR47" s="492" t="str">
        <f t="shared" si="5"/>
        <v/>
      </c>
      <c r="CS47" s="489" t="str">
        <f t="shared" si="6"/>
        <v/>
      </c>
      <c r="CT47" s="573" t="str">
        <f t="shared" si="7"/>
        <v/>
      </c>
      <c r="CU47" s="350"/>
      <c r="CV47" s="350"/>
      <c r="CW47" s="350"/>
      <c r="CX47" s="350"/>
      <c r="CY47" s="350"/>
      <c r="CZ47" s="350"/>
      <c r="DA47" s="350" t="str">
        <f>IFERROR(VLOOKUP(BZ47,bhpc_data[],22,FALSE),"")</f>
        <v/>
      </c>
      <c r="EE47" s="541" t="str" cm="1">
        <f t="array" ref="EE47">IFERROR(IF($EC$9="",IF($EC$11="",IF($EC$13="",INDEX(bhpc_data[sku],SMALL(MATCH(ROW(bhpc_data[sku]),ROW(bhpc_data[sku])),ROWS($A$15:A52)+$B$3)),INDEX(bhpc_data[sku],SMALL(IF(ISNUMBER(MATCH(bhpc_data[size1],$EC$13,0)),MATCH(ROW(bhpc_data[sku]),ROW(bhpc_data[sku])),""),ROWS($A$15:A52)+$B$3))),IF($EC$13="",INDEX(bhpc_data[sku],SMALL(IF(ISNUMBER(MATCH(bhpc_data[sex],$EC$11,0)),MATCH(ROW(bhpc_data[sku]),ROW(bhpc_data[sku])),""),ROWS($A$15:A52)+$B$3)),INDEX(bhpc_data[sku],SMALL(IF(ISNUMBER(MATCH(bhpc_data[sex],$EC$11,0)*MATCH(bhpc_data[size1],$EC$13,0)),MATCH(ROW(bhpc_data[sku]),ROW(bhpc_data[sku])),""),ROWS($A$15:A52)+$B$3)))),IF($EC$11="",IF($EC$13="",INDEX(bhpc_data[sku],SMALL(IF(ISNUMBER(MATCH(bhpc_data[category],$EC$9,0)),MATCH(ROW(bhpc_data[sku]),ROW(bhpc_data[sku])),""),ROWS($A$15:A52)+$B$3)),INDEX(bhpc_data[sku],SMALL(IF(ISNUMBER(MATCH(bhpc_data[category],$EC$9,0)*MATCH(bhpc_data[size1],$EC$13,0)),MATCH(ROW(bhpc_data[sku]),ROW(bhpc_data[sku])),""),ROWS($A$15:A52)+$B$3))),IF($EC$13="",INDEX(bhpc_data[sku],SMALL(IF(ISNUMBER(MATCH(bhpc_data[category],$EC$9,0)*MATCH(bhpc_data[sex],$EC$11,0)),MATCH(ROW(bhpc_data[sku]),ROW(bhpc_data[sku])),""),ROWS($A$15:A52)+$B$3)),INDEX(bhpc_data[sku],SMALL(IF(ISNUMBER(MATCH(bhpc_data[category],$EC$9,0)*MATCH(bhpc_data[sex],$EC$11,0)*MATCH(bhpc_data[size1],$EC$13,0)),MATCH(ROW(bhpc_data[sku]),ROW(bhpc_data[sku])),""),ROWS($A$15:A52)+$B$3))))),"")</f>
        <v>P05003</v>
      </c>
      <c r="EF47" s="542" t="str" cm="1">
        <f t="array" ref="EF47">IFERROR(IF($EC$9="",IF($EC$11="",IF($EC$13="",INDEX(bhpc_data[description],SMALL(MATCH(ROW(bhpc_data[sku]),ROW(bhpc_data[sku])),ROWS($A$15:A52)+$B$3)),INDEX(bhpc_data[description],SMALL(IF(ISNUMBER(MATCH(bhpc_data[size1],$EC$13,0)),MATCH(ROW(bhpc_data[sku]),ROW(bhpc_data[sku])),""),ROWS($A$15:A52)+$B$3))),IF($EC$13="",INDEX(bhpc_data[description],SMALL(IF(ISNUMBER(MATCH(bhpc_data[sex],$EC$11,0)),MATCH(ROW(bhpc_data[sku]),ROW(bhpc_data[sku])),""),ROWS($A$15:A52)+$B$3)),INDEX(bhpc_data[description],SMALL(IF(ISNUMBER(MATCH(bhpc_data[sex],$EC$11,0)*MATCH(bhpc_data[size1],$EC$13,0)),MATCH(ROW(bhpc_data[sku]),ROW(bhpc_data[sku])),""),ROWS($A$15:A52)+$B$3)))),IF($EC$11="",IF($EC$13="",INDEX(bhpc_data[description],SMALL(IF(ISNUMBER(MATCH(bhpc_data[category],$EC$9,0)),MATCH(ROW(bhpc_data[sku]),ROW(bhpc_data[sku])),""),ROWS($A$15:A52)+$B$3)),INDEX(bhpc_data[description],SMALL(IF(ISNUMBER(MATCH(bhpc_data[category],$EC$9,0)*MATCH(bhpc_data[size1],$EC$13,0)),MATCH(ROW(bhpc_data[sku]),ROW(bhpc_data[sku])),""),ROWS($A$15:A52)+$B$3))),IF($EC$13="",INDEX(bhpc_data[description],SMALL(IF(ISNUMBER(MATCH(bhpc_data[category],$EC$9,0)*MATCH(bhpc_data[sex],$EC$11,0)),MATCH(ROW(bhpc_data[sku]),ROW(bhpc_data[sku])),""),ROWS($A$15:A52)+$B$3)),INDEX(bhpc_data[description],SMALL(IF(ISNUMBER(MATCH(bhpc_data[category],$EC$9,0)*MATCH(bhpc_data[sex],$EC$11,0)*MATCH(bhpc_data[size1],$EC$13,0)),MATCH(ROW(bhpc_data[sku]),ROW(bhpc_data[sku])),""),ROWS($A$15:A52)+$B$3))))),"")</f>
        <v>BHPC SPORT MEN 2 DEO 175ML</v>
      </c>
      <c r="EG47" s="543">
        <f>IFERROR(IF('BHPC MANAGER'!$EE47="","",INDEX(inventory[ESISTENZA],MATCH('BHPC MANAGER'!$EE47,inventory[ARTICOLO],0))),0)</f>
        <v>9452</v>
      </c>
      <c r="EH47" s="544">
        <v>-5576</v>
      </c>
      <c r="EI47" s="544">
        <f t="shared" si="3"/>
        <v>3876</v>
      </c>
      <c r="EJ47" s="545">
        <v>0</v>
      </c>
      <c r="EK47" s="546">
        <f t="shared" si="4"/>
        <v>3876</v>
      </c>
      <c r="EO47" s="245" t="str">
        <f t="array" ref="EO47">IFERROR(INDEX(orderHistory[order_no],SMALL(IF(ISNUMBER(MATCH(orderHistory[status],$EO$7,0)),MATCH(ROW(orderHistory[order_no]),ROW(orderHistory[order_no])),""),ROWS($A$15:A52))),"")</f>
        <v/>
      </c>
    </row>
    <row r="48" spans="6:228" ht="15" customHeight="1" x14ac:dyDescent="0.35">
      <c r="J48" s="332"/>
      <c r="K48" s="332"/>
      <c r="L48" s="452" t="str">
        <f t="array" ref="L48">IFERROR(IF($D$9="",IF($D$11="",IF($D$13="",IF($D$15="",INDEX(orderHistory[customer],SMALL(MATCH(ROW(orderHistory[customer]),ROW(orderHistory[customer])),ROWS($A$15:A53)+$B$3)),INDEX(orderHistory[customer],SMALL(IF(ISNUMBER(MATCH(YEAR(orderHistory[invoice_date]),$D$15,0)),MATCH(ROW(orderHistory[customer]),ROW(orderHistory[customer])),""),ROWS($A$15:A53)+$B$3))),IF($D$15="",INDEX(orderHistory[customer],SMALL(IF(ISNUMBER(MATCH(orderHistory[order_type],$D$13,0)),MATCH(ROW(orderHistory[customer]),ROW(orderHistory[customer])),""),ROWS($A$15:A53)+$B$3)),INDEX(orderHistory[customer],SMALL(IF(ISNUMBER(MATCH(orderHistory[order_type],$D$13,0)*MATCH(YEAR(orderHistory[invoice_date]),$D$15,0)),MATCH(ROW(orderHistory[customer]),ROW(orderHistory[customer])),""),ROWS($A$15:A53)+$B$3)))),IF($D$13="",IF($D$15="",INDEX(orderHistory[customer],SMALL(IF(ISNUMBER(MATCH(orderHistory[status],$D$11,0)),MATCH(ROW(orderHistory[customer]),ROW(orderHistory[customer])),""),ROWS($A$15:A53)+$B$3)),INDEX(orderHistory[customer],SMALL(IF(ISNUMBER(MATCH(orderHistory[status],$D$11,0)*MATCH(YEAR(orderHistory[invoice_date]),$D$15,0)),MATCH(ROW(orderHistory[customer]),ROW(orderHistory[customer])),""),ROWS($A$15:A53)+$B$3))),IF($D$15="",INDEX(orderHistory[customer],SMALL(IF(ISNUMBER(MATCH(orderHistory[status],$D$11,0)*MATCH(orderHistory[order_type],$D$13,0)),MATCH(ROW(orderHistory[customer]),ROW(orderHistory[customer])),""),ROWS($A$15:A53)+$B$3)),INDEX(orderHistory[customer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customer],SMALL(IF(ISNUMBER(MATCH(orderHistory[customer],$D$9,0)),MATCH(ROW(orderHistory[customer]),ROW(orderHistory[customer])),""),ROWS($A$15:A53)+$B$3)),INDEX(orderHistory[customer],SMALL(IF(ISNUMBER(MATCH(orderHistory[customer],$D$9,0)*MATCH(YEAR(orderHistory[invoice_date]),$D$15,0)),MATCH(ROW(orderHistory[customer]),ROW(orderHistory[customer])),""),ROWS($A$15:A53)+$B$3))),IF($D$15="",INDEX(orderHistory[customer],SMALL(IF(ISNUMBER(MATCH(orderHistory[customer],$D$9,0)*MATCH(orderHistory[order_type],$D$13,0)),MATCH(ROW(orderHistory[customer]),ROW(orderHistory[customer])),""),ROWS($A$15:A53)+$B$3)),INDEX(orderHistory[customer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YEAR(orderHistory[invoice_date]),$D$15,0)),MATCH(ROW(orderHistory[customer]),ROW(orderHistory[customer])),""),ROWS($A$15:A53)+$B$3))),IF($D$15="",INDEX(orderHistory[customer],SMALL(IF(ISNUMBER(MATCH(orderHistory[customer],$D$9,0)*MATCH(orderHistory[status],$D$11,0)*MATCH(orderHistory[order_type],$D$13,0)),MATCH(ROW(orderHistory[customer]),ROW(orderHistory[customer])),""),ROWS($A$15:A53)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M48" s="453" t="str">
        <f t="array" ref="M48">IFERROR(IF($D$9="",IF($D$11="",IF($D$13="",IF($D$15="",INDEX(orderHistory[order_no],SMALL(MATCH(ROW(orderHistory[customer]),ROW(orderHistory[customer])),ROWS($A$15:A53)+$B$3)),INDEX(orderHistory[order_no],SMALL(IF(ISNUMBER(MATCH(YEAR(orderHistory[invoice_date]),$D$15,0)),MATCH(ROW(orderHistory[customer]),ROW(orderHistory[customer])),""),ROWS($A$15:A53)+$B$3))),IF($D$15="",INDEX(orderHistory[order_no],SMALL(IF(ISNUMBER(MATCH(orderHistory[order_type],$D$13,0)),MATCH(ROW(orderHistory[customer]),ROW(orderHistory[customer])),""),ROWS($A$15:A53)+$B$3)),INDEX(orderHistory[order_no],SMALL(IF(ISNUMBER(MATCH(orderHistory[order_type],$D$13,0)*MATCH(YEAR(orderHistory[invoice_date]),$D$15,0)),MATCH(ROW(orderHistory[customer]),ROW(orderHistory[customer])),""),ROWS($A$15:A53)+$B$3)))),IF($D$13="",IF($D$15="",INDEX(orderHistory[order_no],SMALL(IF(ISNUMBER(MATCH(orderHistory[status],$D$11,0)),MATCH(ROW(orderHistory[customer]),ROW(orderHistory[customer])),""),ROWS($A$15:A53)+$B$3)),INDEX(orderHistory[order_no],SMALL(IF(ISNUMBER(MATCH(orderHistory[status],$D$11,0)*MATCH(YEAR(orderHistory[invoice_date]),$D$15,0)),MATCH(ROW(orderHistory[customer]),ROW(orderHistory[customer])),""),ROWS($A$15:A53)+$B$3))),IF($D$15="",INDEX(orderHistory[order_no],SMALL(IF(ISNUMBER(MATCH(orderHistory[status],$D$11,0)*MATCH(orderHistory[order_type],$D$13,0)),MATCH(ROW(orderHistory[customer]),ROW(orderHistory[customer])),""),ROWS($A$15:A53)+$B$3)),INDEX(orderHistory[order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no],SMALL(IF(ISNUMBER(MATCH(orderHistory[customer],$D$9,0)),MATCH(ROW(orderHistory[customer]),ROW(orderHistory[customer])),""),ROWS($A$15:A53)+$B$3)),INDEX(orderHistory[order_no],SMALL(IF(ISNUMBER(MATCH(orderHistory[customer],$D$9,0)*MATCH(YEAR(orderHistory[invoice_date]),$D$15,0)),MATCH(ROW(orderHistory[customer]),ROW(orderHistory[customer])),""),ROWS($A$15:A53)+$B$3))),IF($D$15="",INDEX(orderHistory[order_no],SMALL(IF(ISNUMBER(MATCH(orderHistory[customer],$D$9,0)*MATCH(orderHistory[order_type],$D$13,0)),MATCH(ROW(orderHistory[customer]),ROW(orderHistory[customer])),""),ROWS($A$15:A53)+$B$3)),INDEX(orderHistory[order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YEAR(orderHistory[invoice_date]),$D$15,0)),MATCH(ROW(orderHistory[customer]),ROW(orderHistory[customer])),""),ROWS($A$15:A53)+$B$3))),IF($D$15="",INDEX(orderHistory[order_no],SMALL(IF(ISNUMBER(MATCH(orderHistory[customer],$D$9,0)*MATCH(orderHistory[status],$D$11,0)*MATCH(orderHistory[order_type],$D$13,0)),MATCH(ROW(orderHistory[customer]),ROW(orderHistory[customer])),""),ROWS($A$15:A53)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N48" s="454" t="str">
        <f t="array" ref="N48">IFERROR(IF($D$9="",IF($D$11="",IF($D$13="",IF($D$15="",INDEX(orderHistory[order_type],SMALL(MATCH(ROW(orderHistory[customer]),ROW(orderHistory[customer])),ROWS($A$15:A53)+$B$3)),INDEX(orderHistory[order_type],SMALL(IF(ISNUMBER(MATCH(YEAR(orderHistory[invoice_date]),$D$15,0)),MATCH(ROW(orderHistory[customer]),ROW(orderHistory[customer])),""),ROWS($A$15:A53)+$B$3))),IF($D$15="",INDEX(orderHistory[order_type],SMALL(IF(ISNUMBER(MATCH(orderHistory[order_type],$D$13,0)),MATCH(ROW(orderHistory[customer]),ROW(orderHistory[customer])),""),ROWS($A$15:A53)+$B$3)),INDEX(orderHistory[order_type],SMALL(IF(ISNUMBER(MATCH(orderHistory[order_type],$D$13,0)*MATCH(YEAR(orderHistory[invoice_date]),$D$15,0)),MATCH(ROW(orderHistory[customer]),ROW(orderHistory[customer])),""),ROWS($A$15:A53)+$B$3)))),IF($D$13="",IF($D$15="",INDEX(orderHistory[order_type],SMALL(IF(ISNUMBER(MATCH(orderHistory[status],$D$11,0)),MATCH(ROW(orderHistory[customer]),ROW(orderHistory[customer])),""),ROWS($A$15:A53)+$B$3)),INDEX(orderHistory[order_type],SMALL(IF(ISNUMBER(MATCH(orderHistory[status],$D$11,0)*MATCH(YEAR(orderHistory[invoice_date]),$D$15,0)),MATCH(ROW(orderHistory[customer]),ROW(orderHistory[customer])),""),ROWS($A$15:A53)+$B$3))),IF($D$15="",INDEX(orderHistory[order_type],SMALL(IF(ISNUMBER(MATCH(orderHistory[status],$D$11,0)*MATCH(orderHistory[order_type],$D$13,0)),MATCH(ROW(orderHistory[customer]),ROW(orderHistory[customer])),""),ROWS($A$15:A53)+$B$3)),INDEX(orderHistory[order_typ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type],SMALL(IF(ISNUMBER(MATCH(orderHistory[customer],$D$9,0)),MATCH(ROW(orderHistory[customer]),ROW(orderHistory[customer])),""),ROWS($A$15:A53)+$B$3)),INDEX(orderHistory[order_type],SMALL(IF(ISNUMBER(MATCH(orderHistory[customer],$D$9,0)*MATCH(YEAR(orderHistory[invoice_date]),$D$15,0)),MATCH(ROW(orderHistory[customer]),ROW(orderHistory[customer])),""),ROWS($A$15:A53)+$B$3))),IF($D$15="",INDEX(orderHistory[order_type],SMALL(IF(ISNUMBER(MATCH(orderHistory[customer],$D$9,0)*MATCH(orderHistory[order_type],$D$13,0)),MATCH(ROW(orderHistory[customer]),ROW(orderHistory[customer])),""),ROWS($A$15:A53)+$B$3)),INDEX(orderHistory[order_typ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YEAR(orderHistory[invoice_date]),$D$15,0)),MATCH(ROW(orderHistory[customer]),ROW(orderHistory[customer])),""),ROWS($A$15:A53)+$B$3))),IF($D$15="",INDEX(orderHistory[order_type],SMALL(IF(ISNUMBER(MATCH(orderHistory[customer],$D$9,0)*MATCH(orderHistory[status],$D$11,0)*MATCH(orderHistory[order_type],$D$13,0)),MATCH(ROW(orderHistory[customer]),ROW(orderHistory[customer])),""),ROWS($A$15:A53)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O48" s="455" t="str">
        <f t="array" ref="O48">IFERROR(IF($D$9="",IF($D$11="",IF($D$13="",IF($D$15="",INDEX(orderHistory[order_date],SMALL(MATCH(ROW(orderHistory[customer]),ROW(orderHistory[customer])),ROWS($A$15:A53)+$B$3)),INDEX(orderHistory[order_date],SMALL(IF(ISNUMBER(MATCH(YEAR(orderHistory[invoice_date]),$D$15,0)),MATCH(ROW(orderHistory[customer]),ROW(orderHistory[customer])),""),ROWS($A$15:A53)+$B$3))),IF($D$15="",INDEX(orderHistory[order_date],SMALL(IF(ISNUMBER(MATCH(orderHistory[order_type],$D$13,0)),MATCH(ROW(orderHistory[customer]),ROW(orderHistory[customer])),""),ROWS($A$15:A53)+$B$3)),INDEX(orderHistory[order_date],SMALL(IF(ISNUMBER(MATCH(orderHistory[order_type],$D$13,0)*MATCH(YEAR(orderHistory[invoice_date]),$D$15,0)),MATCH(ROW(orderHistory[customer]),ROW(orderHistory[customer])),""),ROWS($A$15:A53)+$B$3)))),IF($D$13="",IF($D$15="",INDEX(orderHistory[order_date],SMALL(IF(ISNUMBER(MATCH(orderHistory[status],$D$11,0)),MATCH(ROW(orderHistory[customer]),ROW(orderHistory[customer])),""),ROWS($A$15:A53)+$B$3)),INDEX(orderHistory[order_date],SMALL(IF(ISNUMBER(MATCH(orderHistory[status],$D$11,0)*MATCH(YEAR(orderHistory[invoice_date]),$D$15,0)),MATCH(ROW(orderHistory[customer]),ROW(orderHistory[customer])),""),ROWS($A$15:A53)+$B$3))),IF($D$15="",INDEX(orderHistory[order_date],SMALL(IF(ISNUMBER(MATCH(orderHistory[status],$D$11,0)*MATCH(orderHistory[order_type],$D$13,0)),MATCH(ROW(orderHistory[customer]),ROW(orderHistory[customer])),""),ROWS($A$15:A53)+$B$3)),INDEX(orderHistory[order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date],SMALL(IF(ISNUMBER(MATCH(orderHistory[customer],$D$9,0)),MATCH(ROW(orderHistory[customer]),ROW(orderHistory[customer])),""),ROWS($A$15:A53)+$B$3)),INDEX(orderHistory[order_date],SMALL(IF(ISNUMBER(MATCH(orderHistory[customer],$D$9,0)*MATCH(YEAR(orderHistory[invoice_date]),$D$15,0)),MATCH(ROW(orderHistory[customer]),ROW(orderHistory[customer])),""),ROWS($A$15:A53)+$B$3))),IF($D$15="",INDEX(orderHistory[order_date],SMALL(IF(ISNUMBER(MATCH(orderHistory[customer],$D$9,0)*MATCH(orderHistory[order_type],$D$13,0)),MATCH(ROW(orderHistory[customer]),ROW(orderHistory[customer])),""),ROWS($A$15:A53)+$B$3)),INDEX(orderHistory[order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YEAR(orderHistory[invoice_date]),$D$15,0)),MATCH(ROW(orderHistory[customer]),ROW(orderHistory[customer])),""),ROWS($A$15:A53)+$B$3))),IF($D$15="",INDEX(orderHistory[order_date],SMALL(IF(ISNUMBER(MATCH(orderHistory[customer],$D$9,0)*MATCH(orderHistory[status],$D$11,0)*MATCH(orderHistory[order_type],$D$13,0)),MATCH(ROW(orderHistory[customer]),ROW(orderHistory[customer])),""),ROWS($A$15:A53)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P48" s="456" t="str">
        <f t="array" ref="P48">IFERROR(IF($D$9="",IF($D$11="",IF($D$13="",IF($D$15="",INDEX(orderHistory[invoice_no],SMALL(MATCH(ROW(orderHistory[customer]),ROW(orderHistory[customer])),ROWS($A$15:A53)+$B$3)),INDEX(orderHistory[invoice_no],SMALL(IF(ISNUMBER(MATCH(YEAR(orderHistory[invoice_date]),$D$15,0)),MATCH(ROW(orderHistory[customer]),ROW(orderHistory[customer])),""),ROWS($A$15:A53)+$B$3))),IF($D$15="",INDEX(orderHistory[invoice_no],SMALL(IF(ISNUMBER(MATCH(orderHistory[order_type],$D$13,0)),MATCH(ROW(orderHistory[customer]),ROW(orderHistory[customer])),""),ROWS($A$15:A53)+$B$3)),INDEX(orderHistory[invoice_no],SMALL(IF(ISNUMBER(MATCH(orderHistory[order_type],$D$13,0)*MATCH(YEAR(orderHistory[invoice_date]),$D$15,0)),MATCH(ROW(orderHistory[customer]),ROW(orderHistory[customer])),""),ROWS($A$15:A53)+$B$3)))),IF($D$13="",IF($D$15="",INDEX(orderHistory[invoice_no],SMALL(IF(ISNUMBER(MATCH(orderHistory[status],$D$11,0)),MATCH(ROW(orderHistory[customer]),ROW(orderHistory[customer])),""),ROWS($A$15:A53)+$B$3)),INDEX(orderHistory[invoice_no],SMALL(IF(ISNUMBER(MATCH(orderHistory[status],$D$11,0)*MATCH(YEAR(orderHistory[invoice_date]),$D$15,0)),MATCH(ROW(orderHistory[customer]),ROW(orderHistory[customer])),""),ROWS($A$15:A53)+$B$3))),IF($D$15="",INDEX(orderHistory[invoice_no],SMALL(IF(ISNUMBER(MATCH(orderHistory[status],$D$11,0)*MATCH(orderHistory[order_type],$D$13,0)),MATCH(ROW(orderHistory[customer]),ROW(orderHistory[customer])),""),ROWS($A$15:A53)+$B$3)),INDEX(orderHistory[invoice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no],SMALL(IF(ISNUMBER(MATCH(orderHistory[customer],$D$9,0)),MATCH(ROW(orderHistory[customer]),ROW(orderHistory[customer])),""),ROWS($A$15:A53)+$B$3)),INDEX(orderHistory[invoice_no],SMALL(IF(ISNUMBER(MATCH(orderHistory[customer],$D$9,0)*MATCH(YEAR(orderHistory[invoice_date]),$D$15,0)),MATCH(ROW(orderHistory[customer]),ROW(orderHistory[customer])),""),ROWS($A$15:A53)+$B$3))),IF($D$15="",INDEX(orderHistory[invoice_no],SMALL(IF(ISNUMBER(MATCH(orderHistory[customer],$D$9,0)*MATCH(orderHistory[order_type],$D$13,0)),MATCH(ROW(orderHistory[customer]),ROW(orderHistory[customer])),""),ROWS($A$15:A53)+$B$3)),INDEX(orderHistory[invoice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YEAR(orderHistory[invoice_date]),$D$15,0)),MATCH(ROW(orderHistory[customer]),ROW(orderHistory[customer])),""),ROWS($A$15:A53)+$B$3))),IF($D$15="",INDEX(orderHistory[invoice_no],SMALL(IF(ISNUMBER(MATCH(orderHistory[customer],$D$9,0)*MATCH(orderHistory[status],$D$11,0)*MATCH(orderHistory[order_type],$D$13,0)),MATCH(ROW(orderHistory[customer]),ROW(orderHistory[customer])),""),ROWS($A$15:A53)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Q48" s="457" t="str">
        <f t="array" ref="Q48">IFERROR(IF($D$9="",IF($D$11="",IF($D$13="",IF($D$15="",INDEX(orderHistory[invoice_date],SMALL(MATCH(ROW(orderHistory[customer]),ROW(orderHistory[customer])),ROWS($A$15:A53)+$B$3)),INDEX(orderHistory[invoice_date],SMALL(IF(ISNUMBER(MATCH(YEAR(orderHistory[invoice_date]),$D$15,0)),MATCH(ROW(orderHistory[customer]),ROW(orderHistory[customer])),""),ROWS($A$15:A53)+$B$3))),IF($D$15="",INDEX(orderHistory[invoice_date],SMALL(IF(ISNUMBER(MATCH(orderHistory[order_type],$D$13,0)),MATCH(ROW(orderHistory[customer]),ROW(orderHistory[customer])),""),ROWS($A$15:A53)+$B$3)),INDEX(orderHistory[invoice_date],SMALL(IF(ISNUMBER(MATCH(orderHistory[order_type],$D$13,0)*MATCH(YEAR(orderHistory[invoice_date]),$D$15,0)),MATCH(ROW(orderHistory[customer]),ROW(orderHistory[customer])),""),ROWS($A$15:A53)+$B$3)))),IF($D$13="",IF($D$15="",INDEX(orderHistory[invoice_date],SMALL(IF(ISNUMBER(MATCH(orderHistory[status],$D$11,0)),MATCH(ROW(orderHistory[customer]),ROW(orderHistory[customer])),""),ROWS($A$15:A53)+$B$3)),INDEX(orderHistory[invoice_date],SMALL(IF(ISNUMBER(MATCH(orderHistory[status],$D$11,0)*MATCH(YEAR(orderHistory[invoice_date]),$D$15,0)),MATCH(ROW(orderHistory[customer]),ROW(orderHistory[customer])),""),ROWS($A$15:A53)+$B$3))),IF($D$15="",INDEX(orderHistory[invoice_date],SMALL(IF(ISNUMBER(MATCH(orderHistory[status],$D$11,0)*MATCH(orderHistory[order_type],$D$13,0)),MATCH(ROW(orderHistory[customer]),ROW(orderHistory[customer])),""),ROWS($A$15:A53)+$B$3)),INDEX(orderHistory[invoice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date],SMALL(IF(ISNUMBER(MATCH(orderHistory[customer],$D$9,0)),MATCH(ROW(orderHistory[customer]),ROW(orderHistory[customer])),""),ROWS($A$15:A53)+$B$3)),INDEX(orderHistory[invoice_date],SMALL(IF(ISNUMBER(MATCH(orderHistory[customer],$D$9,0)*MATCH(YEAR(orderHistory[invoice_date]),$D$15,0)),MATCH(ROW(orderHistory[customer]),ROW(orderHistory[customer])),""),ROWS($A$15:A53)+$B$3))),IF($D$15="",INDEX(orderHistory[invoice_date],SMALL(IF(ISNUMBER(MATCH(orderHistory[customer],$D$9,0)*MATCH(orderHistory[order_type],$D$13,0)),MATCH(ROW(orderHistory[customer]),ROW(orderHistory[customer])),""),ROWS($A$15:A53)+$B$3)),INDEX(orderHistory[invoice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YEAR(orderHistory[invoice_date]),$D$15,0)),MATCH(ROW(orderHistory[customer]),ROW(orderHistory[customer])),""),ROWS($A$15:A53)+$B$3))),IF($D$15="",INDEX(orderHistory[invoice_date],SMALL(IF(ISNUMBER(MATCH(orderHistory[customer],$D$9,0)*MATCH(orderHistory[status],$D$11,0)*MATCH(orderHistory[order_type],$D$13,0)),MATCH(ROW(orderHistory[customer]),ROW(orderHistory[customer])),""),ROWS($A$15:A53)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R48" s="458" t="str">
        <f t="array" ref="R48">IFERROR(IF($D$9="",IF($D$11="",IF($D$13="",IF($D$15="",INDEX(orderHistory[inv_amount],SMALL(MATCH(ROW(orderHistory[customer]),ROW(orderHistory[customer])),ROWS($A$15:A53)+$B$3)),INDEX(orderHistory[inv_amount],SMALL(IF(ISNUMBER(MATCH(YEAR(orderHistory[invoice_date]),$D$15,0)),MATCH(ROW(orderHistory[customer]),ROW(orderHistory[customer])),""),ROWS($A$15:A53)+$B$3))),IF($D$15="",INDEX(orderHistory[inv_amount],SMALL(IF(ISNUMBER(MATCH(orderHistory[order_type],$D$13,0)),MATCH(ROW(orderHistory[customer]),ROW(orderHistory[customer])),""),ROWS($A$15:A53)+$B$3)),INDEX(orderHistory[inv_amount],SMALL(IF(ISNUMBER(MATCH(orderHistory[order_type],$D$13,0)*MATCH(YEAR(orderHistory[invoice_date]),$D$15,0)),MATCH(ROW(orderHistory[customer]),ROW(orderHistory[customer])),""),ROWS($A$15:A53)+$B$3)))),IF($D$13="",IF($D$15="",INDEX(orderHistory[inv_amount],SMALL(IF(ISNUMBER(MATCH(orderHistory[status],$D$11,0)),MATCH(ROW(orderHistory[customer]),ROW(orderHistory[customer])),""),ROWS($A$15:A53)+$B$3)),INDEX(orderHistory[inv_amount],SMALL(IF(ISNUMBER(MATCH(orderHistory[status],$D$11,0)*MATCH(YEAR(orderHistory[invoice_date]),$D$15,0)),MATCH(ROW(orderHistory[customer]),ROW(orderHistory[customer])),""),ROWS($A$15:A53)+$B$3))),IF($D$15="",INDEX(orderHistory[inv_amount],SMALL(IF(ISNUMBER(MATCH(orderHistory[status],$D$11,0)*MATCH(orderHistory[order_type],$D$13,0)),MATCH(ROW(orderHistory[customer]),ROW(orderHistory[customer])),""),ROWS($A$15:A53)+$B$3)),INDEX(orderHistory[inv_amount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_amount],SMALL(IF(ISNUMBER(MATCH(orderHistory[customer],$D$9,0)),MATCH(ROW(orderHistory[customer]),ROW(orderHistory[customer])),""),ROWS($A$15:A53)+$B$3)),INDEX(orderHistory[inv_amount],SMALL(IF(ISNUMBER(MATCH(orderHistory[customer],$D$9,0)*MATCH(YEAR(orderHistory[invoice_date]),$D$15,0)),MATCH(ROW(orderHistory[customer]),ROW(orderHistory[customer])),""),ROWS($A$15:A53)+$B$3))),IF($D$15="",INDEX(orderHistory[inv_amount],SMALL(IF(ISNUMBER(MATCH(orderHistory[customer],$D$9,0)*MATCH(orderHistory[order_type],$D$13,0)),MATCH(ROW(orderHistory[customer]),ROW(orderHistory[customer])),""),ROWS($A$15:A53)+$B$3)),INDEX(orderHistory[inv_amount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YEAR(orderHistory[inv_amount]),$D$15,0)),MATCH(ROW(orderHistory[customer]),ROW(orderHistory[customer])),""),ROWS($A$15:A53)+$B$3))),IF($D$15="",INDEX(orderHistory[inv_amount],SMALL(IF(ISNUMBER(MATCH(orderHistory[customer],$D$9,0)*MATCH(orderHistory[status],$D$11,0)*MATCH(orderHistory[order_type],$D$13,0)),MATCH(ROW(orderHistory[customer]),ROW(orderHistory[customer])),""),ROWS($A$15:A53)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S48" s="569" t="str">
        <f t="array" ref="S48">IFERROR(IF($D$9="",IF($D$11="",IF($D$13="",IF($D$15="",INDEX(orderHistory[lock_goods],SMALL(MATCH(ROW(orderHistory[customer]),ROW(orderHistory[customer])),ROWS($A$15:A53)+$B$3)),INDEX(orderHistory[lock_goods],SMALL(IF(ISNUMBER(MATCH(YEAR(orderHistory[invoice_date]),$D$15,0)),MATCH(ROW(orderHistory[customer]),ROW(orderHistory[customer])),""),ROWS($A$15:A53)+$B$3))),IF($D$15="",INDEX(orderHistory[lock_goods],SMALL(IF(ISNUMBER(MATCH(orderHistory[order_type],$D$13,0)),MATCH(ROW(orderHistory[customer]),ROW(orderHistory[customer])),""),ROWS($A$15:A53)+$B$3)),INDEX(orderHistory[lock_goods],SMALL(IF(ISNUMBER(MATCH(orderHistory[order_type],$D$13,0)*MATCH(YEAR(orderHistory[invoice_date]),$D$15,0)),MATCH(ROW(orderHistory[customer]),ROW(orderHistory[customer])),""),ROWS($A$15:A53)+$B$3)))),IF($D$13="",IF($D$15="",INDEX(orderHistory[lock_goods],SMALL(IF(ISNUMBER(MATCH(orderHistory[status],$D$11,0)),MATCH(ROW(orderHistory[customer]),ROW(orderHistory[customer])),""),ROWS($A$15:A53)+$B$3)),INDEX(orderHistory[lock_goods],SMALL(IF(ISNUMBER(MATCH(orderHistory[status],$D$11,0)*MATCH(YEAR(orderHistory[invoice_date]),$D$15,0)),MATCH(ROW(orderHistory[customer]),ROW(orderHistory[customer])),""),ROWS($A$15:A53)+$B$3))),IF($D$15="",INDEX(orderHistory[lock_goods],SMALL(IF(ISNUMBER(MATCH(orderHistory[status],$D$11,0)*MATCH(orderHistory[order_type],$D$13,0)),MATCH(ROW(orderHistory[customer]),ROW(orderHistory[customer])),""),ROWS($A$15:A53)+$B$3)),INDEX(orderHistory[lock_good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lock_goods],SMALL(IF(ISNUMBER(MATCH(orderHistory[customer],$D$9,0)),MATCH(ROW(orderHistory[customer]),ROW(orderHistory[customer])),""),ROWS($A$15:A53)+$B$3)),INDEX(orderHistory[lock_goods],SMALL(IF(ISNUMBER(MATCH(orderHistory[customer],$D$9,0)*MATCH(YEAR(orderHistory[invoice_date]),$D$15,0)),MATCH(ROW(orderHistory[customer]),ROW(orderHistory[customer])),""),ROWS($A$15:A53)+$B$3))),IF($D$15="",INDEX(orderHistory[lock_goods],SMALL(IF(ISNUMBER(MATCH(orderHistory[customer],$D$9,0)*MATCH(orderHistory[order_type],$D$13,0)),MATCH(ROW(orderHistory[customer]),ROW(orderHistory[customer])),""),ROWS($A$15:A53)+$B$3)),INDEX(orderHistory[lock_good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lock_goods],SMALL(IF(ISNUMBER(MATCH(orderHistory[customer],$D$9,0)*MATCH(orderHistory[status],$D$11,0)),MATCH(ROW(orderHistory[customer]),ROW(orderHistory[customer])),""),ROWS($A$15:A53)+$B$3)),INDEX(orderHistory[lock_goods],SMALL(IF(ISNUMBER(MATCH(orderHistory[customer],$D$9,0)*MATCH(orderHistory[status],$D$11,0)*MATCH(YEAR(orderHistory[payed]),$D$15,0)),MATCH(ROW(orderHistory[customer]),ROW(orderHistory[customer])),""),ROWS($A$15:A53)+$B$3))),IF($D$15="",INDEX(orderHistory[lock_goods],SMALL(IF(ISNUMBER(MATCH(orderHistory[customer],$D$9,0)*MATCH(orderHistory[status],$D$11,0)*MATCH(orderHistory[order_type],$D$13,0)),MATCH(ROW(orderHistory[customer]),ROW(orderHistory[customer])),""),ROWS($A$15:A53)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T48" s="459" t="str">
        <f t="array" ref="T48">IFERROR(IF($D$9="",IF($D$11="",IF($D$13="",IF($D$15="",INDEX(orderHistory[payed],SMALL(MATCH(ROW(orderHistory[customer]),ROW(orderHistory[customer])),ROWS($A$15:A53)+$B$3)),INDEX(orderHistory[payed],SMALL(IF(ISNUMBER(MATCH(YEAR(orderHistory[invoice_date]),$D$15,0)),MATCH(ROW(orderHistory[customer]),ROW(orderHistory[customer])),""),ROWS($A$15:A53)+$B$3))),IF($D$15="",INDEX(orderHistory[payed],SMALL(IF(ISNUMBER(MATCH(orderHistory[order_type],$D$13,0)),MATCH(ROW(orderHistory[customer]),ROW(orderHistory[customer])),""),ROWS($A$15:A53)+$B$3)),INDEX(orderHistory[payed],SMALL(IF(ISNUMBER(MATCH(orderHistory[order_type],$D$13,0)*MATCH(YEAR(orderHistory[invoice_date]),$D$15,0)),MATCH(ROW(orderHistory[customer]),ROW(orderHistory[customer])),""),ROWS($A$15:A53)+$B$3)))),IF($D$13="",IF($D$15="",INDEX(orderHistory[payed],SMALL(IF(ISNUMBER(MATCH(orderHistory[status],$D$11,0)),MATCH(ROW(orderHistory[customer]),ROW(orderHistory[customer])),""),ROWS($A$15:A53)+$B$3)),INDEX(orderHistory[payed],SMALL(IF(ISNUMBER(MATCH(orderHistory[status],$D$11,0)*MATCH(YEAR(orderHistory[invoice_date]),$D$15,0)),MATCH(ROW(orderHistory[customer]),ROW(orderHistory[customer])),""),ROWS($A$15:A53)+$B$3))),IF($D$15="",INDEX(orderHistory[payed],SMALL(IF(ISNUMBER(MATCH(orderHistory[status],$D$11,0)*MATCH(orderHistory[order_type],$D$13,0)),MATCH(ROW(orderHistory[customer]),ROW(orderHistory[customer])),""),ROWS($A$15:A53)+$B$3)),INDEX(orderHistory[paye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payed],SMALL(IF(ISNUMBER(MATCH(orderHistory[customer],$D$9,0)),MATCH(ROW(orderHistory[customer]),ROW(orderHistory[customer])),""),ROWS($A$15:A53)+$B$3)),INDEX(orderHistory[payed],SMALL(IF(ISNUMBER(MATCH(orderHistory[customer],$D$9,0)*MATCH(YEAR(orderHistory[invoice_date]),$D$15,0)),MATCH(ROW(orderHistory[customer]),ROW(orderHistory[customer])),""),ROWS($A$15:A53)+$B$3))),IF($D$15="",INDEX(orderHistory[payed],SMALL(IF(ISNUMBER(MATCH(orderHistory[customer],$D$9,0)*MATCH(orderHistory[order_type],$D$13,0)),MATCH(ROW(orderHistory[customer]),ROW(orderHistory[customer])),""),ROWS($A$15:A53)+$B$3)),INDEX(orderHistory[paye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YEAR(orderHistory[payed]),$D$15,0)),MATCH(ROW(orderHistory[customer]),ROW(orderHistory[customer])),""),ROWS($A$15:A53)+$B$3))),IF($D$15="",INDEX(orderHistory[payed],SMALL(IF(ISNUMBER(MATCH(orderHistory[customer],$D$9,0)*MATCH(orderHistory[status],$D$11,0)*MATCH(orderHistory[order_type],$D$13,0)),MATCH(ROW(orderHistory[customer]),ROW(orderHistory[customer])),""),ROWS($A$15:A53)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U48" s="454" t="str">
        <f t="array" ref="U48">IFERROR(IF($D$9="",IF($D$11="",IF($D$13="",IF($D$15="",INDEX(orderHistory[shipping_method],SMALL(MATCH(ROW(orderHistory[customer]),ROW(orderHistory[customer])),ROWS($A$15:A53)+$B$3)),INDEX(orderHistory[shipping_method],SMALL(IF(ISNUMBER(MATCH(YEAR(orderHistory[invoice_date]),$D$15,0)),MATCH(ROW(orderHistory[customer]),ROW(orderHistory[customer])),""),ROWS($A$15:A53)+$B$3))),IF($D$15="",INDEX(orderHistory[shipping_method],SMALL(IF(ISNUMBER(MATCH(orderHistory[order_type],$D$13,0)),MATCH(ROW(orderHistory[customer]),ROW(orderHistory[customer])),""),ROWS($A$15:A53)+$B$3)),INDEX(orderHistory[shipping_method],SMALL(IF(ISNUMBER(MATCH(orderHistory[order_type],$D$13,0)*MATCH(YEAR(orderHistory[invoice_date]),$D$15,0)),MATCH(ROW(orderHistory[customer]),ROW(orderHistory[customer])),""),ROWS($A$15:A53)+$B$3)))),IF($D$13="",IF($D$15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YEAR(orderHistory[invoice_date]),$D$15,0)),MATCH(ROW(orderHistory[customer]),ROW(orderHistory[customer])),""),ROWS($A$15:A53)+$B$3))),IF($D$15="",INDEX(orderHistory[shipping_method],SMALL(IF(ISNUMBER(MATCH(orderHistory[status],$D$11,0)*MATCH(orderHistory[order_type],$D$13,0)),MATCH(ROW(orderHistory[customer]),ROW(orderHistory[customer])),""),ROWS($A$15:A53)+$B$3)),INDEX(orderHistory[shipping_metho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YEAR(orderHistory[invoice_date]),$D$15,0)),MATCH(ROW(orderHistory[customer]),ROW(orderHistory[customer])),""),ROWS($A$15:A53)+$B$3))),IF($D$15="",INDEX(orderHistory[shipping_method],SMALL(IF(ISNUMBER(MATCH(orderHistory[customer],$D$9,0)*MATCH(orderHistory[order_type],$D$13,0)),MATCH(ROW(orderHistory[customer]),ROW(orderHistory[customer])),""),ROWS($A$15:A53)+$B$3)),INDEX(orderHistory[shipping_metho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YEAR(orderHistory[shipping_method]),$D$15,0)),MATCH(ROW(orderHistory[customer]),ROW(orderHistory[customer])),""),ROWS($A$15:A53)+$B$3))),IF($D$15="",INDEX(orderHistory[shipping_method],SMALL(IF(ISNUMBER(MATCH(orderHistory[customer],$D$9,0)*MATCH(orderHistory[status],$D$11,0)*MATCH(orderHistory[order_type],$D$13,0)),MATCH(ROW(orderHistory[customer]),ROW(orderHistory[customer])),""),ROWS($A$15:A53)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V48" s="460" t="str">
        <f t="array" ref="V48">IFERROR(IF($D$9="",IF($D$11="",IF($D$13="",IF($D$15="",INDEX(orderHistory[status],SMALL(MATCH(ROW(orderHistory[customer]),ROW(orderHistory[customer])),ROWS($A$15:A53)+$B$3)),INDEX(orderHistory[status],SMALL(IF(ISNUMBER(MATCH(YEAR(orderHistory[invoice_date]),$D$15,0)),MATCH(ROW(orderHistory[customer]),ROW(orderHistory[customer])),""),ROWS($A$15:A53)+$B$3))),IF($D$15="",INDEX(orderHistory[status],SMALL(IF(ISNUMBER(MATCH(orderHistory[order_type],$D$13,0)),MATCH(ROW(orderHistory[customer]),ROW(orderHistory[customer])),""),ROWS($A$15:A53)+$B$3)),INDEX(orderHistory[status],SMALL(IF(ISNUMBER(MATCH(orderHistory[order_type],$D$13,0)*MATCH(YEAR(orderHistory[invoice_date]),$D$15,0)),MATCH(ROW(orderHistory[customer]),ROW(orderHistory[customer])),""),ROWS($A$15:A53)+$B$3)))),IF($D$13="",IF($D$15="",INDEX(orderHistory[status],SMALL(IF(ISNUMBER(MATCH(orderHistory[status],$D$11,0)),MATCH(ROW(orderHistory[customer]),ROW(orderHistory[customer])),""),ROWS($A$15:A53)+$B$3)),INDEX(orderHistory[status],SMALL(IF(ISNUMBER(MATCH(orderHistory[status],$D$11,0)*MATCH(YEAR(orderHistory[invoice_date]),$D$15,0)),MATCH(ROW(orderHistory[customer]),ROW(orderHistory[customer])),""),ROWS($A$15:A53)+$B$3))),IF($D$15="",INDEX(orderHistory[status],SMALL(IF(ISNUMBER(MATCH(orderHistory[status],$D$11,0)*MATCH(orderHistory[order_type],$D$13,0)),MATCH(ROW(orderHistory[customer]),ROW(orderHistory[customer])),""),ROWS($A$15:A53)+$B$3)),INDEX(orderHistory[statu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tatus],SMALL(IF(ISNUMBER(MATCH(orderHistory[customer],$D$9,0)),MATCH(ROW(orderHistory[customer]),ROW(orderHistory[customer])),""),ROWS($A$15:A53)+$B$3)),INDEX(orderHistory[status],SMALL(IF(ISNUMBER(MATCH(orderHistory[customer],$D$9,0)*MATCH(YEAR(orderHistory[invoice_date]),$D$15,0)),MATCH(ROW(orderHistory[customer]),ROW(orderHistory[customer])),""),ROWS($A$15:A53)+$B$3))),IF($D$15="",INDEX(orderHistory[status],SMALL(IF(ISNUMBER(MATCH(orderHistory[customer],$D$9,0)*MATCH(orderHistory[order_type],$D$13,0)),MATCH(ROW(orderHistory[customer]),ROW(orderHistory[customer])),""),ROWS($A$15:A53)+$B$3)),INDEX(orderHistory[statu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YEAR(orderHistory[status]),$D$15,0)),MATCH(ROW(orderHistory[customer]),ROW(orderHistory[customer])),""),ROWS($A$15:A53)+$B$3))),IF($D$15="",INDEX(orderHistory[status],SMALL(IF(ISNUMBER(MATCH(orderHistory[customer],$D$9,0)*MATCH(orderHistory[status],$D$11,0)*MATCH(orderHistory[order_type],$D$13,0)),MATCH(ROW(orderHistory[customer]),ROW(orderHistory[customer])),""),ROWS($A$15:A53)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W48" s="75"/>
      <c r="X48" s="332"/>
      <c r="BG48" s="245"/>
      <c r="BK48" s="366"/>
      <c r="BL48" s="367"/>
      <c r="BM48" s="368"/>
      <c r="BN48" s="367"/>
      <c r="BO48" s="368"/>
      <c r="BZ48" s="495"/>
      <c r="CA48" s="477" t="str">
        <f>IF(BZ48="","",INDEX(bhpc_data[description],MATCH(BZ48,bhpc_data[sku],0)))</f>
        <v/>
      </c>
      <c r="CB48" s="478"/>
      <c r="CC48" s="479"/>
      <c r="CD48" s="494"/>
      <c r="CE48" s="481"/>
      <c r="CF48" s="482"/>
      <c r="CG48" s="483" t="str">
        <f>IFERROR(ROUNDUP(CB48/INDEX(bhpc_data[units_per_carton],MATCH(BZ48,bhpc_data[sku],0)),0),"")</f>
        <v/>
      </c>
      <c r="CH48" s="484" t="str">
        <f>IFERROR(ROUNDUP(CD48/INDEX(bhpc_data[units_per_carton],MATCH(BZ48,bhpc_data[sku],0)),0),"")</f>
        <v/>
      </c>
      <c r="CI48" s="484" t="str">
        <f>IFERROR(ROUNDUP(CF48/INDEX(bhpc_data[units_per_carton],MATCH(BZ48,bhpc_data[sku])),0),"")</f>
        <v/>
      </c>
      <c r="CJ48" s="484" t="str">
        <f>IFERROR(((CB48+CD48+CF48)/INDEX(bhpc_data[units_per_carton],MATCH(BZ48,bhpc_data[sku],0)))*INDEX(bhpc_data[net_weight],MATCH(BZ48,bhpc_data[sku],0)),"")</f>
        <v/>
      </c>
      <c r="CK48" s="484" t="str">
        <f>IFERROR(((CB48+CD48+CF48)/INDEX(bhpc_data[units_per_carton],MATCH(BZ48,bhpc_data[sku],0)))*INDEX(bhpc_data[gross_weight],MATCH(BZ48,bhpc_data[sku],0)),"")</f>
        <v/>
      </c>
      <c r="CL48" s="485" t="str">
        <f>IFERROR((CB48+CD48+CF48)/INDEX(bhpc_data[units_per_carton],MATCH(BZ48,bhpc_data[sku],0))*INDEX(bhpc_data[lenght],MATCH(BZ48,bhpc_data[sku],0))*INDEX(bhpc_data[width],MATCH(BZ48,bhpc_data[sku],0))*INDEX(bhpc_data[height],MATCH(BZ48,bhpc_data[sku],0))/1000000000,"")</f>
        <v/>
      </c>
      <c r="CM48" s="486" t="str">
        <f>IFERROR(INDEX(bhpc_data[category],MATCH(BZ48,bhpc_data[sku],0)),"")</f>
        <v/>
      </c>
      <c r="CN48" s="486" t="str">
        <f>IFERROR(INDEX(bhpc_data[size1],MATCH(BZ48,bhpc_data[sku],0)),"")</f>
        <v/>
      </c>
      <c r="CO48" s="487" t="str">
        <f>IFERROR(INDEX(bhpc_data[hs_code],MATCH(BZ48,bhpc_data[sku],0)),"")</f>
        <v/>
      </c>
      <c r="CP48" s="482"/>
      <c r="CQ48" s="488" t="str">
        <f>IFERROR(IF(BZ48="","",IF($BX$15="SALE",INDEX(inventory[COSTO UNITARIO],MATCH(BZ48,inventory[ARTICOLO],0)),IF($BX$15="SAMPLING",INDEX(inventory[COSTO UNITARIO],MATCH(BZ48,inventory[ARTICOLO],0)),""))),"")</f>
        <v/>
      </c>
      <c r="CR48" s="488" t="str">
        <f t="shared" si="5"/>
        <v/>
      </c>
      <c r="CS48" s="489" t="str">
        <f t="shared" si="6"/>
        <v/>
      </c>
      <c r="CT48" s="573" t="str">
        <f t="shared" si="7"/>
        <v/>
      </c>
      <c r="CU48" s="350"/>
      <c r="CV48" s="350"/>
      <c r="CW48" s="350"/>
      <c r="CX48" s="350"/>
      <c r="CY48" s="350"/>
      <c r="CZ48" s="350"/>
      <c r="DA48" s="350" t="str">
        <f>IFERROR(VLOOKUP(BZ48,bhpc_data[],22,FALSE),"")</f>
        <v/>
      </c>
      <c r="EE48" s="547" t="str" cm="1">
        <f t="array" ref="EE48">IFERROR(IF($EC$9="",IF($EC$11="",IF($EC$13="",INDEX(bhpc_data[sku],SMALL(MATCH(ROW(bhpc_data[sku]),ROW(bhpc_data[sku])),ROWS($A$15:A53)+$B$3)),INDEX(bhpc_data[sku],SMALL(IF(ISNUMBER(MATCH(bhpc_data[size1],$EC$13,0)),MATCH(ROW(bhpc_data[sku]),ROW(bhpc_data[sku])),""),ROWS($A$15:A53)+$B$3))),IF($EC$13="",INDEX(bhpc_data[sku],SMALL(IF(ISNUMBER(MATCH(bhpc_data[sex],$EC$11,0)),MATCH(ROW(bhpc_data[sku]),ROW(bhpc_data[sku])),""),ROWS($A$15:A53)+$B$3)),INDEX(bhpc_data[sku],SMALL(IF(ISNUMBER(MATCH(bhpc_data[sex],$EC$11,0)*MATCH(bhpc_data[size1],$EC$13,0)),MATCH(ROW(bhpc_data[sku]),ROW(bhpc_data[sku])),""),ROWS($A$15:A53)+$B$3)))),IF($EC$11="",IF($EC$13="",INDEX(bhpc_data[sku],SMALL(IF(ISNUMBER(MATCH(bhpc_data[category],$EC$9,0)),MATCH(ROW(bhpc_data[sku]),ROW(bhpc_data[sku])),""),ROWS($A$15:A53)+$B$3)),INDEX(bhpc_data[sku],SMALL(IF(ISNUMBER(MATCH(bhpc_data[category],$EC$9,0)*MATCH(bhpc_data[size1],$EC$13,0)),MATCH(ROW(bhpc_data[sku]),ROW(bhpc_data[sku])),""),ROWS($A$15:A53)+$B$3))),IF($EC$13="",INDEX(bhpc_data[sku],SMALL(IF(ISNUMBER(MATCH(bhpc_data[category],$EC$9,0)*MATCH(bhpc_data[sex],$EC$11,0)),MATCH(ROW(bhpc_data[sku]),ROW(bhpc_data[sku])),""),ROWS($A$15:A53)+$B$3)),INDEX(bhpc_data[sku],SMALL(IF(ISNUMBER(MATCH(bhpc_data[category],$EC$9,0)*MATCH(bhpc_data[sex],$EC$11,0)*MATCH(bhpc_data[size1],$EC$13,0)),MATCH(ROW(bhpc_data[sku]),ROW(bhpc_data[sku])),""),ROWS($A$15:A53)+$B$3))))),"")</f>
        <v>P05004</v>
      </c>
      <c r="EF48" s="548" t="str" cm="1">
        <f t="array" ref="EF48">IFERROR(IF($EC$9="",IF($EC$11="",IF($EC$13="",INDEX(bhpc_data[description],SMALL(MATCH(ROW(bhpc_data[sku]),ROW(bhpc_data[sku])),ROWS($A$15:A53)+$B$3)),INDEX(bhpc_data[description],SMALL(IF(ISNUMBER(MATCH(bhpc_data[size1],$EC$13,0)),MATCH(ROW(bhpc_data[sku]),ROW(bhpc_data[sku])),""),ROWS($A$15:A53)+$B$3))),IF($EC$13="",INDEX(bhpc_data[description],SMALL(IF(ISNUMBER(MATCH(bhpc_data[sex],$EC$11,0)),MATCH(ROW(bhpc_data[sku]),ROW(bhpc_data[sku])),""),ROWS($A$15:A53)+$B$3)),INDEX(bhpc_data[description],SMALL(IF(ISNUMBER(MATCH(bhpc_data[sex],$EC$11,0)*MATCH(bhpc_data[size1],$EC$13,0)),MATCH(ROW(bhpc_data[sku]),ROW(bhpc_data[sku])),""),ROWS($A$15:A53)+$B$3)))),IF($EC$11="",IF($EC$13="",INDEX(bhpc_data[description],SMALL(IF(ISNUMBER(MATCH(bhpc_data[category],$EC$9,0)),MATCH(ROW(bhpc_data[sku]),ROW(bhpc_data[sku])),""),ROWS($A$15:A53)+$B$3)),INDEX(bhpc_data[description],SMALL(IF(ISNUMBER(MATCH(bhpc_data[category],$EC$9,0)*MATCH(bhpc_data[size1],$EC$13,0)),MATCH(ROW(bhpc_data[sku]),ROW(bhpc_data[sku])),""),ROWS($A$15:A53)+$B$3))),IF($EC$13="",INDEX(bhpc_data[description],SMALL(IF(ISNUMBER(MATCH(bhpc_data[category],$EC$9,0)*MATCH(bhpc_data[sex],$EC$11,0)),MATCH(ROW(bhpc_data[sku]),ROW(bhpc_data[sku])),""),ROWS($A$15:A53)+$B$3)),INDEX(bhpc_data[description],SMALL(IF(ISNUMBER(MATCH(bhpc_data[category],$EC$9,0)*MATCH(bhpc_data[sex],$EC$11,0)*MATCH(bhpc_data[size1],$EC$13,0)),MATCH(ROW(bhpc_data[sku]),ROW(bhpc_data[sku])),""),ROWS($A$15:A53)+$B$3))))),"")</f>
        <v>BHPC SPORT MEN 1 EDT 100ML</v>
      </c>
      <c r="EG48" s="549">
        <f>IFERROR(IF('BHPC MANAGER'!$EE48="","",INDEX(inventory[ESISTENZA],MATCH('BHPC MANAGER'!$EE48,inventory[ARTICOLO],0))),0)</f>
        <v>13184</v>
      </c>
      <c r="EH48" s="550">
        <v>-5340</v>
      </c>
      <c r="EI48" s="550">
        <f t="shared" si="3"/>
        <v>7844</v>
      </c>
      <c r="EJ48" s="551">
        <v>-72</v>
      </c>
      <c r="EK48" s="552">
        <f t="shared" si="4"/>
        <v>7772</v>
      </c>
      <c r="EO48" s="245" t="str">
        <f t="array" ref="EO48">IFERROR(INDEX(orderHistory[order_no],SMALL(IF(ISNUMBER(MATCH(orderHistory[status],$EO$7,0)),MATCH(ROW(orderHistory[order_no]),ROW(orderHistory[order_no])),""),ROWS($A$15:A53))),"")</f>
        <v/>
      </c>
    </row>
    <row r="49" spans="10:145" ht="15" customHeight="1" x14ac:dyDescent="0.35">
      <c r="J49" s="332"/>
      <c r="K49" s="332"/>
      <c r="L49" s="452" t="str">
        <f t="array" ref="L49">IFERROR(IF($D$9="",IF($D$11="",IF($D$13="",IF($D$15="",INDEX(orderHistory[customer],SMALL(MATCH(ROW(orderHistory[customer]),ROW(orderHistory[customer])),ROWS($A$15:A54)+$B$3)),INDEX(orderHistory[customer],SMALL(IF(ISNUMBER(MATCH(YEAR(orderHistory[invoice_date]),$D$15,0)),MATCH(ROW(orderHistory[customer]),ROW(orderHistory[customer])),""),ROWS($A$15:A54)+$B$3))),IF($D$15="",INDEX(orderHistory[customer],SMALL(IF(ISNUMBER(MATCH(orderHistory[order_type],$D$13,0)),MATCH(ROW(orderHistory[customer]),ROW(orderHistory[customer])),""),ROWS($A$15:A54)+$B$3)),INDEX(orderHistory[customer],SMALL(IF(ISNUMBER(MATCH(orderHistory[order_type],$D$13,0)*MATCH(YEAR(orderHistory[invoice_date]),$D$15,0)),MATCH(ROW(orderHistory[customer]),ROW(orderHistory[customer])),""),ROWS($A$15:A54)+$B$3)))),IF($D$13="",IF($D$15="",INDEX(orderHistory[customer],SMALL(IF(ISNUMBER(MATCH(orderHistory[status],$D$11,0)),MATCH(ROW(orderHistory[customer]),ROW(orderHistory[customer])),""),ROWS($A$15:A54)+$B$3)),INDEX(orderHistory[customer],SMALL(IF(ISNUMBER(MATCH(orderHistory[status],$D$11,0)*MATCH(YEAR(orderHistory[invoice_date]),$D$15,0)),MATCH(ROW(orderHistory[customer]),ROW(orderHistory[customer])),""),ROWS($A$15:A54)+$B$3))),IF($D$15="",INDEX(orderHistory[customer],SMALL(IF(ISNUMBER(MATCH(orderHistory[status],$D$11,0)*MATCH(orderHistory[order_type],$D$13,0)),MATCH(ROW(orderHistory[customer]),ROW(orderHistory[customer])),""),ROWS($A$15:A54)+$B$3)),INDEX(orderHistory[customer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customer],SMALL(IF(ISNUMBER(MATCH(orderHistory[customer],$D$9,0)),MATCH(ROW(orderHistory[customer]),ROW(orderHistory[customer])),""),ROWS($A$15:A54)+$B$3)),INDEX(orderHistory[customer],SMALL(IF(ISNUMBER(MATCH(orderHistory[customer],$D$9,0)*MATCH(YEAR(orderHistory[invoice_date]),$D$15,0)),MATCH(ROW(orderHistory[customer]),ROW(orderHistory[customer])),""),ROWS($A$15:A54)+$B$3))),IF($D$15="",INDEX(orderHistory[customer],SMALL(IF(ISNUMBER(MATCH(orderHistory[customer],$D$9,0)*MATCH(orderHistory[order_type],$D$13,0)),MATCH(ROW(orderHistory[customer]),ROW(orderHistory[customer])),""),ROWS($A$15:A54)+$B$3)),INDEX(orderHistory[customer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YEAR(orderHistory[invoice_date]),$D$15,0)),MATCH(ROW(orderHistory[customer]),ROW(orderHistory[customer])),""),ROWS($A$15:A54)+$B$3))),IF($D$15="",INDEX(orderHistory[customer],SMALL(IF(ISNUMBER(MATCH(orderHistory[customer],$D$9,0)*MATCH(orderHistory[status],$D$11,0)*MATCH(orderHistory[order_type],$D$13,0)),MATCH(ROW(orderHistory[customer]),ROW(orderHistory[customer])),""),ROWS($A$15:A54)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M49" s="453" t="str">
        <f t="array" ref="M49">IFERROR(IF($D$9="",IF($D$11="",IF($D$13="",IF($D$15="",INDEX(orderHistory[order_no],SMALL(MATCH(ROW(orderHistory[customer]),ROW(orderHistory[customer])),ROWS($A$15:A54)+$B$3)),INDEX(orderHistory[order_no],SMALL(IF(ISNUMBER(MATCH(YEAR(orderHistory[invoice_date]),$D$15,0)),MATCH(ROW(orderHistory[customer]),ROW(orderHistory[customer])),""),ROWS($A$15:A54)+$B$3))),IF($D$15="",INDEX(orderHistory[order_no],SMALL(IF(ISNUMBER(MATCH(orderHistory[order_type],$D$13,0)),MATCH(ROW(orderHistory[customer]),ROW(orderHistory[customer])),""),ROWS($A$15:A54)+$B$3)),INDEX(orderHistory[order_no],SMALL(IF(ISNUMBER(MATCH(orderHistory[order_type],$D$13,0)*MATCH(YEAR(orderHistory[invoice_date]),$D$15,0)),MATCH(ROW(orderHistory[customer]),ROW(orderHistory[customer])),""),ROWS($A$15:A54)+$B$3)))),IF($D$13="",IF($D$15="",INDEX(orderHistory[order_no],SMALL(IF(ISNUMBER(MATCH(orderHistory[status],$D$11,0)),MATCH(ROW(orderHistory[customer]),ROW(orderHistory[customer])),""),ROWS($A$15:A54)+$B$3)),INDEX(orderHistory[order_no],SMALL(IF(ISNUMBER(MATCH(orderHistory[status],$D$11,0)*MATCH(YEAR(orderHistory[invoice_date]),$D$15,0)),MATCH(ROW(orderHistory[customer]),ROW(orderHistory[customer])),""),ROWS($A$15:A54)+$B$3))),IF($D$15="",INDEX(orderHistory[order_no],SMALL(IF(ISNUMBER(MATCH(orderHistory[status],$D$11,0)*MATCH(orderHistory[order_type],$D$13,0)),MATCH(ROW(orderHistory[customer]),ROW(orderHistory[customer])),""),ROWS($A$15:A54)+$B$3)),INDEX(orderHistory[order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no],SMALL(IF(ISNUMBER(MATCH(orderHistory[customer],$D$9,0)),MATCH(ROW(orderHistory[customer]),ROW(orderHistory[customer])),""),ROWS($A$15:A54)+$B$3)),INDEX(orderHistory[order_no],SMALL(IF(ISNUMBER(MATCH(orderHistory[customer],$D$9,0)*MATCH(YEAR(orderHistory[invoice_date]),$D$15,0)),MATCH(ROW(orderHistory[customer]),ROW(orderHistory[customer])),""),ROWS($A$15:A54)+$B$3))),IF($D$15="",INDEX(orderHistory[order_no],SMALL(IF(ISNUMBER(MATCH(orderHistory[customer],$D$9,0)*MATCH(orderHistory[order_type],$D$13,0)),MATCH(ROW(orderHistory[customer]),ROW(orderHistory[customer])),""),ROWS($A$15:A54)+$B$3)),INDEX(orderHistory[order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YEAR(orderHistory[invoice_date]),$D$15,0)),MATCH(ROW(orderHistory[customer]),ROW(orderHistory[customer])),""),ROWS($A$15:A54)+$B$3))),IF($D$15="",INDEX(orderHistory[order_no],SMALL(IF(ISNUMBER(MATCH(orderHistory[customer],$D$9,0)*MATCH(orderHistory[status],$D$11,0)*MATCH(orderHistory[order_type],$D$13,0)),MATCH(ROW(orderHistory[customer]),ROW(orderHistory[customer])),""),ROWS($A$15:A54)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N49" s="454" t="str">
        <f t="array" ref="N49">IFERROR(IF($D$9="",IF($D$11="",IF($D$13="",IF($D$15="",INDEX(orderHistory[order_type],SMALL(MATCH(ROW(orderHistory[customer]),ROW(orderHistory[customer])),ROWS($A$15:A54)+$B$3)),INDEX(orderHistory[order_type],SMALL(IF(ISNUMBER(MATCH(YEAR(orderHistory[invoice_date]),$D$15,0)),MATCH(ROW(orderHistory[customer]),ROW(orderHistory[customer])),""),ROWS($A$15:A54)+$B$3))),IF($D$15="",INDEX(orderHistory[order_type],SMALL(IF(ISNUMBER(MATCH(orderHistory[order_type],$D$13,0)),MATCH(ROW(orderHistory[customer]),ROW(orderHistory[customer])),""),ROWS($A$15:A54)+$B$3)),INDEX(orderHistory[order_type],SMALL(IF(ISNUMBER(MATCH(orderHistory[order_type],$D$13,0)*MATCH(YEAR(orderHistory[invoice_date]),$D$15,0)),MATCH(ROW(orderHistory[customer]),ROW(orderHistory[customer])),""),ROWS($A$15:A54)+$B$3)))),IF($D$13="",IF($D$15="",INDEX(orderHistory[order_type],SMALL(IF(ISNUMBER(MATCH(orderHistory[status],$D$11,0)),MATCH(ROW(orderHistory[customer]),ROW(orderHistory[customer])),""),ROWS($A$15:A54)+$B$3)),INDEX(orderHistory[order_type],SMALL(IF(ISNUMBER(MATCH(orderHistory[status],$D$11,0)*MATCH(YEAR(orderHistory[invoice_date]),$D$15,0)),MATCH(ROW(orderHistory[customer]),ROW(orderHistory[customer])),""),ROWS($A$15:A54)+$B$3))),IF($D$15="",INDEX(orderHistory[order_type],SMALL(IF(ISNUMBER(MATCH(orderHistory[status],$D$11,0)*MATCH(orderHistory[order_type],$D$13,0)),MATCH(ROW(orderHistory[customer]),ROW(orderHistory[customer])),""),ROWS($A$15:A54)+$B$3)),INDEX(orderHistory[order_typ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type],SMALL(IF(ISNUMBER(MATCH(orderHistory[customer],$D$9,0)),MATCH(ROW(orderHistory[customer]),ROW(orderHistory[customer])),""),ROWS($A$15:A54)+$B$3)),INDEX(orderHistory[order_type],SMALL(IF(ISNUMBER(MATCH(orderHistory[customer],$D$9,0)*MATCH(YEAR(orderHistory[invoice_date]),$D$15,0)),MATCH(ROW(orderHistory[customer]),ROW(orderHistory[customer])),""),ROWS($A$15:A54)+$B$3))),IF($D$15="",INDEX(orderHistory[order_type],SMALL(IF(ISNUMBER(MATCH(orderHistory[customer],$D$9,0)*MATCH(orderHistory[order_type],$D$13,0)),MATCH(ROW(orderHistory[customer]),ROW(orderHistory[customer])),""),ROWS($A$15:A54)+$B$3)),INDEX(orderHistory[order_typ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YEAR(orderHistory[invoice_date]),$D$15,0)),MATCH(ROW(orderHistory[customer]),ROW(orderHistory[customer])),""),ROWS($A$15:A54)+$B$3))),IF($D$15="",INDEX(orderHistory[order_type],SMALL(IF(ISNUMBER(MATCH(orderHistory[customer],$D$9,0)*MATCH(orderHistory[status],$D$11,0)*MATCH(orderHistory[order_type],$D$13,0)),MATCH(ROW(orderHistory[customer]),ROW(orderHistory[customer])),""),ROWS($A$15:A54)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O49" s="455" t="str">
        <f t="array" ref="O49">IFERROR(IF($D$9="",IF($D$11="",IF($D$13="",IF($D$15="",INDEX(orderHistory[order_date],SMALL(MATCH(ROW(orderHistory[customer]),ROW(orderHistory[customer])),ROWS($A$15:A54)+$B$3)),INDEX(orderHistory[order_date],SMALL(IF(ISNUMBER(MATCH(YEAR(orderHistory[invoice_date]),$D$15,0)),MATCH(ROW(orderHistory[customer]),ROW(orderHistory[customer])),""),ROWS($A$15:A54)+$B$3))),IF($D$15="",INDEX(orderHistory[order_date],SMALL(IF(ISNUMBER(MATCH(orderHistory[order_type],$D$13,0)),MATCH(ROW(orderHistory[customer]),ROW(orderHistory[customer])),""),ROWS($A$15:A54)+$B$3)),INDEX(orderHistory[order_date],SMALL(IF(ISNUMBER(MATCH(orderHistory[order_type],$D$13,0)*MATCH(YEAR(orderHistory[invoice_date]),$D$15,0)),MATCH(ROW(orderHistory[customer]),ROW(orderHistory[customer])),""),ROWS($A$15:A54)+$B$3)))),IF($D$13="",IF($D$15="",INDEX(orderHistory[order_date],SMALL(IF(ISNUMBER(MATCH(orderHistory[status],$D$11,0)),MATCH(ROW(orderHistory[customer]),ROW(orderHistory[customer])),""),ROWS($A$15:A54)+$B$3)),INDEX(orderHistory[order_date],SMALL(IF(ISNUMBER(MATCH(orderHistory[status],$D$11,0)*MATCH(YEAR(orderHistory[invoice_date]),$D$15,0)),MATCH(ROW(orderHistory[customer]),ROW(orderHistory[customer])),""),ROWS($A$15:A54)+$B$3))),IF($D$15="",INDEX(orderHistory[order_date],SMALL(IF(ISNUMBER(MATCH(orderHistory[status],$D$11,0)*MATCH(orderHistory[order_type],$D$13,0)),MATCH(ROW(orderHistory[customer]),ROW(orderHistory[customer])),""),ROWS($A$15:A54)+$B$3)),INDEX(orderHistory[order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date],SMALL(IF(ISNUMBER(MATCH(orderHistory[customer],$D$9,0)),MATCH(ROW(orderHistory[customer]),ROW(orderHistory[customer])),""),ROWS($A$15:A54)+$B$3)),INDEX(orderHistory[order_date],SMALL(IF(ISNUMBER(MATCH(orderHistory[customer],$D$9,0)*MATCH(YEAR(orderHistory[invoice_date]),$D$15,0)),MATCH(ROW(orderHistory[customer]),ROW(orderHistory[customer])),""),ROWS($A$15:A54)+$B$3))),IF($D$15="",INDEX(orderHistory[order_date],SMALL(IF(ISNUMBER(MATCH(orderHistory[customer],$D$9,0)*MATCH(orderHistory[order_type],$D$13,0)),MATCH(ROW(orderHistory[customer]),ROW(orderHistory[customer])),""),ROWS($A$15:A54)+$B$3)),INDEX(orderHistory[order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YEAR(orderHistory[invoice_date]),$D$15,0)),MATCH(ROW(orderHistory[customer]),ROW(orderHistory[customer])),""),ROWS($A$15:A54)+$B$3))),IF($D$15="",INDEX(orderHistory[order_date],SMALL(IF(ISNUMBER(MATCH(orderHistory[customer],$D$9,0)*MATCH(orderHistory[status],$D$11,0)*MATCH(orderHistory[order_type],$D$13,0)),MATCH(ROW(orderHistory[customer]),ROW(orderHistory[customer])),""),ROWS($A$15:A54)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P49" s="456" t="str">
        <f t="array" ref="P49">IFERROR(IF($D$9="",IF($D$11="",IF($D$13="",IF($D$15="",INDEX(orderHistory[invoice_no],SMALL(MATCH(ROW(orderHistory[customer]),ROW(orderHistory[customer])),ROWS($A$15:A54)+$B$3)),INDEX(orderHistory[invoice_no],SMALL(IF(ISNUMBER(MATCH(YEAR(orderHistory[invoice_date]),$D$15,0)),MATCH(ROW(orderHistory[customer]),ROW(orderHistory[customer])),""),ROWS($A$15:A54)+$B$3))),IF($D$15="",INDEX(orderHistory[invoice_no],SMALL(IF(ISNUMBER(MATCH(orderHistory[order_type],$D$13,0)),MATCH(ROW(orderHistory[customer]),ROW(orderHistory[customer])),""),ROWS($A$15:A54)+$B$3)),INDEX(orderHistory[invoice_no],SMALL(IF(ISNUMBER(MATCH(orderHistory[order_type],$D$13,0)*MATCH(YEAR(orderHistory[invoice_date]),$D$15,0)),MATCH(ROW(orderHistory[customer]),ROW(orderHistory[customer])),""),ROWS($A$15:A54)+$B$3)))),IF($D$13="",IF($D$15="",INDEX(orderHistory[invoice_no],SMALL(IF(ISNUMBER(MATCH(orderHistory[status],$D$11,0)),MATCH(ROW(orderHistory[customer]),ROW(orderHistory[customer])),""),ROWS($A$15:A54)+$B$3)),INDEX(orderHistory[invoice_no],SMALL(IF(ISNUMBER(MATCH(orderHistory[status],$D$11,0)*MATCH(YEAR(orderHistory[invoice_date]),$D$15,0)),MATCH(ROW(orderHistory[customer]),ROW(orderHistory[customer])),""),ROWS($A$15:A54)+$B$3))),IF($D$15="",INDEX(orderHistory[invoice_no],SMALL(IF(ISNUMBER(MATCH(orderHistory[status],$D$11,0)*MATCH(orderHistory[order_type],$D$13,0)),MATCH(ROW(orderHistory[customer]),ROW(orderHistory[customer])),""),ROWS($A$15:A54)+$B$3)),INDEX(orderHistory[invoice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no],SMALL(IF(ISNUMBER(MATCH(orderHistory[customer],$D$9,0)),MATCH(ROW(orderHistory[customer]),ROW(orderHistory[customer])),""),ROWS($A$15:A54)+$B$3)),INDEX(orderHistory[invoice_no],SMALL(IF(ISNUMBER(MATCH(orderHistory[customer],$D$9,0)*MATCH(YEAR(orderHistory[invoice_date]),$D$15,0)),MATCH(ROW(orderHistory[customer]),ROW(orderHistory[customer])),""),ROWS($A$15:A54)+$B$3))),IF($D$15="",INDEX(orderHistory[invoice_no],SMALL(IF(ISNUMBER(MATCH(orderHistory[customer],$D$9,0)*MATCH(orderHistory[order_type],$D$13,0)),MATCH(ROW(orderHistory[customer]),ROW(orderHistory[customer])),""),ROWS($A$15:A54)+$B$3)),INDEX(orderHistory[invoice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YEAR(orderHistory[invoice_date]),$D$15,0)),MATCH(ROW(orderHistory[customer]),ROW(orderHistory[customer])),""),ROWS($A$15:A54)+$B$3))),IF($D$15="",INDEX(orderHistory[invoice_no],SMALL(IF(ISNUMBER(MATCH(orderHistory[customer],$D$9,0)*MATCH(orderHistory[status],$D$11,0)*MATCH(orderHistory[order_type],$D$13,0)),MATCH(ROW(orderHistory[customer]),ROW(orderHistory[customer])),""),ROWS($A$15:A54)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Q49" s="457" t="str">
        <f t="array" ref="Q49">IFERROR(IF($D$9="",IF($D$11="",IF($D$13="",IF($D$15="",INDEX(orderHistory[invoice_date],SMALL(MATCH(ROW(orderHistory[customer]),ROW(orderHistory[customer])),ROWS($A$15:A54)+$B$3)),INDEX(orderHistory[invoice_date],SMALL(IF(ISNUMBER(MATCH(YEAR(orderHistory[invoice_date]),$D$15,0)),MATCH(ROW(orderHistory[customer]),ROW(orderHistory[customer])),""),ROWS($A$15:A54)+$B$3))),IF($D$15="",INDEX(orderHistory[invoice_date],SMALL(IF(ISNUMBER(MATCH(orderHistory[order_type],$D$13,0)),MATCH(ROW(orderHistory[customer]),ROW(orderHistory[customer])),""),ROWS($A$15:A54)+$B$3)),INDEX(orderHistory[invoice_date],SMALL(IF(ISNUMBER(MATCH(orderHistory[order_type],$D$13,0)*MATCH(YEAR(orderHistory[invoice_date]),$D$15,0)),MATCH(ROW(orderHistory[customer]),ROW(orderHistory[customer])),""),ROWS($A$15:A54)+$B$3)))),IF($D$13="",IF($D$15="",INDEX(orderHistory[invoice_date],SMALL(IF(ISNUMBER(MATCH(orderHistory[status],$D$11,0)),MATCH(ROW(orderHistory[customer]),ROW(orderHistory[customer])),""),ROWS($A$15:A54)+$B$3)),INDEX(orderHistory[invoice_date],SMALL(IF(ISNUMBER(MATCH(orderHistory[status],$D$11,0)*MATCH(YEAR(orderHistory[invoice_date]),$D$15,0)),MATCH(ROW(orderHistory[customer]),ROW(orderHistory[customer])),""),ROWS($A$15:A54)+$B$3))),IF($D$15="",INDEX(orderHistory[invoice_date],SMALL(IF(ISNUMBER(MATCH(orderHistory[status],$D$11,0)*MATCH(orderHistory[order_type],$D$13,0)),MATCH(ROW(orderHistory[customer]),ROW(orderHistory[customer])),""),ROWS($A$15:A54)+$B$3)),INDEX(orderHistory[invoice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date],SMALL(IF(ISNUMBER(MATCH(orderHistory[customer],$D$9,0)),MATCH(ROW(orderHistory[customer]),ROW(orderHistory[customer])),""),ROWS($A$15:A54)+$B$3)),INDEX(orderHistory[invoice_date],SMALL(IF(ISNUMBER(MATCH(orderHistory[customer],$D$9,0)*MATCH(YEAR(orderHistory[invoice_date]),$D$15,0)),MATCH(ROW(orderHistory[customer]),ROW(orderHistory[customer])),""),ROWS($A$15:A54)+$B$3))),IF($D$15="",INDEX(orderHistory[invoice_date],SMALL(IF(ISNUMBER(MATCH(orderHistory[customer],$D$9,0)*MATCH(orderHistory[order_type],$D$13,0)),MATCH(ROW(orderHistory[customer]),ROW(orderHistory[customer])),""),ROWS($A$15:A54)+$B$3)),INDEX(orderHistory[invoice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YEAR(orderHistory[invoice_date]),$D$15,0)),MATCH(ROW(orderHistory[customer]),ROW(orderHistory[customer])),""),ROWS($A$15:A54)+$B$3))),IF($D$15="",INDEX(orderHistory[invoice_date],SMALL(IF(ISNUMBER(MATCH(orderHistory[customer],$D$9,0)*MATCH(orderHistory[status],$D$11,0)*MATCH(orderHistory[order_type],$D$13,0)),MATCH(ROW(orderHistory[customer]),ROW(orderHistory[customer])),""),ROWS($A$15:A54)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R49" s="458" t="str">
        <f t="array" ref="R49">IFERROR(IF($D$9="",IF($D$11="",IF($D$13="",IF($D$15="",INDEX(orderHistory[inv_amount],SMALL(MATCH(ROW(orderHistory[customer]),ROW(orderHistory[customer])),ROWS($A$15:A54)+$B$3)),INDEX(orderHistory[inv_amount],SMALL(IF(ISNUMBER(MATCH(YEAR(orderHistory[invoice_date]),$D$15,0)),MATCH(ROW(orderHistory[customer]),ROW(orderHistory[customer])),""),ROWS($A$15:A54)+$B$3))),IF($D$15="",INDEX(orderHistory[inv_amount],SMALL(IF(ISNUMBER(MATCH(orderHistory[order_type],$D$13,0)),MATCH(ROW(orderHistory[customer]),ROW(orderHistory[customer])),""),ROWS($A$15:A54)+$B$3)),INDEX(orderHistory[inv_amount],SMALL(IF(ISNUMBER(MATCH(orderHistory[order_type],$D$13,0)*MATCH(YEAR(orderHistory[invoice_date]),$D$15,0)),MATCH(ROW(orderHistory[customer]),ROW(orderHistory[customer])),""),ROWS($A$15:A54)+$B$3)))),IF($D$13="",IF($D$15="",INDEX(orderHistory[inv_amount],SMALL(IF(ISNUMBER(MATCH(orderHistory[status],$D$11,0)),MATCH(ROW(orderHistory[customer]),ROW(orderHistory[customer])),""),ROWS($A$15:A54)+$B$3)),INDEX(orderHistory[inv_amount],SMALL(IF(ISNUMBER(MATCH(orderHistory[status],$D$11,0)*MATCH(YEAR(orderHistory[invoice_date]),$D$15,0)),MATCH(ROW(orderHistory[customer]),ROW(orderHistory[customer])),""),ROWS($A$15:A54)+$B$3))),IF($D$15="",INDEX(orderHistory[inv_amount],SMALL(IF(ISNUMBER(MATCH(orderHistory[status],$D$11,0)*MATCH(orderHistory[order_type],$D$13,0)),MATCH(ROW(orderHistory[customer]),ROW(orderHistory[customer])),""),ROWS($A$15:A54)+$B$3)),INDEX(orderHistory[inv_amount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_amount],SMALL(IF(ISNUMBER(MATCH(orderHistory[customer],$D$9,0)),MATCH(ROW(orderHistory[customer]),ROW(orderHistory[customer])),""),ROWS($A$15:A54)+$B$3)),INDEX(orderHistory[inv_amount],SMALL(IF(ISNUMBER(MATCH(orderHistory[customer],$D$9,0)*MATCH(YEAR(orderHistory[invoice_date]),$D$15,0)),MATCH(ROW(orderHistory[customer]),ROW(orderHistory[customer])),""),ROWS($A$15:A54)+$B$3))),IF($D$15="",INDEX(orderHistory[inv_amount],SMALL(IF(ISNUMBER(MATCH(orderHistory[customer],$D$9,0)*MATCH(orderHistory[order_type],$D$13,0)),MATCH(ROW(orderHistory[customer]),ROW(orderHistory[customer])),""),ROWS($A$15:A54)+$B$3)),INDEX(orderHistory[inv_amount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YEAR(orderHistory[inv_amount]),$D$15,0)),MATCH(ROW(orderHistory[customer]),ROW(orderHistory[customer])),""),ROWS($A$15:A54)+$B$3))),IF($D$15="",INDEX(orderHistory[inv_amount],SMALL(IF(ISNUMBER(MATCH(orderHistory[customer],$D$9,0)*MATCH(orderHistory[status],$D$11,0)*MATCH(orderHistory[order_type],$D$13,0)),MATCH(ROW(orderHistory[customer]),ROW(orderHistory[customer])),""),ROWS($A$15:A54)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S49" s="569" t="str">
        <f t="array" ref="S49">IFERROR(IF($D$9="",IF($D$11="",IF($D$13="",IF($D$15="",INDEX(orderHistory[lock_goods],SMALL(MATCH(ROW(orderHistory[customer]),ROW(orderHistory[customer])),ROWS($A$15:A54)+$B$3)),INDEX(orderHistory[lock_goods],SMALL(IF(ISNUMBER(MATCH(YEAR(orderHistory[invoice_date]),$D$15,0)),MATCH(ROW(orderHistory[customer]),ROW(orderHistory[customer])),""),ROWS($A$15:A54)+$B$3))),IF($D$15="",INDEX(orderHistory[lock_goods],SMALL(IF(ISNUMBER(MATCH(orderHistory[order_type],$D$13,0)),MATCH(ROW(orderHistory[customer]),ROW(orderHistory[customer])),""),ROWS($A$15:A54)+$B$3)),INDEX(orderHistory[lock_goods],SMALL(IF(ISNUMBER(MATCH(orderHistory[order_type],$D$13,0)*MATCH(YEAR(orderHistory[invoice_date]),$D$15,0)),MATCH(ROW(orderHistory[customer]),ROW(orderHistory[customer])),""),ROWS($A$15:A54)+$B$3)))),IF($D$13="",IF($D$15="",INDEX(orderHistory[lock_goods],SMALL(IF(ISNUMBER(MATCH(orderHistory[status],$D$11,0)),MATCH(ROW(orderHistory[customer]),ROW(orderHistory[customer])),""),ROWS($A$15:A54)+$B$3)),INDEX(orderHistory[lock_goods],SMALL(IF(ISNUMBER(MATCH(orderHistory[status],$D$11,0)*MATCH(YEAR(orderHistory[invoice_date]),$D$15,0)),MATCH(ROW(orderHistory[customer]),ROW(orderHistory[customer])),""),ROWS($A$15:A54)+$B$3))),IF($D$15="",INDEX(orderHistory[lock_goods],SMALL(IF(ISNUMBER(MATCH(orderHistory[status],$D$11,0)*MATCH(orderHistory[order_type],$D$13,0)),MATCH(ROW(orderHistory[customer]),ROW(orderHistory[customer])),""),ROWS($A$15:A54)+$B$3)),INDEX(orderHistory[lock_good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lock_goods],SMALL(IF(ISNUMBER(MATCH(orderHistory[customer],$D$9,0)),MATCH(ROW(orderHistory[customer]),ROW(orderHistory[customer])),""),ROWS($A$15:A54)+$B$3)),INDEX(orderHistory[lock_goods],SMALL(IF(ISNUMBER(MATCH(orderHistory[customer],$D$9,0)*MATCH(YEAR(orderHistory[invoice_date]),$D$15,0)),MATCH(ROW(orderHistory[customer]),ROW(orderHistory[customer])),""),ROWS($A$15:A54)+$B$3))),IF($D$15="",INDEX(orderHistory[lock_goods],SMALL(IF(ISNUMBER(MATCH(orderHistory[customer],$D$9,0)*MATCH(orderHistory[order_type],$D$13,0)),MATCH(ROW(orderHistory[customer]),ROW(orderHistory[customer])),""),ROWS($A$15:A54)+$B$3)),INDEX(orderHistory[lock_good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lock_goods],SMALL(IF(ISNUMBER(MATCH(orderHistory[customer],$D$9,0)*MATCH(orderHistory[status],$D$11,0)),MATCH(ROW(orderHistory[customer]),ROW(orderHistory[customer])),""),ROWS($A$15:A54)+$B$3)),INDEX(orderHistory[lock_goods],SMALL(IF(ISNUMBER(MATCH(orderHistory[customer],$D$9,0)*MATCH(orderHistory[status],$D$11,0)*MATCH(YEAR(orderHistory[payed]),$D$15,0)),MATCH(ROW(orderHistory[customer]),ROW(orderHistory[customer])),""),ROWS($A$15:A54)+$B$3))),IF($D$15="",INDEX(orderHistory[lock_goods],SMALL(IF(ISNUMBER(MATCH(orderHistory[customer],$D$9,0)*MATCH(orderHistory[status],$D$11,0)*MATCH(orderHistory[order_type],$D$13,0)),MATCH(ROW(orderHistory[customer]),ROW(orderHistory[customer])),""),ROWS($A$15:A54)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T49" s="459" t="str">
        <f t="array" ref="T49">IFERROR(IF($D$9="",IF($D$11="",IF($D$13="",IF($D$15="",INDEX(orderHistory[payed],SMALL(MATCH(ROW(orderHistory[customer]),ROW(orderHistory[customer])),ROWS($A$15:A54)+$B$3)),INDEX(orderHistory[payed],SMALL(IF(ISNUMBER(MATCH(YEAR(orderHistory[invoice_date]),$D$15,0)),MATCH(ROW(orderHistory[customer]),ROW(orderHistory[customer])),""),ROWS($A$15:A54)+$B$3))),IF($D$15="",INDEX(orderHistory[payed],SMALL(IF(ISNUMBER(MATCH(orderHistory[order_type],$D$13,0)),MATCH(ROW(orderHistory[customer]),ROW(orderHistory[customer])),""),ROWS($A$15:A54)+$B$3)),INDEX(orderHistory[payed],SMALL(IF(ISNUMBER(MATCH(orderHistory[order_type],$D$13,0)*MATCH(YEAR(orderHistory[invoice_date]),$D$15,0)),MATCH(ROW(orderHistory[customer]),ROW(orderHistory[customer])),""),ROWS($A$15:A54)+$B$3)))),IF($D$13="",IF($D$15="",INDEX(orderHistory[payed],SMALL(IF(ISNUMBER(MATCH(orderHistory[status],$D$11,0)),MATCH(ROW(orderHistory[customer]),ROW(orderHistory[customer])),""),ROWS($A$15:A54)+$B$3)),INDEX(orderHistory[payed],SMALL(IF(ISNUMBER(MATCH(orderHistory[status],$D$11,0)*MATCH(YEAR(orderHistory[invoice_date]),$D$15,0)),MATCH(ROW(orderHistory[customer]),ROW(orderHistory[customer])),""),ROWS($A$15:A54)+$B$3))),IF($D$15="",INDEX(orderHistory[payed],SMALL(IF(ISNUMBER(MATCH(orderHistory[status],$D$11,0)*MATCH(orderHistory[order_type],$D$13,0)),MATCH(ROW(orderHistory[customer]),ROW(orderHistory[customer])),""),ROWS($A$15:A54)+$B$3)),INDEX(orderHistory[paye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payed],SMALL(IF(ISNUMBER(MATCH(orderHistory[customer],$D$9,0)),MATCH(ROW(orderHistory[customer]),ROW(orderHistory[customer])),""),ROWS($A$15:A54)+$B$3)),INDEX(orderHistory[payed],SMALL(IF(ISNUMBER(MATCH(orderHistory[customer],$D$9,0)*MATCH(YEAR(orderHistory[invoice_date]),$D$15,0)),MATCH(ROW(orderHistory[customer]),ROW(orderHistory[customer])),""),ROWS($A$15:A54)+$B$3))),IF($D$15="",INDEX(orderHistory[payed],SMALL(IF(ISNUMBER(MATCH(orderHistory[customer],$D$9,0)*MATCH(orderHistory[order_type],$D$13,0)),MATCH(ROW(orderHistory[customer]),ROW(orderHistory[customer])),""),ROWS($A$15:A54)+$B$3)),INDEX(orderHistory[paye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YEAR(orderHistory[payed]),$D$15,0)),MATCH(ROW(orderHistory[customer]),ROW(orderHistory[customer])),""),ROWS($A$15:A54)+$B$3))),IF($D$15="",INDEX(orderHistory[payed],SMALL(IF(ISNUMBER(MATCH(orderHistory[customer],$D$9,0)*MATCH(orderHistory[status],$D$11,0)*MATCH(orderHistory[order_type],$D$13,0)),MATCH(ROW(orderHistory[customer]),ROW(orderHistory[customer])),""),ROWS($A$15:A54)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U49" s="454" t="str">
        <f t="array" ref="U49">IFERROR(IF($D$9="",IF($D$11="",IF($D$13="",IF($D$15="",INDEX(orderHistory[shipping_method],SMALL(MATCH(ROW(orderHistory[customer]),ROW(orderHistory[customer])),ROWS($A$15:A54)+$B$3)),INDEX(orderHistory[shipping_method],SMALL(IF(ISNUMBER(MATCH(YEAR(orderHistory[invoice_date]),$D$15,0)),MATCH(ROW(orderHistory[customer]),ROW(orderHistory[customer])),""),ROWS($A$15:A54)+$B$3))),IF($D$15="",INDEX(orderHistory[shipping_method],SMALL(IF(ISNUMBER(MATCH(orderHistory[order_type],$D$13,0)),MATCH(ROW(orderHistory[customer]),ROW(orderHistory[customer])),""),ROWS($A$15:A54)+$B$3)),INDEX(orderHistory[shipping_method],SMALL(IF(ISNUMBER(MATCH(orderHistory[order_type],$D$13,0)*MATCH(YEAR(orderHistory[invoice_date]),$D$15,0)),MATCH(ROW(orderHistory[customer]),ROW(orderHistory[customer])),""),ROWS($A$15:A54)+$B$3)))),IF($D$13="",IF($D$15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YEAR(orderHistory[invoice_date]),$D$15,0)),MATCH(ROW(orderHistory[customer]),ROW(orderHistory[customer])),""),ROWS($A$15:A54)+$B$3))),IF($D$15="",INDEX(orderHistory[shipping_method],SMALL(IF(ISNUMBER(MATCH(orderHistory[status],$D$11,0)*MATCH(orderHistory[order_type],$D$13,0)),MATCH(ROW(orderHistory[customer]),ROW(orderHistory[customer])),""),ROWS($A$15:A54)+$B$3)),INDEX(orderHistory[shipping_metho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YEAR(orderHistory[invoice_date]),$D$15,0)),MATCH(ROW(orderHistory[customer]),ROW(orderHistory[customer])),""),ROWS($A$15:A54)+$B$3))),IF($D$15="",INDEX(orderHistory[shipping_method],SMALL(IF(ISNUMBER(MATCH(orderHistory[customer],$D$9,0)*MATCH(orderHistory[order_type],$D$13,0)),MATCH(ROW(orderHistory[customer]),ROW(orderHistory[customer])),""),ROWS($A$15:A54)+$B$3)),INDEX(orderHistory[shipping_metho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YEAR(orderHistory[shipping_method]),$D$15,0)),MATCH(ROW(orderHistory[customer]),ROW(orderHistory[customer])),""),ROWS($A$15:A54)+$B$3))),IF($D$15="",INDEX(orderHistory[shipping_method],SMALL(IF(ISNUMBER(MATCH(orderHistory[customer],$D$9,0)*MATCH(orderHistory[status],$D$11,0)*MATCH(orderHistory[order_type],$D$13,0)),MATCH(ROW(orderHistory[customer]),ROW(orderHistory[customer])),""),ROWS($A$15:A54)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V49" s="460" t="str">
        <f t="array" ref="V49">IFERROR(IF($D$9="",IF($D$11="",IF($D$13="",IF($D$15="",INDEX(orderHistory[status],SMALL(MATCH(ROW(orderHistory[customer]),ROW(orderHistory[customer])),ROWS($A$15:A54)+$B$3)),INDEX(orderHistory[status],SMALL(IF(ISNUMBER(MATCH(YEAR(orderHistory[invoice_date]),$D$15,0)),MATCH(ROW(orderHistory[customer]),ROW(orderHistory[customer])),""),ROWS($A$15:A54)+$B$3))),IF($D$15="",INDEX(orderHistory[status],SMALL(IF(ISNUMBER(MATCH(orderHistory[order_type],$D$13,0)),MATCH(ROW(orderHistory[customer]),ROW(orderHistory[customer])),""),ROWS($A$15:A54)+$B$3)),INDEX(orderHistory[status],SMALL(IF(ISNUMBER(MATCH(orderHistory[order_type],$D$13,0)*MATCH(YEAR(orderHistory[invoice_date]),$D$15,0)),MATCH(ROW(orderHistory[customer]),ROW(orderHistory[customer])),""),ROWS($A$15:A54)+$B$3)))),IF($D$13="",IF($D$15="",INDEX(orderHistory[status],SMALL(IF(ISNUMBER(MATCH(orderHistory[status],$D$11,0)),MATCH(ROW(orderHistory[customer]),ROW(orderHistory[customer])),""),ROWS($A$15:A54)+$B$3)),INDEX(orderHistory[status],SMALL(IF(ISNUMBER(MATCH(orderHistory[status],$D$11,0)*MATCH(YEAR(orderHistory[invoice_date]),$D$15,0)),MATCH(ROW(orderHistory[customer]),ROW(orderHistory[customer])),""),ROWS($A$15:A54)+$B$3))),IF($D$15="",INDEX(orderHistory[status],SMALL(IF(ISNUMBER(MATCH(orderHistory[status],$D$11,0)*MATCH(orderHistory[order_type],$D$13,0)),MATCH(ROW(orderHistory[customer]),ROW(orderHistory[customer])),""),ROWS($A$15:A54)+$B$3)),INDEX(orderHistory[statu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tatus],SMALL(IF(ISNUMBER(MATCH(orderHistory[customer],$D$9,0)),MATCH(ROW(orderHistory[customer]),ROW(orderHistory[customer])),""),ROWS($A$15:A54)+$B$3)),INDEX(orderHistory[status],SMALL(IF(ISNUMBER(MATCH(orderHistory[customer],$D$9,0)*MATCH(YEAR(orderHistory[invoice_date]),$D$15,0)),MATCH(ROW(orderHistory[customer]),ROW(orderHistory[customer])),""),ROWS($A$15:A54)+$B$3))),IF($D$15="",INDEX(orderHistory[status],SMALL(IF(ISNUMBER(MATCH(orderHistory[customer],$D$9,0)*MATCH(orderHistory[order_type],$D$13,0)),MATCH(ROW(orderHistory[customer]),ROW(orderHistory[customer])),""),ROWS($A$15:A54)+$B$3)),INDEX(orderHistory[statu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YEAR(orderHistory[status]),$D$15,0)),MATCH(ROW(orderHistory[customer]),ROW(orderHistory[customer])),""),ROWS($A$15:A54)+$B$3))),IF($D$15="",INDEX(orderHistory[status],SMALL(IF(ISNUMBER(MATCH(orderHistory[customer],$D$9,0)*MATCH(orderHistory[status],$D$11,0)*MATCH(orderHistory[order_type],$D$13,0)),MATCH(ROW(orderHistory[customer]),ROW(orderHistory[customer])),""),ROWS($A$15:A54)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W49" s="75"/>
      <c r="X49" s="332"/>
      <c r="BG49" s="245"/>
      <c r="BK49" s="366"/>
      <c r="BL49" s="367"/>
      <c r="BM49" s="368"/>
      <c r="BN49" s="367"/>
      <c r="BO49" s="368"/>
      <c r="BZ49" s="495"/>
      <c r="CA49" s="477" t="str">
        <f>IF(BZ49="","",INDEX(bhpc_data[description],MATCH(BZ49,bhpc_data[sku],0)))</f>
        <v/>
      </c>
      <c r="CB49" s="478"/>
      <c r="CC49" s="479"/>
      <c r="CD49" s="494"/>
      <c r="CE49" s="481"/>
      <c r="CF49" s="482"/>
      <c r="CG49" s="483" t="str">
        <f>IFERROR(ROUNDUP(CB49/INDEX(bhpc_data[units_per_carton],MATCH(BZ49,bhpc_data[sku],0)),0),"")</f>
        <v/>
      </c>
      <c r="CH49" s="484" t="str">
        <f>IFERROR(ROUNDUP(CD49/INDEX(bhpc_data[units_per_carton],MATCH(BZ49,bhpc_data[sku],0)),0),"")</f>
        <v/>
      </c>
      <c r="CI49" s="484" t="str">
        <f>IFERROR(ROUNDUP(CF49/INDEX(bhpc_data[units_per_carton],MATCH(BZ49,bhpc_data[sku])),0),"")</f>
        <v/>
      </c>
      <c r="CJ49" s="484" t="str">
        <f>IFERROR(((CB49+CD49+CF49)/INDEX(bhpc_data[units_per_carton],MATCH(BZ49,bhpc_data[sku],0)))*INDEX(bhpc_data[net_weight],MATCH(BZ49,bhpc_data[sku],0)),"")</f>
        <v/>
      </c>
      <c r="CK49" s="484" t="str">
        <f>IFERROR(((CB49+CD49+CF49)/INDEX(bhpc_data[units_per_carton],MATCH(BZ49,bhpc_data[sku],0)))*INDEX(bhpc_data[gross_weight],MATCH(BZ49,bhpc_data[sku],0)),"")</f>
        <v/>
      </c>
      <c r="CL49" s="485" t="str">
        <f>IFERROR((CB49+CD49+CF49)/INDEX(bhpc_data[units_per_carton],MATCH(BZ49,bhpc_data[sku],0))*INDEX(bhpc_data[lenght],MATCH(BZ49,bhpc_data[sku],0))*INDEX(bhpc_data[width],MATCH(BZ49,bhpc_data[sku],0))*INDEX(bhpc_data[height],MATCH(BZ49,bhpc_data[sku],0))/1000000000,"")</f>
        <v/>
      </c>
      <c r="CM49" s="486" t="str">
        <f>IFERROR(INDEX(bhpc_data[category],MATCH(BZ49,bhpc_data[sku],0)),"")</f>
        <v/>
      </c>
      <c r="CN49" s="486" t="str">
        <f>IFERROR(INDEX(bhpc_data[size1],MATCH(BZ49,bhpc_data[sku],0)),"")</f>
        <v/>
      </c>
      <c r="CO49" s="487" t="str">
        <f>IFERROR(INDEX(bhpc_data[hs_code],MATCH(BZ49,bhpc_data[sku],0)),"")</f>
        <v/>
      </c>
      <c r="CP49" s="482"/>
      <c r="CQ49" s="488" t="str">
        <f>IFERROR(IF(BZ49="","",IF($BX$15="SALE",INDEX(inventory[COSTO UNITARIO],MATCH(BZ49,inventory[ARTICOLO],0)),IF($BX$15="SAMPLING",INDEX(inventory[COSTO UNITARIO],MATCH(BZ49,inventory[ARTICOLO],0)),""))),"")</f>
        <v/>
      </c>
      <c r="CR49" s="488" t="str">
        <f t="shared" si="5"/>
        <v/>
      </c>
      <c r="CS49" s="489" t="str">
        <f t="shared" si="6"/>
        <v/>
      </c>
      <c r="CT49" s="573" t="str">
        <f t="shared" si="7"/>
        <v/>
      </c>
      <c r="CU49" s="350"/>
      <c r="CV49" s="350"/>
      <c r="CW49" s="350"/>
      <c r="CX49" s="350"/>
      <c r="CY49" s="350"/>
      <c r="CZ49" s="350"/>
      <c r="DA49" s="350" t="str">
        <f>IFERROR(VLOOKUP(BZ49,bhpc_data[],22,FALSE),"")</f>
        <v/>
      </c>
      <c r="EE49" s="541" t="str" cm="1">
        <f t="array" ref="EE49">IFERROR(IF($EC$9="",IF($EC$11="",IF($EC$13="",INDEX(bhpc_data[sku],SMALL(MATCH(ROW(bhpc_data[sku]),ROW(bhpc_data[sku])),ROWS($A$15:A54)+$B$3)),INDEX(bhpc_data[sku],SMALL(IF(ISNUMBER(MATCH(bhpc_data[size1],$EC$13,0)),MATCH(ROW(bhpc_data[sku]),ROW(bhpc_data[sku])),""),ROWS($A$15:A54)+$B$3))),IF($EC$13="",INDEX(bhpc_data[sku],SMALL(IF(ISNUMBER(MATCH(bhpc_data[sex],$EC$11,0)),MATCH(ROW(bhpc_data[sku]),ROW(bhpc_data[sku])),""),ROWS($A$15:A54)+$B$3)),INDEX(bhpc_data[sku],SMALL(IF(ISNUMBER(MATCH(bhpc_data[sex],$EC$11,0)*MATCH(bhpc_data[size1],$EC$13,0)),MATCH(ROW(bhpc_data[sku]),ROW(bhpc_data[sku])),""),ROWS($A$15:A54)+$B$3)))),IF($EC$11="",IF($EC$13="",INDEX(bhpc_data[sku],SMALL(IF(ISNUMBER(MATCH(bhpc_data[category],$EC$9,0)),MATCH(ROW(bhpc_data[sku]),ROW(bhpc_data[sku])),""),ROWS($A$15:A54)+$B$3)),INDEX(bhpc_data[sku],SMALL(IF(ISNUMBER(MATCH(bhpc_data[category],$EC$9,0)*MATCH(bhpc_data[size1],$EC$13,0)),MATCH(ROW(bhpc_data[sku]),ROW(bhpc_data[sku])),""),ROWS($A$15:A54)+$B$3))),IF($EC$13="",INDEX(bhpc_data[sku],SMALL(IF(ISNUMBER(MATCH(bhpc_data[category],$EC$9,0)*MATCH(bhpc_data[sex],$EC$11,0)),MATCH(ROW(bhpc_data[sku]),ROW(bhpc_data[sku])),""),ROWS($A$15:A54)+$B$3)),INDEX(bhpc_data[sku],SMALL(IF(ISNUMBER(MATCH(bhpc_data[category],$EC$9,0)*MATCH(bhpc_data[sex],$EC$11,0)*MATCH(bhpc_data[size1],$EC$13,0)),MATCH(ROW(bhpc_data[sku]),ROW(bhpc_data[sku])),""),ROWS($A$15:A54)+$B$3))))),"")</f>
        <v>P05005</v>
      </c>
      <c r="EF49" s="542" t="str" cm="1">
        <f t="array" ref="EF49">IFERROR(IF($EC$9="",IF($EC$11="",IF($EC$13="",INDEX(bhpc_data[description],SMALL(MATCH(ROW(bhpc_data[sku]),ROW(bhpc_data[sku])),ROWS($A$15:A54)+$B$3)),INDEX(bhpc_data[description],SMALL(IF(ISNUMBER(MATCH(bhpc_data[size1],$EC$13,0)),MATCH(ROW(bhpc_data[sku]),ROW(bhpc_data[sku])),""),ROWS($A$15:A54)+$B$3))),IF($EC$13="",INDEX(bhpc_data[description],SMALL(IF(ISNUMBER(MATCH(bhpc_data[sex],$EC$11,0)),MATCH(ROW(bhpc_data[sku]),ROW(bhpc_data[sku])),""),ROWS($A$15:A54)+$B$3)),INDEX(bhpc_data[description],SMALL(IF(ISNUMBER(MATCH(bhpc_data[sex],$EC$11,0)*MATCH(bhpc_data[size1],$EC$13,0)),MATCH(ROW(bhpc_data[sku]),ROW(bhpc_data[sku])),""),ROWS($A$15:A54)+$B$3)))),IF($EC$11="",IF($EC$13="",INDEX(bhpc_data[description],SMALL(IF(ISNUMBER(MATCH(bhpc_data[category],$EC$9,0)),MATCH(ROW(bhpc_data[sku]),ROW(bhpc_data[sku])),""),ROWS($A$15:A54)+$B$3)),INDEX(bhpc_data[description],SMALL(IF(ISNUMBER(MATCH(bhpc_data[category],$EC$9,0)*MATCH(bhpc_data[size1],$EC$13,0)),MATCH(ROW(bhpc_data[sku]),ROW(bhpc_data[sku])),""),ROWS($A$15:A54)+$B$3))),IF($EC$13="",INDEX(bhpc_data[description],SMALL(IF(ISNUMBER(MATCH(bhpc_data[category],$EC$9,0)*MATCH(bhpc_data[sex],$EC$11,0)),MATCH(ROW(bhpc_data[sku]),ROW(bhpc_data[sku])),""),ROWS($A$15:A54)+$B$3)),INDEX(bhpc_data[description],SMALL(IF(ISNUMBER(MATCH(bhpc_data[category],$EC$9,0)*MATCH(bhpc_data[sex],$EC$11,0)*MATCH(bhpc_data[size1],$EC$13,0)),MATCH(ROW(bhpc_data[sku]),ROW(bhpc_data[sku])),""),ROWS($A$15:A54)+$B$3))))),"")</f>
        <v>BHPC SPORT MEN 9 EDT 100ML</v>
      </c>
      <c r="EG49" s="543">
        <f>IFERROR(IF('BHPC MANAGER'!$EE49="","",INDEX(inventory[ESISTENZA],MATCH('BHPC MANAGER'!$EE49,inventory[ARTICOLO],0))),0)</f>
        <v>13213</v>
      </c>
      <c r="EH49" s="544">
        <v>5864</v>
      </c>
      <c r="EI49" s="544">
        <f t="shared" si="3"/>
        <v>19077</v>
      </c>
      <c r="EJ49" s="545">
        <v>-72</v>
      </c>
      <c r="EK49" s="546">
        <f t="shared" si="4"/>
        <v>19005</v>
      </c>
      <c r="EO49" s="245" t="str">
        <f t="array" ref="EO49">IFERROR(INDEX(orderHistory[order_no],SMALL(IF(ISNUMBER(MATCH(orderHistory[status],$EO$7,0)),MATCH(ROW(orderHistory[order_no]),ROW(orderHistory[order_no])),""),ROWS($A$15:A54))),"")</f>
        <v/>
      </c>
    </row>
    <row r="50" spans="10:145" ht="15" customHeight="1" x14ac:dyDescent="0.35">
      <c r="J50" s="332"/>
      <c r="K50" s="332"/>
      <c r="L50" s="452" t="str">
        <f t="array" ref="L50">IFERROR(IF($D$9="",IF($D$11="",IF($D$13="",IF($D$15="",INDEX(orderHistory[customer],SMALL(MATCH(ROW(orderHistory[customer]),ROW(orderHistory[customer])),ROWS($A$15:A55)+$B$3)),INDEX(orderHistory[customer],SMALL(IF(ISNUMBER(MATCH(YEAR(orderHistory[invoice_date]),$D$15,0)),MATCH(ROW(orderHistory[customer]),ROW(orderHistory[customer])),""),ROWS($A$15:A55)+$B$3))),IF($D$15="",INDEX(orderHistory[customer],SMALL(IF(ISNUMBER(MATCH(orderHistory[order_type],$D$13,0)),MATCH(ROW(orderHistory[customer]),ROW(orderHistory[customer])),""),ROWS($A$15:A55)+$B$3)),INDEX(orderHistory[customer],SMALL(IF(ISNUMBER(MATCH(orderHistory[order_type],$D$13,0)*MATCH(YEAR(orderHistory[invoice_date]),$D$15,0)),MATCH(ROW(orderHistory[customer]),ROW(orderHistory[customer])),""),ROWS($A$15:A55)+$B$3)))),IF($D$13="",IF($D$15="",INDEX(orderHistory[customer],SMALL(IF(ISNUMBER(MATCH(orderHistory[status],$D$11,0)),MATCH(ROW(orderHistory[customer]),ROW(orderHistory[customer])),""),ROWS($A$15:A55)+$B$3)),INDEX(orderHistory[customer],SMALL(IF(ISNUMBER(MATCH(orderHistory[status],$D$11,0)*MATCH(YEAR(orderHistory[invoice_date]),$D$15,0)),MATCH(ROW(orderHistory[customer]),ROW(orderHistory[customer])),""),ROWS($A$15:A55)+$B$3))),IF($D$15="",INDEX(orderHistory[customer],SMALL(IF(ISNUMBER(MATCH(orderHistory[status],$D$11,0)*MATCH(orderHistory[order_type],$D$13,0)),MATCH(ROW(orderHistory[customer]),ROW(orderHistory[customer])),""),ROWS($A$15:A55)+$B$3)),INDEX(orderHistory[customer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customer],SMALL(IF(ISNUMBER(MATCH(orderHistory[customer],$D$9,0)),MATCH(ROW(orderHistory[customer]),ROW(orderHistory[customer])),""),ROWS($A$15:A55)+$B$3)),INDEX(orderHistory[customer],SMALL(IF(ISNUMBER(MATCH(orderHistory[customer],$D$9,0)*MATCH(YEAR(orderHistory[invoice_date]),$D$15,0)),MATCH(ROW(orderHistory[customer]),ROW(orderHistory[customer])),""),ROWS($A$15:A55)+$B$3))),IF($D$15="",INDEX(orderHistory[customer],SMALL(IF(ISNUMBER(MATCH(orderHistory[customer],$D$9,0)*MATCH(orderHistory[order_type],$D$13,0)),MATCH(ROW(orderHistory[customer]),ROW(orderHistory[customer])),""),ROWS($A$15:A55)+$B$3)),INDEX(orderHistory[customer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YEAR(orderHistory[invoice_date]),$D$15,0)),MATCH(ROW(orderHistory[customer]),ROW(orderHistory[customer])),""),ROWS($A$15:A55)+$B$3))),IF($D$15="",INDEX(orderHistory[customer],SMALL(IF(ISNUMBER(MATCH(orderHistory[customer],$D$9,0)*MATCH(orderHistory[status],$D$11,0)*MATCH(orderHistory[order_type],$D$13,0)),MATCH(ROW(orderHistory[customer]),ROW(orderHistory[customer])),""),ROWS($A$15:A55)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M50" s="453" t="str">
        <f t="array" ref="M50">IFERROR(IF($D$9="",IF($D$11="",IF($D$13="",IF($D$15="",INDEX(orderHistory[order_no],SMALL(MATCH(ROW(orderHistory[customer]),ROW(orderHistory[customer])),ROWS($A$15:A55)+$B$3)),INDEX(orderHistory[order_no],SMALL(IF(ISNUMBER(MATCH(YEAR(orderHistory[invoice_date]),$D$15,0)),MATCH(ROW(orderHistory[customer]),ROW(orderHistory[customer])),""),ROWS($A$15:A55)+$B$3))),IF($D$15="",INDEX(orderHistory[order_no],SMALL(IF(ISNUMBER(MATCH(orderHistory[order_type],$D$13,0)),MATCH(ROW(orderHistory[customer]),ROW(orderHistory[customer])),""),ROWS($A$15:A55)+$B$3)),INDEX(orderHistory[order_no],SMALL(IF(ISNUMBER(MATCH(orderHistory[order_type],$D$13,0)*MATCH(YEAR(orderHistory[invoice_date]),$D$15,0)),MATCH(ROW(orderHistory[customer]),ROW(orderHistory[customer])),""),ROWS($A$15:A55)+$B$3)))),IF($D$13="",IF($D$15="",INDEX(orderHistory[order_no],SMALL(IF(ISNUMBER(MATCH(orderHistory[status],$D$11,0)),MATCH(ROW(orderHistory[customer]),ROW(orderHistory[customer])),""),ROWS($A$15:A55)+$B$3)),INDEX(orderHistory[order_no],SMALL(IF(ISNUMBER(MATCH(orderHistory[status],$D$11,0)*MATCH(YEAR(orderHistory[invoice_date]),$D$15,0)),MATCH(ROW(orderHistory[customer]),ROW(orderHistory[customer])),""),ROWS($A$15:A55)+$B$3))),IF($D$15="",INDEX(orderHistory[order_no],SMALL(IF(ISNUMBER(MATCH(orderHistory[status],$D$11,0)*MATCH(orderHistory[order_type],$D$13,0)),MATCH(ROW(orderHistory[customer]),ROW(orderHistory[customer])),""),ROWS($A$15:A55)+$B$3)),INDEX(orderHistory[order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no],SMALL(IF(ISNUMBER(MATCH(orderHistory[customer],$D$9,0)),MATCH(ROW(orderHistory[customer]),ROW(orderHistory[customer])),""),ROWS($A$15:A55)+$B$3)),INDEX(orderHistory[order_no],SMALL(IF(ISNUMBER(MATCH(orderHistory[customer],$D$9,0)*MATCH(YEAR(orderHistory[invoice_date]),$D$15,0)),MATCH(ROW(orderHistory[customer]),ROW(orderHistory[customer])),""),ROWS($A$15:A55)+$B$3))),IF($D$15="",INDEX(orderHistory[order_no],SMALL(IF(ISNUMBER(MATCH(orderHistory[customer],$D$9,0)*MATCH(orderHistory[order_type],$D$13,0)),MATCH(ROW(orderHistory[customer]),ROW(orderHistory[customer])),""),ROWS($A$15:A55)+$B$3)),INDEX(orderHistory[order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YEAR(orderHistory[invoice_date]),$D$15,0)),MATCH(ROW(orderHistory[customer]),ROW(orderHistory[customer])),""),ROWS($A$15:A55)+$B$3))),IF($D$15="",INDEX(orderHistory[order_no],SMALL(IF(ISNUMBER(MATCH(orderHistory[customer],$D$9,0)*MATCH(orderHistory[status],$D$11,0)*MATCH(orderHistory[order_type],$D$13,0)),MATCH(ROW(orderHistory[customer]),ROW(orderHistory[customer])),""),ROWS($A$15:A55)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N50" s="454" t="str">
        <f t="array" ref="N50">IFERROR(IF($D$9="",IF($D$11="",IF($D$13="",IF($D$15="",INDEX(orderHistory[order_type],SMALL(MATCH(ROW(orderHistory[customer]),ROW(orderHistory[customer])),ROWS($A$15:A55)+$B$3)),INDEX(orderHistory[order_type],SMALL(IF(ISNUMBER(MATCH(YEAR(orderHistory[invoice_date]),$D$15,0)),MATCH(ROW(orderHistory[customer]),ROW(orderHistory[customer])),""),ROWS($A$15:A55)+$B$3))),IF($D$15="",INDEX(orderHistory[order_type],SMALL(IF(ISNUMBER(MATCH(orderHistory[order_type],$D$13,0)),MATCH(ROW(orderHistory[customer]),ROW(orderHistory[customer])),""),ROWS($A$15:A55)+$B$3)),INDEX(orderHistory[order_type],SMALL(IF(ISNUMBER(MATCH(orderHistory[order_type],$D$13,0)*MATCH(YEAR(orderHistory[invoice_date]),$D$15,0)),MATCH(ROW(orderHistory[customer]),ROW(orderHistory[customer])),""),ROWS($A$15:A55)+$B$3)))),IF($D$13="",IF($D$15="",INDEX(orderHistory[order_type],SMALL(IF(ISNUMBER(MATCH(orderHistory[status],$D$11,0)),MATCH(ROW(orderHistory[customer]),ROW(orderHistory[customer])),""),ROWS($A$15:A55)+$B$3)),INDEX(orderHistory[order_type],SMALL(IF(ISNUMBER(MATCH(orderHistory[status],$D$11,0)*MATCH(YEAR(orderHistory[invoice_date]),$D$15,0)),MATCH(ROW(orderHistory[customer]),ROW(orderHistory[customer])),""),ROWS($A$15:A55)+$B$3))),IF($D$15="",INDEX(orderHistory[order_type],SMALL(IF(ISNUMBER(MATCH(orderHistory[status],$D$11,0)*MATCH(orderHistory[order_type],$D$13,0)),MATCH(ROW(orderHistory[customer]),ROW(orderHistory[customer])),""),ROWS($A$15:A55)+$B$3)),INDEX(orderHistory[order_typ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type],SMALL(IF(ISNUMBER(MATCH(orderHistory[customer],$D$9,0)),MATCH(ROW(orderHistory[customer]),ROW(orderHistory[customer])),""),ROWS($A$15:A55)+$B$3)),INDEX(orderHistory[order_type],SMALL(IF(ISNUMBER(MATCH(orderHistory[customer],$D$9,0)*MATCH(YEAR(orderHistory[invoice_date]),$D$15,0)),MATCH(ROW(orderHistory[customer]),ROW(orderHistory[customer])),""),ROWS($A$15:A55)+$B$3))),IF($D$15="",INDEX(orderHistory[order_type],SMALL(IF(ISNUMBER(MATCH(orderHistory[customer],$D$9,0)*MATCH(orderHistory[order_type],$D$13,0)),MATCH(ROW(orderHistory[customer]),ROW(orderHistory[customer])),""),ROWS($A$15:A55)+$B$3)),INDEX(orderHistory[order_typ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YEAR(orderHistory[invoice_date]),$D$15,0)),MATCH(ROW(orderHistory[customer]),ROW(orderHistory[customer])),""),ROWS($A$15:A55)+$B$3))),IF($D$15="",INDEX(orderHistory[order_type],SMALL(IF(ISNUMBER(MATCH(orderHistory[customer],$D$9,0)*MATCH(orderHistory[status],$D$11,0)*MATCH(orderHistory[order_type],$D$13,0)),MATCH(ROW(orderHistory[customer]),ROW(orderHistory[customer])),""),ROWS($A$15:A55)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O50" s="455" t="str">
        <f t="array" ref="O50">IFERROR(IF($D$9="",IF($D$11="",IF($D$13="",IF($D$15="",INDEX(orderHistory[order_date],SMALL(MATCH(ROW(orderHistory[customer]),ROW(orderHistory[customer])),ROWS($A$15:A55)+$B$3)),INDEX(orderHistory[order_date],SMALL(IF(ISNUMBER(MATCH(YEAR(orderHistory[invoice_date]),$D$15,0)),MATCH(ROW(orderHistory[customer]),ROW(orderHistory[customer])),""),ROWS($A$15:A55)+$B$3))),IF($D$15="",INDEX(orderHistory[order_date],SMALL(IF(ISNUMBER(MATCH(orderHistory[order_type],$D$13,0)),MATCH(ROW(orderHistory[customer]),ROW(orderHistory[customer])),""),ROWS($A$15:A55)+$B$3)),INDEX(orderHistory[order_date],SMALL(IF(ISNUMBER(MATCH(orderHistory[order_type],$D$13,0)*MATCH(YEAR(orderHistory[invoice_date]),$D$15,0)),MATCH(ROW(orderHistory[customer]),ROW(orderHistory[customer])),""),ROWS($A$15:A55)+$B$3)))),IF($D$13="",IF($D$15="",INDEX(orderHistory[order_date],SMALL(IF(ISNUMBER(MATCH(orderHistory[status],$D$11,0)),MATCH(ROW(orderHistory[customer]),ROW(orderHistory[customer])),""),ROWS($A$15:A55)+$B$3)),INDEX(orderHistory[order_date],SMALL(IF(ISNUMBER(MATCH(orderHistory[status],$D$11,0)*MATCH(YEAR(orderHistory[invoice_date]),$D$15,0)),MATCH(ROW(orderHistory[customer]),ROW(orderHistory[customer])),""),ROWS($A$15:A55)+$B$3))),IF($D$15="",INDEX(orderHistory[order_date],SMALL(IF(ISNUMBER(MATCH(orderHistory[status],$D$11,0)*MATCH(orderHistory[order_type],$D$13,0)),MATCH(ROW(orderHistory[customer]),ROW(orderHistory[customer])),""),ROWS($A$15:A55)+$B$3)),INDEX(orderHistory[order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date],SMALL(IF(ISNUMBER(MATCH(orderHistory[customer],$D$9,0)),MATCH(ROW(orderHistory[customer]),ROW(orderHistory[customer])),""),ROWS($A$15:A55)+$B$3)),INDEX(orderHistory[order_date],SMALL(IF(ISNUMBER(MATCH(orderHistory[customer],$D$9,0)*MATCH(YEAR(orderHistory[invoice_date]),$D$15,0)),MATCH(ROW(orderHistory[customer]),ROW(orderHistory[customer])),""),ROWS($A$15:A55)+$B$3))),IF($D$15="",INDEX(orderHistory[order_date],SMALL(IF(ISNUMBER(MATCH(orderHistory[customer],$D$9,0)*MATCH(orderHistory[order_type],$D$13,0)),MATCH(ROW(orderHistory[customer]),ROW(orderHistory[customer])),""),ROWS($A$15:A55)+$B$3)),INDEX(orderHistory[order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YEAR(orderHistory[invoice_date]),$D$15,0)),MATCH(ROW(orderHistory[customer]),ROW(orderHistory[customer])),""),ROWS($A$15:A55)+$B$3))),IF($D$15="",INDEX(orderHistory[order_date],SMALL(IF(ISNUMBER(MATCH(orderHistory[customer],$D$9,0)*MATCH(orderHistory[status],$D$11,0)*MATCH(orderHistory[order_type],$D$13,0)),MATCH(ROW(orderHistory[customer]),ROW(orderHistory[customer])),""),ROWS($A$15:A55)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P50" s="456" t="str">
        <f t="array" ref="P50">IFERROR(IF($D$9="",IF($D$11="",IF($D$13="",IF($D$15="",INDEX(orderHistory[invoice_no],SMALL(MATCH(ROW(orderHistory[customer]),ROW(orderHistory[customer])),ROWS($A$15:A55)+$B$3)),INDEX(orderHistory[invoice_no],SMALL(IF(ISNUMBER(MATCH(YEAR(orderHistory[invoice_date]),$D$15,0)),MATCH(ROW(orderHistory[customer]),ROW(orderHistory[customer])),""),ROWS($A$15:A55)+$B$3))),IF($D$15="",INDEX(orderHistory[invoice_no],SMALL(IF(ISNUMBER(MATCH(orderHistory[order_type],$D$13,0)),MATCH(ROW(orderHistory[customer]),ROW(orderHistory[customer])),""),ROWS($A$15:A55)+$B$3)),INDEX(orderHistory[invoice_no],SMALL(IF(ISNUMBER(MATCH(orderHistory[order_type],$D$13,0)*MATCH(YEAR(orderHistory[invoice_date]),$D$15,0)),MATCH(ROW(orderHistory[customer]),ROW(orderHistory[customer])),""),ROWS($A$15:A55)+$B$3)))),IF($D$13="",IF($D$15="",INDEX(orderHistory[invoice_no],SMALL(IF(ISNUMBER(MATCH(orderHistory[status],$D$11,0)),MATCH(ROW(orderHistory[customer]),ROW(orderHistory[customer])),""),ROWS($A$15:A55)+$B$3)),INDEX(orderHistory[invoice_no],SMALL(IF(ISNUMBER(MATCH(orderHistory[status],$D$11,0)*MATCH(YEAR(orderHistory[invoice_date]),$D$15,0)),MATCH(ROW(orderHistory[customer]),ROW(orderHistory[customer])),""),ROWS($A$15:A55)+$B$3))),IF($D$15="",INDEX(orderHistory[invoice_no],SMALL(IF(ISNUMBER(MATCH(orderHistory[status],$D$11,0)*MATCH(orderHistory[order_type],$D$13,0)),MATCH(ROW(orderHistory[customer]),ROW(orderHistory[customer])),""),ROWS($A$15:A55)+$B$3)),INDEX(orderHistory[invoice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no],SMALL(IF(ISNUMBER(MATCH(orderHistory[customer],$D$9,0)),MATCH(ROW(orderHistory[customer]),ROW(orderHistory[customer])),""),ROWS($A$15:A55)+$B$3)),INDEX(orderHistory[invoice_no],SMALL(IF(ISNUMBER(MATCH(orderHistory[customer],$D$9,0)*MATCH(YEAR(orderHistory[invoice_date]),$D$15,0)),MATCH(ROW(orderHistory[customer]),ROW(orderHistory[customer])),""),ROWS($A$15:A55)+$B$3))),IF($D$15="",INDEX(orderHistory[invoice_no],SMALL(IF(ISNUMBER(MATCH(orderHistory[customer],$D$9,0)*MATCH(orderHistory[order_type],$D$13,0)),MATCH(ROW(orderHistory[customer]),ROW(orderHistory[customer])),""),ROWS($A$15:A55)+$B$3)),INDEX(orderHistory[invoice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YEAR(orderHistory[invoice_date]),$D$15,0)),MATCH(ROW(orderHistory[customer]),ROW(orderHistory[customer])),""),ROWS($A$15:A55)+$B$3))),IF($D$15="",INDEX(orderHistory[invoice_no],SMALL(IF(ISNUMBER(MATCH(orderHistory[customer],$D$9,0)*MATCH(orderHistory[status],$D$11,0)*MATCH(orderHistory[order_type],$D$13,0)),MATCH(ROW(orderHistory[customer]),ROW(orderHistory[customer])),""),ROWS($A$15:A55)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Q50" s="457" t="str">
        <f t="array" ref="Q50">IFERROR(IF($D$9="",IF($D$11="",IF($D$13="",IF($D$15="",INDEX(orderHistory[invoice_date],SMALL(MATCH(ROW(orderHistory[customer]),ROW(orderHistory[customer])),ROWS($A$15:A55)+$B$3)),INDEX(orderHistory[invoice_date],SMALL(IF(ISNUMBER(MATCH(YEAR(orderHistory[invoice_date]),$D$15,0)),MATCH(ROW(orderHistory[customer]),ROW(orderHistory[customer])),""),ROWS($A$15:A55)+$B$3))),IF($D$15="",INDEX(orderHistory[invoice_date],SMALL(IF(ISNUMBER(MATCH(orderHistory[order_type],$D$13,0)),MATCH(ROW(orderHistory[customer]),ROW(orderHistory[customer])),""),ROWS($A$15:A55)+$B$3)),INDEX(orderHistory[invoice_date],SMALL(IF(ISNUMBER(MATCH(orderHistory[order_type],$D$13,0)*MATCH(YEAR(orderHistory[invoice_date]),$D$15,0)),MATCH(ROW(orderHistory[customer]),ROW(orderHistory[customer])),""),ROWS($A$15:A55)+$B$3)))),IF($D$13="",IF($D$15="",INDEX(orderHistory[invoice_date],SMALL(IF(ISNUMBER(MATCH(orderHistory[status],$D$11,0)),MATCH(ROW(orderHistory[customer]),ROW(orderHistory[customer])),""),ROWS($A$15:A55)+$B$3)),INDEX(orderHistory[invoice_date],SMALL(IF(ISNUMBER(MATCH(orderHistory[status],$D$11,0)*MATCH(YEAR(orderHistory[invoice_date]),$D$15,0)),MATCH(ROW(orderHistory[customer]),ROW(orderHistory[customer])),""),ROWS($A$15:A55)+$B$3))),IF($D$15="",INDEX(orderHistory[invoice_date],SMALL(IF(ISNUMBER(MATCH(orderHistory[status],$D$11,0)*MATCH(orderHistory[order_type],$D$13,0)),MATCH(ROW(orderHistory[customer]),ROW(orderHistory[customer])),""),ROWS($A$15:A55)+$B$3)),INDEX(orderHistory[invoice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date],SMALL(IF(ISNUMBER(MATCH(orderHistory[customer],$D$9,0)),MATCH(ROW(orderHistory[customer]),ROW(orderHistory[customer])),""),ROWS($A$15:A55)+$B$3)),INDEX(orderHistory[invoice_date],SMALL(IF(ISNUMBER(MATCH(orderHistory[customer],$D$9,0)*MATCH(YEAR(orderHistory[invoice_date]),$D$15,0)),MATCH(ROW(orderHistory[customer]),ROW(orderHistory[customer])),""),ROWS($A$15:A55)+$B$3))),IF($D$15="",INDEX(orderHistory[invoice_date],SMALL(IF(ISNUMBER(MATCH(orderHistory[customer],$D$9,0)*MATCH(orderHistory[order_type],$D$13,0)),MATCH(ROW(orderHistory[customer]),ROW(orderHistory[customer])),""),ROWS($A$15:A55)+$B$3)),INDEX(orderHistory[invoice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YEAR(orderHistory[invoice_date]),$D$15,0)),MATCH(ROW(orderHistory[customer]),ROW(orderHistory[customer])),""),ROWS($A$15:A55)+$B$3))),IF($D$15="",INDEX(orderHistory[invoice_date],SMALL(IF(ISNUMBER(MATCH(orderHistory[customer],$D$9,0)*MATCH(orderHistory[status],$D$11,0)*MATCH(orderHistory[order_type],$D$13,0)),MATCH(ROW(orderHistory[customer]),ROW(orderHistory[customer])),""),ROWS($A$15:A55)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R50" s="458" t="str">
        <f t="array" ref="R50">IFERROR(IF($D$9="",IF($D$11="",IF($D$13="",IF($D$15="",INDEX(orderHistory[inv_amount],SMALL(MATCH(ROW(orderHistory[customer]),ROW(orderHistory[customer])),ROWS($A$15:A55)+$B$3)),INDEX(orderHistory[inv_amount],SMALL(IF(ISNUMBER(MATCH(YEAR(orderHistory[invoice_date]),$D$15,0)),MATCH(ROW(orderHistory[customer]),ROW(orderHistory[customer])),""),ROWS($A$15:A55)+$B$3))),IF($D$15="",INDEX(orderHistory[inv_amount],SMALL(IF(ISNUMBER(MATCH(orderHistory[order_type],$D$13,0)),MATCH(ROW(orderHistory[customer]),ROW(orderHistory[customer])),""),ROWS($A$15:A55)+$B$3)),INDEX(orderHistory[inv_amount],SMALL(IF(ISNUMBER(MATCH(orderHistory[order_type],$D$13,0)*MATCH(YEAR(orderHistory[invoice_date]),$D$15,0)),MATCH(ROW(orderHistory[customer]),ROW(orderHistory[customer])),""),ROWS($A$15:A55)+$B$3)))),IF($D$13="",IF($D$15="",INDEX(orderHistory[inv_amount],SMALL(IF(ISNUMBER(MATCH(orderHistory[status],$D$11,0)),MATCH(ROW(orderHistory[customer]),ROW(orderHistory[customer])),""),ROWS($A$15:A55)+$B$3)),INDEX(orderHistory[inv_amount],SMALL(IF(ISNUMBER(MATCH(orderHistory[status],$D$11,0)*MATCH(YEAR(orderHistory[invoice_date]),$D$15,0)),MATCH(ROW(orderHistory[customer]),ROW(orderHistory[customer])),""),ROWS($A$15:A55)+$B$3))),IF($D$15="",INDEX(orderHistory[inv_amount],SMALL(IF(ISNUMBER(MATCH(orderHistory[status],$D$11,0)*MATCH(orderHistory[order_type],$D$13,0)),MATCH(ROW(orderHistory[customer]),ROW(orderHistory[customer])),""),ROWS($A$15:A55)+$B$3)),INDEX(orderHistory[inv_amount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_amount],SMALL(IF(ISNUMBER(MATCH(orderHistory[customer],$D$9,0)),MATCH(ROW(orderHistory[customer]),ROW(orderHistory[customer])),""),ROWS($A$15:A55)+$B$3)),INDEX(orderHistory[inv_amount],SMALL(IF(ISNUMBER(MATCH(orderHistory[customer],$D$9,0)*MATCH(YEAR(orderHistory[invoice_date]),$D$15,0)),MATCH(ROW(orderHistory[customer]),ROW(orderHistory[customer])),""),ROWS($A$15:A55)+$B$3))),IF($D$15="",INDEX(orderHistory[inv_amount],SMALL(IF(ISNUMBER(MATCH(orderHistory[customer],$D$9,0)*MATCH(orderHistory[order_type],$D$13,0)),MATCH(ROW(orderHistory[customer]),ROW(orderHistory[customer])),""),ROWS($A$15:A55)+$B$3)),INDEX(orderHistory[inv_amount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YEAR(orderHistory[inv_amount]),$D$15,0)),MATCH(ROW(orderHistory[customer]),ROW(orderHistory[customer])),""),ROWS($A$15:A55)+$B$3))),IF($D$15="",INDEX(orderHistory[inv_amount],SMALL(IF(ISNUMBER(MATCH(orderHistory[customer],$D$9,0)*MATCH(orderHistory[status],$D$11,0)*MATCH(orderHistory[order_type],$D$13,0)),MATCH(ROW(orderHistory[customer]),ROW(orderHistory[customer])),""),ROWS($A$15:A55)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S50" s="569" t="str">
        <f t="array" ref="S50">IFERROR(IF($D$9="",IF($D$11="",IF($D$13="",IF($D$15="",INDEX(orderHistory[lock_goods],SMALL(MATCH(ROW(orderHistory[customer]),ROW(orderHistory[customer])),ROWS($A$15:A55)+$B$3)),INDEX(orderHistory[lock_goods],SMALL(IF(ISNUMBER(MATCH(YEAR(orderHistory[invoice_date]),$D$15,0)),MATCH(ROW(orderHistory[customer]),ROW(orderHistory[customer])),""),ROWS($A$15:A55)+$B$3))),IF($D$15="",INDEX(orderHistory[lock_goods],SMALL(IF(ISNUMBER(MATCH(orderHistory[order_type],$D$13,0)),MATCH(ROW(orderHistory[customer]),ROW(orderHistory[customer])),""),ROWS($A$15:A55)+$B$3)),INDEX(orderHistory[lock_goods],SMALL(IF(ISNUMBER(MATCH(orderHistory[order_type],$D$13,0)*MATCH(YEAR(orderHistory[invoice_date]),$D$15,0)),MATCH(ROW(orderHistory[customer]),ROW(orderHistory[customer])),""),ROWS($A$15:A55)+$B$3)))),IF($D$13="",IF($D$15="",INDEX(orderHistory[lock_goods],SMALL(IF(ISNUMBER(MATCH(orderHistory[status],$D$11,0)),MATCH(ROW(orderHistory[customer]),ROW(orderHistory[customer])),""),ROWS($A$15:A55)+$B$3)),INDEX(orderHistory[lock_goods],SMALL(IF(ISNUMBER(MATCH(orderHistory[status],$D$11,0)*MATCH(YEAR(orderHistory[invoice_date]),$D$15,0)),MATCH(ROW(orderHistory[customer]),ROW(orderHistory[customer])),""),ROWS($A$15:A55)+$B$3))),IF($D$15="",INDEX(orderHistory[lock_goods],SMALL(IF(ISNUMBER(MATCH(orderHistory[status],$D$11,0)*MATCH(orderHistory[order_type],$D$13,0)),MATCH(ROW(orderHistory[customer]),ROW(orderHistory[customer])),""),ROWS($A$15:A55)+$B$3)),INDEX(orderHistory[lock_good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lock_goods],SMALL(IF(ISNUMBER(MATCH(orderHistory[customer],$D$9,0)),MATCH(ROW(orderHistory[customer]),ROW(orderHistory[customer])),""),ROWS($A$15:A55)+$B$3)),INDEX(orderHistory[lock_goods],SMALL(IF(ISNUMBER(MATCH(orderHistory[customer],$D$9,0)*MATCH(YEAR(orderHistory[invoice_date]),$D$15,0)),MATCH(ROW(orderHistory[customer]),ROW(orderHistory[customer])),""),ROWS($A$15:A55)+$B$3))),IF($D$15="",INDEX(orderHistory[lock_goods],SMALL(IF(ISNUMBER(MATCH(orderHistory[customer],$D$9,0)*MATCH(orderHistory[order_type],$D$13,0)),MATCH(ROW(orderHistory[customer]),ROW(orderHistory[customer])),""),ROWS($A$15:A55)+$B$3)),INDEX(orderHistory[lock_good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lock_goods],SMALL(IF(ISNUMBER(MATCH(orderHistory[customer],$D$9,0)*MATCH(orderHistory[status],$D$11,0)),MATCH(ROW(orderHistory[customer]),ROW(orderHistory[customer])),""),ROWS($A$15:A55)+$B$3)),INDEX(orderHistory[lock_goods],SMALL(IF(ISNUMBER(MATCH(orderHistory[customer],$D$9,0)*MATCH(orderHistory[status],$D$11,0)*MATCH(YEAR(orderHistory[payed]),$D$15,0)),MATCH(ROW(orderHistory[customer]),ROW(orderHistory[customer])),""),ROWS($A$15:A55)+$B$3))),IF($D$15="",INDEX(orderHistory[lock_goods],SMALL(IF(ISNUMBER(MATCH(orderHistory[customer],$D$9,0)*MATCH(orderHistory[status],$D$11,0)*MATCH(orderHistory[order_type],$D$13,0)),MATCH(ROW(orderHistory[customer]),ROW(orderHistory[customer])),""),ROWS($A$15:A55)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T50" s="459" t="str">
        <f t="array" ref="T50">IFERROR(IF($D$9="",IF($D$11="",IF($D$13="",IF($D$15="",INDEX(orderHistory[payed],SMALL(MATCH(ROW(orderHistory[customer]),ROW(orderHistory[customer])),ROWS($A$15:A55)+$B$3)),INDEX(orderHistory[payed],SMALL(IF(ISNUMBER(MATCH(YEAR(orderHistory[invoice_date]),$D$15,0)),MATCH(ROW(orderHistory[customer]),ROW(orderHistory[customer])),""),ROWS($A$15:A55)+$B$3))),IF($D$15="",INDEX(orderHistory[payed],SMALL(IF(ISNUMBER(MATCH(orderHistory[order_type],$D$13,0)),MATCH(ROW(orderHistory[customer]),ROW(orderHistory[customer])),""),ROWS($A$15:A55)+$B$3)),INDEX(orderHistory[payed],SMALL(IF(ISNUMBER(MATCH(orderHistory[order_type],$D$13,0)*MATCH(YEAR(orderHistory[invoice_date]),$D$15,0)),MATCH(ROW(orderHistory[customer]),ROW(orderHistory[customer])),""),ROWS($A$15:A55)+$B$3)))),IF($D$13="",IF($D$15="",INDEX(orderHistory[payed],SMALL(IF(ISNUMBER(MATCH(orderHistory[status],$D$11,0)),MATCH(ROW(orderHistory[customer]),ROW(orderHistory[customer])),""),ROWS($A$15:A55)+$B$3)),INDEX(orderHistory[payed],SMALL(IF(ISNUMBER(MATCH(orderHistory[status],$D$11,0)*MATCH(YEAR(orderHistory[invoice_date]),$D$15,0)),MATCH(ROW(orderHistory[customer]),ROW(orderHistory[customer])),""),ROWS($A$15:A55)+$B$3))),IF($D$15="",INDEX(orderHistory[payed],SMALL(IF(ISNUMBER(MATCH(orderHistory[status],$D$11,0)*MATCH(orderHistory[order_type],$D$13,0)),MATCH(ROW(orderHistory[customer]),ROW(orderHistory[customer])),""),ROWS($A$15:A55)+$B$3)),INDEX(orderHistory[paye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payed],SMALL(IF(ISNUMBER(MATCH(orderHistory[customer],$D$9,0)),MATCH(ROW(orderHistory[customer]),ROW(orderHistory[customer])),""),ROWS($A$15:A55)+$B$3)),INDEX(orderHistory[payed],SMALL(IF(ISNUMBER(MATCH(orderHistory[customer],$D$9,0)*MATCH(YEAR(orderHistory[invoice_date]),$D$15,0)),MATCH(ROW(orderHistory[customer]),ROW(orderHistory[customer])),""),ROWS($A$15:A55)+$B$3))),IF($D$15="",INDEX(orderHistory[payed],SMALL(IF(ISNUMBER(MATCH(orderHistory[customer],$D$9,0)*MATCH(orderHistory[order_type],$D$13,0)),MATCH(ROW(orderHistory[customer]),ROW(orderHistory[customer])),""),ROWS($A$15:A55)+$B$3)),INDEX(orderHistory[paye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YEAR(orderHistory[payed]),$D$15,0)),MATCH(ROW(orderHistory[customer]),ROW(orderHistory[customer])),""),ROWS($A$15:A55)+$B$3))),IF($D$15="",INDEX(orderHistory[payed],SMALL(IF(ISNUMBER(MATCH(orderHistory[customer],$D$9,0)*MATCH(orderHistory[status],$D$11,0)*MATCH(orderHistory[order_type],$D$13,0)),MATCH(ROW(orderHistory[customer]),ROW(orderHistory[customer])),""),ROWS($A$15:A55)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U50" s="454" t="str">
        <f t="array" ref="U50">IFERROR(IF($D$9="",IF($D$11="",IF($D$13="",IF($D$15="",INDEX(orderHistory[shipping_method],SMALL(MATCH(ROW(orderHistory[customer]),ROW(orderHistory[customer])),ROWS($A$15:A55)+$B$3)),INDEX(orderHistory[shipping_method],SMALL(IF(ISNUMBER(MATCH(YEAR(orderHistory[invoice_date]),$D$15,0)),MATCH(ROW(orderHistory[customer]),ROW(orderHistory[customer])),""),ROWS($A$15:A55)+$B$3))),IF($D$15="",INDEX(orderHistory[shipping_method],SMALL(IF(ISNUMBER(MATCH(orderHistory[order_type],$D$13,0)),MATCH(ROW(orderHistory[customer]),ROW(orderHistory[customer])),""),ROWS($A$15:A55)+$B$3)),INDEX(orderHistory[shipping_method],SMALL(IF(ISNUMBER(MATCH(orderHistory[order_type],$D$13,0)*MATCH(YEAR(orderHistory[invoice_date]),$D$15,0)),MATCH(ROW(orderHistory[customer]),ROW(orderHistory[customer])),""),ROWS($A$15:A55)+$B$3)))),IF($D$13="",IF($D$15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YEAR(orderHistory[invoice_date]),$D$15,0)),MATCH(ROW(orderHistory[customer]),ROW(orderHistory[customer])),""),ROWS($A$15:A55)+$B$3))),IF($D$15="",INDEX(orderHistory[shipping_method],SMALL(IF(ISNUMBER(MATCH(orderHistory[status],$D$11,0)*MATCH(orderHistory[order_type],$D$13,0)),MATCH(ROW(orderHistory[customer]),ROW(orderHistory[customer])),""),ROWS($A$15:A55)+$B$3)),INDEX(orderHistory[shipping_metho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YEAR(orderHistory[invoice_date]),$D$15,0)),MATCH(ROW(orderHistory[customer]),ROW(orderHistory[customer])),""),ROWS($A$15:A55)+$B$3))),IF($D$15="",INDEX(orderHistory[shipping_method],SMALL(IF(ISNUMBER(MATCH(orderHistory[customer],$D$9,0)*MATCH(orderHistory[order_type],$D$13,0)),MATCH(ROW(orderHistory[customer]),ROW(orderHistory[customer])),""),ROWS($A$15:A55)+$B$3)),INDEX(orderHistory[shipping_metho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YEAR(orderHistory[shipping_method]),$D$15,0)),MATCH(ROW(orderHistory[customer]),ROW(orderHistory[customer])),""),ROWS($A$15:A55)+$B$3))),IF($D$15="",INDEX(orderHistory[shipping_method],SMALL(IF(ISNUMBER(MATCH(orderHistory[customer],$D$9,0)*MATCH(orderHistory[status],$D$11,0)*MATCH(orderHistory[order_type],$D$13,0)),MATCH(ROW(orderHistory[customer]),ROW(orderHistory[customer])),""),ROWS($A$15:A55)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V50" s="460" t="str">
        <f t="array" ref="V50">IFERROR(IF($D$9="",IF($D$11="",IF($D$13="",IF($D$15="",INDEX(orderHistory[status],SMALL(MATCH(ROW(orderHistory[customer]),ROW(orderHistory[customer])),ROWS($A$15:A55)+$B$3)),INDEX(orderHistory[status],SMALL(IF(ISNUMBER(MATCH(YEAR(orderHistory[invoice_date]),$D$15,0)),MATCH(ROW(orderHistory[customer]),ROW(orderHistory[customer])),""),ROWS($A$15:A55)+$B$3))),IF($D$15="",INDEX(orderHistory[status],SMALL(IF(ISNUMBER(MATCH(orderHistory[order_type],$D$13,0)),MATCH(ROW(orderHistory[customer]),ROW(orderHistory[customer])),""),ROWS($A$15:A55)+$B$3)),INDEX(orderHistory[status],SMALL(IF(ISNUMBER(MATCH(orderHistory[order_type],$D$13,0)*MATCH(YEAR(orderHistory[invoice_date]),$D$15,0)),MATCH(ROW(orderHistory[customer]),ROW(orderHistory[customer])),""),ROWS($A$15:A55)+$B$3)))),IF($D$13="",IF($D$15="",INDEX(orderHistory[status],SMALL(IF(ISNUMBER(MATCH(orderHistory[status],$D$11,0)),MATCH(ROW(orderHistory[customer]),ROW(orderHistory[customer])),""),ROWS($A$15:A55)+$B$3)),INDEX(orderHistory[status],SMALL(IF(ISNUMBER(MATCH(orderHistory[status],$D$11,0)*MATCH(YEAR(orderHistory[invoice_date]),$D$15,0)),MATCH(ROW(orderHistory[customer]),ROW(orderHistory[customer])),""),ROWS($A$15:A55)+$B$3))),IF($D$15="",INDEX(orderHistory[status],SMALL(IF(ISNUMBER(MATCH(orderHistory[status],$D$11,0)*MATCH(orderHistory[order_type],$D$13,0)),MATCH(ROW(orderHistory[customer]),ROW(orderHistory[customer])),""),ROWS($A$15:A55)+$B$3)),INDEX(orderHistory[statu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tatus],SMALL(IF(ISNUMBER(MATCH(orderHistory[customer],$D$9,0)),MATCH(ROW(orderHistory[customer]),ROW(orderHistory[customer])),""),ROWS($A$15:A55)+$B$3)),INDEX(orderHistory[status],SMALL(IF(ISNUMBER(MATCH(orderHistory[customer],$D$9,0)*MATCH(YEAR(orderHistory[invoice_date]),$D$15,0)),MATCH(ROW(orderHistory[customer]),ROW(orderHistory[customer])),""),ROWS($A$15:A55)+$B$3))),IF($D$15="",INDEX(orderHistory[status],SMALL(IF(ISNUMBER(MATCH(orderHistory[customer],$D$9,0)*MATCH(orderHistory[order_type],$D$13,0)),MATCH(ROW(orderHistory[customer]),ROW(orderHistory[customer])),""),ROWS($A$15:A55)+$B$3)),INDEX(orderHistory[statu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YEAR(orderHistory[status]),$D$15,0)),MATCH(ROW(orderHistory[customer]),ROW(orderHistory[customer])),""),ROWS($A$15:A55)+$B$3))),IF($D$15="",INDEX(orderHistory[status],SMALL(IF(ISNUMBER(MATCH(orderHistory[customer],$D$9,0)*MATCH(orderHistory[status],$D$11,0)*MATCH(orderHistory[order_type],$D$13,0)),MATCH(ROW(orderHistory[customer]),ROW(orderHistory[customer])),""),ROWS($A$15:A55)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W50" s="75"/>
      <c r="X50" s="332"/>
      <c r="AQ50" s="431"/>
      <c r="AR50" s="431" t="s">
        <v>606</v>
      </c>
      <c r="BG50" s="245"/>
      <c r="BK50" s="366"/>
      <c r="BL50" s="367"/>
      <c r="BM50" s="368"/>
      <c r="BN50" s="367"/>
      <c r="BO50" s="368"/>
      <c r="BZ50" s="495"/>
      <c r="CA50" s="477" t="str">
        <f>IF(BZ50="","",INDEX(bhpc_data[description],MATCH(BZ50,bhpc_data[sku],0)))</f>
        <v/>
      </c>
      <c r="CB50" s="478"/>
      <c r="CC50" s="479"/>
      <c r="CD50" s="494"/>
      <c r="CE50" s="481"/>
      <c r="CF50" s="482"/>
      <c r="CG50" s="483" t="str">
        <f>IFERROR(ROUNDUP(CB50/INDEX(bhpc_data[units_per_carton],MATCH(BZ50,bhpc_data[sku],0)),0),"")</f>
        <v/>
      </c>
      <c r="CH50" s="484" t="str">
        <f>IFERROR(ROUNDUP(CD50/INDEX(bhpc_data[units_per_carton],MATCH(BZ50,bhpc_data[sku],0)),0),"")</f>
        <v/>
      </c>
      <c r="CI50" s="484" t="str">
        <f>IFERROR(ROUNDUP(CF50/INDEX(bhpc_data[units_per_carton],MATCH(BZ50,bhpc_data[sku])),0),"")</f>
        <v/>
      </c>
      <c r="CJ50" s="484" t="str">
        <f>IFERROR(((CB50+CD50+CF50)/INDEX(bhpc_data[units_per_carton],MATCH(BZ50,bhpc_data[sku],0)))*INDEX(bhpc_data[net_weight],MATCH(BZ50,bhpc_data[sku],0)),"")</f>
        <v/>
      </c>
      <c r="CK50" s="484" t="str">
        <f>IFERROR(((CB50+CD50+CF50)/INDEX(bhpc_data[units_per_carton],MATCH(BZ50,bhpc_data[sku],0)))*INDEX(bhpc_data[gross_weight],MATCH(BZ50,bhpc_data[sku],0)),"")</f>
        <v/>
      </c>
      <c r="CL50" s="485" t="str">
        <f>IFERROR((CB50+CD50+CF50)/INDEX(bhpc_data[units_per_carton],MATCH(BZ50,bhpc_data[sku],0))*INDEX(bhpc_data[lenght],MATCH(BZ50,bhpc_data[sku],0))*INDEX(bhpc_data[width],MATCH(BZ50,bhpc_data[sku],0))*INDEX(bhpc_data[height],MATCH(BZ50,bhpc_data[sku],0))/1000000000,"")</f>
        <v/>
      </c>
      <c r="CM50" s="486" t="str">
        <f>IFERROR(INDEX(bhpc_data[category],MATCH(BZ50,bhpc_data[sku],0)),"")</f>
        <v/>
      </c>
      <c r="CN50" s="486" t="str">
        <f>IFERROR(INDEX(bhpc_data[size1],MATCH(BZ50,bhpc_data[sku],0)),"")</f>
        <v/>
      </c>
      <c r="CO50" s="487" t="str">
        <f>IFERROR(INDEX(bhpc_data[hs_code],MATCH(BZ50,bhpc_data[sku],0)),"")</f>
        <v/>
      </c>
      <c r="CP50" s="482"/>
      <c r="CQ50" s="488" t="str">
        <f>IFERROR(IF(BZ50="","",IF($BX$15="SALE",INDEX(inventory[COSTO UNITARIO],MATCH(BZ50,inventory[ARTICOLO],0)),IF($BX$15="SAMPLING",INDEX(inventory[COSTO UNITARIO],MATCH(BZ50,inventory[ARTICOLO],0)),""))),"")</f>
        <v/>
      </c>
      <c r="CR50" s="488" t="str">
        <f t="shared" si="5"/>
        <v/>
      </c>
      <c r="CS50" s="489" t="str">
        <f t="shared" si="6"/>
        <v/>
      </c>
      <c r="CT50" s="573" t="str">
        <f t="shared" si="7"/>
        <v/>
      </c>
      <c r="CU50" s="350"/>
      <c r="CV50" s="350"/>
      <c r="CW50" s="350"/>
      <c r="CX50" s="350"/>
      <c r="CY50" s="350"/>
      <c r="CZ50" s="350"/>
      <c r="DA50" s="350" t="str">
        <f>IFERROR(VLOOKUP(BZ50,bhpc_data[],22,FALSE),"")</f>
        <v/>
      </c>
      <c r="EE50" s="547" t="str" cm="1">
        <f t="array" ref="EE50">IFERROR(IF($EC$9="",IF($EC$11="",IF($EC$13="",INDEX(bhpc_data[sku],SMALL(MATCH(ROW(bhpc_data[sku]),ROW(bhpc_data[sku])),ROWS($A$15:A55)+$B$3)),INDEX(bhpc_data[sku],SMALL(IF(ISNUMBER(MATCH(bhpc_data[size1],$EC$13,0)),MATCH(ROW(bhpc_data[sku]),ROW(bhpc_data[sku])),""),ROWS($A$15:A55)+$B$3))),IF($EC$13="",INDEX(bhpc_data[sku],SMALL(IF(ISNUMBER(MATCH(bhpc_data[sex],$EC$11,0)),MATCH(ROW(bhpc_data[sku]),ROW(bhpc_data[sku])),""),ROWS($A$15:A55)+$B$3)),INDEX(bhpc_data[sku],SMALL(IF(ISNUMBER(MATCH(bhpc_data[sex],$EC$11,0)*MATCH(bhpc_data[size1],$EC$13,0)),MATCH(ROW(bhpc_data[sku]),ROW(bhpc_data[sku])),""),ROWS($A$15:A55)+$B$3)))),IF($EC$11="",IF($EC$13="",INDEX(bhpc_data[sku],SMALL(IF(ISNUMBER(MATCH(bhpc_data[category],$EC$9,0)),MATCH(ROW(bhpc_data[sku]),ROW(bhpc_data[sku])),""),ROWS($A$15:A55)+$B$3)),INDEX(bhpc_data[sku],SMALL(IF(ISNUMBER(MATCH(bhpc_data[category],$EC$9,0)*MATCH(bhpc_data[size1],$EC$13,0)),MATCH(ROW(bhpc_data[sku]),ROW(bhpc_data[sku])),""),ROWS($A$15:A55)+$B$3))),IF($EC$13="",INDEX(bhpc_data[sku],SMALL(IF(ISNUMBER(MATCH(bhpc_data[category],$EC$9,0)*MATCH(bhpc_data[sex],$EC$11,0)),MATCH(ROW(bhpc_data[sku]),ROW(bhpc_data[sku])),""),ROWS($A$15:A55)+$B$3)),INDEX(bhpc_data[sku],SMALL(IF(ISNUMBER(MATCH(bhpc_data[category],$EC$9,0)*MATCH(bhpc_data[sex],$EC$11,0)*MATCH(bhpc_data[size1],$EC$13,0)),MATCH(ROW(bhpc_data[sku]),ROW(bhpc_data[sku])),""),ROWS($A$15:A55)+$B$3))))),"")</f>
        <v>P05006</v>
      </c>
      <c r="EF50" s="548" t="str" cm="1">
        <f t="array" ref="EF50">IFERROR(IF($EC$9="",IF($EC$11="",IF($EC$13="",INDEX(bhpc_data[description],SMALL(MATCH(ROW(bhpc_data[sku]),ROW(bhpc_data[sku])),ROWS($A$15:A55)+$B$3)),INDEX(bhpc_data[description],SMALL(IF(ISNUMBER(MATCH(bhpc_data[size1],$EC$13,0)),MATCH(ROW(bhpc_data[sku]),ROW(bhpc_data[sku])),""),ROWS($A$15:A55)+$B$3))),IF($EC$13="",INDEX(bhpc_data[description],SMALL(IF(ISNUMBER(MATCH(bhpc_data[sex],$EC$11,0)),MATCH(ROW(bhpc_data[sku]),ROW(bhpc_data[sku])),""),ROWS($A$15:A55)+$B$3)),INDEX(bhpc_data[description],SMALL(IF(ISNUMBER(MATCH(bhpc_data[sex],$EC$11,0)*MATCH(bhpc_data[size1],$EC$13,0)),MATCH(ROW(bhpc_data[sku]),ROW(bhpc_data[sku])),""),ROWS($A$15:A55)+$B$3)))),IF($EC$11="",IF($EC$13="",INDEX(bhpc_data[description],SMALL(IF(ISNUMBER(MATCH(bhpc_data[category],$EC$9,0)),MATCH(ROW(bhpc_data[sku]),ROW(bhpc_data[sku])),""),ROWS($A$15:A55)+$B$3)),INDEX(bhpc_data[description],SMALL(IF(ISNUMBER(MATCH(bhpc_data[category],$EC$9,0)*MATCH(bhpc_data[size1],$EC$13,0)),MATCH(ROW(bhpc_data[sku]),ROW(bhpc_data[sku])),""),ROWS($A$15:A55)+$B$3))),IF($EC$13="",INDEX(bhpc_data[description],SMALL(IF(ISNUMBER(MATCH(bhpc_data[category],$EC$9,0)*MATCH(bhpc_data[sex],$EC$11,0)),MATCH(ROW(bhpc_data[sku]),ROW(bhpc_data[sku])),""),ROWS($A$15:A55)+$B$3)),INDEX(bhpc_data[description],SMALL(IF(ISNUMBER(MATCH(bhpc_data[category],$EC$9,0)*MATCH(bhpc_data[sex],$EC$11,0)*MATCH(bhpc_data[size1],$EC$13,0)),MATCH(ROW(bhpc_data[sku]),ROW(bhpc_data[sku])),""),ROWS($A$15:A55)+$B$3))))),"")</f>
        <v>BHPC SPORT MEN 8 EDT 100ML</v>
      </c>
      <c r="EG50" s="549">
        <f>IFERROR(IF('BHPC MANAGER'!$EE50="","",INDEX(inventory[ESISTENZA],MATCH('BHPC MANAGER'!$EE50,inventory[ARTICOLO],0))),0)</f>
        <v>12679</v>
      </c>
      <c r="EH50" s="550">
        <v>-3790</v>
      </c>
      <c r="EI50" s="550">
        <f t="shared" si="3"/>
        <v>8889</v>
      </c>
      <c r="EJ50" s="551">
        <v>-72</v>
      </c>
      <c r="EK50" s="552">
        <f t="shared" si="4"/>
        <v>8817</v>
      </c>
      <c r="EO50" s="245" t="str">
        <f t="array" ref="EO50">IFERROR(INDEX(orderHistory[order_no],SMALL(IF(ISNUMBER(MATCH(orderHistory[status],$EO$7,0)),MATCH(ROW(orderHistory[order_no]),ROW(orderHistory[order_no])),""),ROWS($A$15:A55))),"")</f>
        <v/>
      </c>
    </row>
    <row r="51" spans="10:145" ht="15" customHeight="1" x14ac:dyDescent="0.35">
      <c r="J51" s="332"/>
      <c r="K51" s="332"/>
      <c r="L51" s="452" t="str">
        <f t="array" ref="L51">IFERROR(IF($D$9="",IF($D$11="",IF($D$13="",IF($D$15="",INDEX(orderHistory[customer],SMALL(MATCH(ROW(orderHistory[customer]),ROW(orderHistory[customer])),ROWS($A$15:A56)+$B$3)),INDEX(orderHistory[customer],SMALL(IF(ISNUMBER(MATCH(YEAR(orderHistory[invoice_date]),$D$15,0)),MATCH(ROW(orderHistory[customer]),ROW(orderHistory[customer])),""),ROWS($A$15:A56)+$B$3))),IF($D$15="",INDEX(orderHistory[customer],SMALL(IF(ISNUMBER(MATCH(orderHistory[order_type],$D$13,0)),MATCH(ROW(orderHistory[customer]),ROW(orderHistory[customer])),""),ROWS($A$15:A56)+$B$3)),INDEX(orderHistory[customer],SMALL(IF(ISNUMBER(MATCH(orderHistory[order_type],$D$13,0)*MATCH(YEAR(orderHistory[invoice_date]),$D$15,0)),MATCH(ROW(orderHistory[customer]),ROW(orderHistory[customer])),""),ROWS($A$15:A56)+$B$3)))),IF($D$13="",IF($D$15="",INDEX(orderHistory[customer],SMALL(IF(ISNUMBER(MATCH(orderHistory[status],$D$11,0)),MATCH(ROW(orderHistory[customer]),ROW(orderHistory[customer])),""),ROWS($A$15:A56)+$B$3)),INDEX(orderHistory[customer],SMALL(IF(ISNUMBER(MATCH(orderHistory[status],$D$11,0)*MATCH(YEAR(orderHistory[invoice_date]),$D$15,0)),MATCH(ROW(orderHistory[customer]),ROW(orderHistory[customer])),""),ROWS($A$15:A56)+$B$3))),IF($D$15="",INDEX(orderHistory[customer],SMALL(IF(ISNUMBER(MATCH(orderHistory[status],$D$11,0)*MATCH(orderHistory[order_type],$D$13,0)),MATCH(ROW(orderHistory[customer]),ROW(orderHistory[customer])),""),ROWS($A$15:A56)+$B$3)),INDEX(orderHistory[customer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customer],SMALL(IF(ISNUMBER(MATCH(orderHistory[customer],$D$9,0)),MATCH(ROW(orderHistory[customer]),ROW(orderHistory[customer])),""),ROWS($A$15:A56)+$B$3)),INDEX(orderHistory[customer],SMALL(IF(ISNUMBER(MATCH(orderHistory[customer],$D$9,0)*MATCH(YEAR(orderHistory[invoice_date]),$D$15,0)),MATCH(ROW(orderHistory[customer]),ROW(orderHistory[customer])),""),ROWS($A$15:A56)+$B$3))),IF($D$15="",INDEX(orderHistory[customer],SMALL(IF(ISNUMBER(MATCH(orderHistory[customer],$D$9,0)*MATCH(orderHistory[order_type],$D$13,0)),MATCH(ROW(orderHistory[customer]),ROW(orderHistory[customer])),""),ROWS($A$15:A56)+$B$3)),INDEX(orderHistory[customer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YEAR(orderHistory[invoice_date]),$D$15,0)),MATCH(ROW(orderHistory[customer]),ROW(orderHistory[customer])),""),ROWS($A$15:A56)+$B$3))),IF($D$15="",INDEX(orderHistory[customer],SMALL(IF(ISNUMBER(MATCH(orderHistory[customer],$D$9,0)*MATCH(orderHistory[status],$D$11,0)*MATCH(orderHistory[order_type],$D$13,0)),MATCH(ROW(orderHistory[customer]),ROW(orderHistory[customer])),""),ROWS($A$15:A56)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M51" s="453" t="str">
        <f t="array" ref="M51">IFERROR(IF($D$9="",IF($D$11="",IF($D$13="",IF($D$15="",INDEX(orderHistory[order_no],SMALL(MATCH(ROW(orderHistory[customer]),ROW(orderHistory[customer])),ROWS($A$15:A56)+$B$3)),INDEX(orderHistory[order_no],SMALL(IF(ISNUMBER(MATCH(YEAR(orderHistory[invoice_date]),$D$15,0)),MATCH(ROW(orderHistory[customer]),ROW(orderHistory[customer])),""),ROWS($A$15:A56)+$B$3))),IF($D$15="",INDEX(orderHistory[order_no],SMALL(IF(ISNUMBER(MATCH(orderHistory[order_type],$D$13,0)),MATCH(ROW(orderHistory[customer]),ROW(orderHistory[customer])),""),ROWS($A$15:A56)+$B$3)),INDEX(orderHistory[order_no],SMALL(IF(ISNUMBER(MATCH(orderHistory[order_type],$D$13,0)*MATCH(YEAR(orderHistory[invoice_date]),$D$15,0)),MATCH(ROW(orderHistory[customer]),ROW(orderHistory[customer])),""),ROWS($A$15:A56)+$B$3)))),IF($D$13="",IF($D$15="",INDEX(orderHistory[order_no],SMALL(IF(ISNUMBER(MATCH(orderHistory[status],$D$11,0)),MATCH(ROW(orderHistory[customer]),ROW(orderHistory[customer])),""),ROWS($A$15:A56)+$B$3)),INDEX(orderHistory[order_no],SMALL(IF(ISNUMBER(MATCH(orderHistory[status],$D$11,0)*MATCH(YEAR(orderHistory[invoice_date]),$D$15,0)),MATCH(ROW(orderHistory[customer]),ROW(orderHistory[customer])),""),ROWS($A$15:A56)+$B$3))),IF($D$15="",INDEX(orderHistory[order_no],SMALL(IF(ISNUMBER(MATCH(orderHistory[status],$D$11,0)*MATCH(orderHistory[order_type],$D$13,0)),MATCH(ROW(orderHistory[customer]),ROW(orderHistory[customer])),""),ROWS($A$15:A56)+$B$3)),INDEX(orderHistory[order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no],SMALL(IF(ISNUMBER(MATCH(orderHistory[customer],$D$9,0)),MATCH(ROW(orderHistory[customer]),ROW(orderHistory[customer])),""),ROWS($A$15:A56)+$B$3)),INDEX(orderHistory[order_no],SMALL(IF(ISNUMBER(MATCH(orderHistory[customer],$D$9,0)*MATCH(YEAR(orderHistory[invoice_date]),$D$15,0)),MATCH(ROW(orderHistory[customer]),ROW(orderHistory[customer])),""),ROWS($A$15:A56)+$B$3))),IF($D$15="",INDEX(orderHistory[order_no],SMALL(IF(ISNUMBER(MATCH(orderHistory[customer],$D$9,0)*MATCH(orderHistory[order_type],$D$13,0)),MATCH(ROW(orderHistory[customer]),ROW(orderHistory[customer])),""),ROWS($A$15:A56)+$B$3)),INDEX(orderHistory[order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YEAR(orderHistory[invoice_date]),$D$15,0)),MATCH(ROW(orderHistory[customer]),ROW(orderHistory[customer])),""),ROWS($A$15:A56)+$B$3))),IF($D$15="",INDEX(orderHistory[order_no],SMALL(IF(ISNUMBER(MATCH(orderHistory[customer],$D$9,0)*MATCH(orderHistory[status],$D$11,0)*MATCH(orderHistory[order_type],$D$13,0)),MATCH(ROW(orderHistory[customer]),ROW(orderHistory[customer])),""),ROWS($A$15:A56)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N51" s="454" t="str">
        <f t="array" ref="N51">IFERROR(IF($D$9="",IF($D$11="",IF($D$13="",IF($D$15="",INDEX(orderHistory[order_type],SMALL(MATCH(ROW(orderHistory[customer]),ROW(orderHistory[customer])),ROWS($A$15:A56)+$B$3)),INDEX(orderHistory[order_type],SMALL(IF(ISNUMBER(MATCH(YEAR(orderHistory[invoice_date]),$D$15,0)),MATCH(ROW(orderHistory[customer]),ROW(orderHistory[customer])),""),ROWS($A$15:A56)+$B$3))),IF($D$15="",INDEX(orderHistory[order_type],SMALL(IF(ISNUMBER(MATCH(orderHistory[order_type],$D$13,0)),MATCH(ROW(orderHistory[customer]),ROW(orderHistory[customer])),""),ROWS($A$15:A56)+$B$3)),INDEX(orderHistory[order_type],SMALL(IF(ISNUMBER(MATCH(orderHistory[order_type],$D$13,0)*MATCH(YEAR(orderHistory[invoice_date]),$D$15,0)),MATCH(ROW(orderHistory[customer]),ROW(orderHistory[customer])),""),ROWS($A$15:A56)+$B$3)))),IF($D$13="",IF($D$15="",INDEX(orderHistory[order_type],SMALL(IF(ISNUMBER(MATCH(orderHistory[status],$D$11,0)),MATCH(ROW(orderHistory[customer]),ROW(orderHistory[customer])),""),ROWS($A$15:A56)+$B$3)),INDEX(orderHistory[order_type],SMALL(IF(ISNUMBER(MATCH(orderHistory[status],$D$11,0)*MATCH(YEAR(orderHistory[invoice_date]),$D$15,0)),MATCH(ROW(orderHistory[customer]),ROW(orderHistory[customer])),""),ROWS($A$15:A56)+$B$3))),IF($D$15="",INDEX(orderHistory[order_type],SMALL(IF(ISNUMBER(MATCH(orderHistory[status],$D$11,0)*MATCH(orderHistory[order_type],$D$13,0)),MATCH(ROW(orderHistory[customer]),ROW(orderHistory[customer])),""),ROWS($A$15:A56)+$B$3)),INDEX(orderHistory[order_typ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type],SMALL(IF(ISNUMBER(MATCH(orderHistory[customer],$D$9,0)),MATCH(ROW(orderHistory[customer]),ROW(orderHistory[customer])),""),ROWS($A$15:A56)+$B$3)),INDEX(orderHistory[order_type],SMALL(IF(ISNUMBER(MATCH(orderHistory[customer],$D$9,0)*MATCH(YEAR(orderHistory[invoice_date]),$D$15,0)),MATCH(ROW(orderHistory[customer]),ROW(orderHistory[customer])),""),ROWS($A$15:A56)+$B$3))),IF($D$15="",INDEX(orderHistory[order_type],SMALL(IF(ISNUMBER(MATCH(orderHistory[customer],$D$9,0)*MATCH(orderHistory[order_type],$D$13,0)),MATCH(ROW(orderHistory[customer]),ROW(orderHistory[customer])),""),ROWS($A$15:A56)+$B$3)),INDEX(orderHistory[order_typ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YEAR(orderHistory[invoice_date]),$D$15,0)),MATCH(ROW(orderHistory[customer]),ROW(orderHistory[customer])),""),ROWS($A$15:A56)+$B$3))),IF($D$15="",INDEX(orderHistory[order_type],SMALL(IF(ISNUMBER(MATCH(orderHistory[customer],$D$9,0)*MATCH(orderHistory[status],$D$11,0)*MATCH(orderHistory[order_type],$D$13,0)),MATCH(ROW(orderHistory[customer]),ROW(orderHistory[customer])),""),ROWS($A$15:A56)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O51" s="455" t="str">
        <f t="array" ref="O51">IFERROR(IF($D$9="",IF($D$11="",IF($D$13="",IF($D$15="",INDEX(orderHistory[order_date],SMALL(MATCH(ROW(orderHistory[customer]),ROW(orderHistory[customer])),ROWS($A$15:A56)+$B$3)),INDEX(orderHistory[order_date],SMALL(IF(ISNUMBER(MATCH(YEAR(orderHistory[invoice_date]),$D$15,0)),MATCH(ROW(orderHistory[customer]),ROW(orderHistory[customer])),""),ROWS($A$15:A56)+$B$3))),IF($D$15="",INDEX(orderHistory[order_date],SMALL(IF(ISNUMBER(MATCH(orderHistory[order_type],$D$13,0)),MATCH(ROW(orderHistory[customer]),ROW(orderHistory[customer])),""),ROWS($A$15:A56)+$B$3)),INDEX(orderHistory[order_date],SMALL(IF(ISNUMBER(MATCH(orderHistory[order_type],$D$13,0)*MATCH(YEAR(orderHistory[invoice_date]),$D$15,0)),MATCH(ROW(orderHistory[customer]),ROW(orderHistory[customer])),""),ROWS($A$15:A56)+$B$3)))),IF($D$13="",IF($D$15="",INDEX(orderHistory[order_date],SMALL(IF(ISNUMBER(MATCH(orderHistory[status],$D$11,0)),MATCH(ROW(orderHistory[customer]),ROW(orderHistory[customer])),""),ROWS($A$15:A56)+$B$3)),INDEX(orderHistory[order_date],SMALL(IF(ISNUMBER(MATCH(orderHistory[status],$D$11,0)*MATCH(YEAR(orderHistory[invoice_date]),$D$15,0)),MATCH(ROW(orderHistory[customer]),ROW(orderHistory[customer])),""),ROWS($A$15:A56)+$B$3))),IF($D$15="",INDEX(orderHistory[order_date],SMALL(IF(ISNUMBER(MATCH(orderHistory[status],$D$11,0)*MATCH(orderHistory[order_type],$D$13,0)),MATCH(ROW(orderHistory[customer]),ROW(orderHistory[customer])),""),ROWS($A$15:A56)+$B$3)),INDEX(orderHistory[order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date],SMALL(IF(ISNUMBER(MATCH(orderHistory[customer],$D$9,0)),MATCH(ROW(orderHistory[customer]),ROW(orderHistory[customer])),""),ROWS($A$15:A56)+$B$3)),INDEX(orderHistory[order_date],SMALL(IF(ISNUMBER(MATCH(orderHistory[customer],$D$9,0)*MATCH(YEAR(orderHistory[invoice_date]),$D$15,0)),MATCH(ROW(orderHistory[customer]),ROW(orderHistory[customer])),""),ROWS($A$15:A56)+$B$3))),IF($D$15="",INDEX(orderHistory[order_date],SMALL(IF(ISNUMBER(MATCH(orderHistory[customer],$D$9,0)*MATCH(orderHistory[order_type],$D$13,0)),MATCH(ROW(orderHistory[customer]),ROW(orderHistory[customer])),""),ROWS($A$15:A56)+$B$3)),INDEX(orderHistory[order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YEAR(orderHistory[invoice_date]),$D$15,0)),MATCH(ROW(orderHistory[customer]),ROW(orderHistory[customer])),""),ROWS($A$15:A56)+$B$3))),IF($D$15="",INDEX(orderHistory[order_date],SMALL(IF(ISNUMBER(MATCH(orderHistory[customer],$D$9,0)*MATCH(orderHistory[status],$D$11,0)*MATCH(orderHistory[order_type],$D$13,0)),MATCH(ROW(orderHistory[customer]),ROW(orderHistory[customer])),""),ROWS($A$15:A56)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P51" s="456" t="str">
        <f t="array" ref="P51">IFERROR(IF($D$9="",IF($D$11="",IF($D$13="",IF($D$15="",INDEX(orderHistory[invoice_no],SMALL(MATCH(ROW(orderHistory[customer]),ROW(orderHistory[customer])),ROWS($A$15:A56)+$B$3)),INDEX(orderHistory[invoice_no],SMALL(IF(ISNUMBER(MATCH(YEAR(orderHistory[invoice_date]),$D$15,0)),MATCH(ROW(orderHistory[customer]),ROW(orderHistory[customer])),""),ROWS($A$15:A56)+$B$3))),IF($D$15="",INDEX(orderHistory[invoice_no],SMALL(IF(ISNUMBER(MATCH(orderHistory[order_type],$D$13,0)),MATCH(ROW(orderHistory[customer]),ROW(orderHistory[customer])),""),ROWS($A$15:A56)+$B$3)),INDEX(orderHistory[invoice_no],SMALL(IF(ISNUMBER(MATCH(orderHistory[order_type],$D$13,0)*MATCH(YEAR(orderHistory[invoice_date]),$D$15,0)),MATCH(ROW(orderHistory[customer]),ROW(orderHistory[customer])),""),ROWS($A$15:A56)+$B$3)))),IF($D$13="",IF($D$15="",INDEX(orderHistory[invoice_no],SMALL(IF(ISNUMBER(MATCH(orderHistory[status],$D$11,0)),MATCH(ROW(orderHistory[customer]),ROW(orderHistory[customer])),""),ROWS($A$15:A56)+$B$3)),INDEX(orderHistory[invoice_no],SMALL(IF(ISNUMBER(MATCH(orderHistory[status],$D$11,0)*MATCH(YEAR(orderHistory[invoice_date]),$D$15,0)),MATCH(ROW(orderHistory[customer]),ROW(orderHistory[customer])),""),ROWS($A$15:A56)+$B$3))),IF($D$15="",INDEX(orderHistory[invoice_no],SMALL(IF(ISNUMBER(MATCH(orderHistory[status],$D$11,0)*MATCH(orderHistory[order_type],$D$13,0)),MATCH(ROW(orderHistory[customer]),ROW(orderHistory[customer])),""),ROWS($A$15:A56)+$B$3)),INDEX(orderHistory[invoice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no],SMALL(IF(ISNUMBER(MATCH(orderHistory[customer],$D$9,0)),MATCH(ROW(orderHistory[customer]),ROW(orderHistory[customer])),""),ROWS($A$15:A56)+$B$3)),INDEX(orderHistory[invoice_no],SMALL(IF(ISNUMBER(MATCH(orderHistory[customer],$D$9,0)*MATCH(YEAR(orderHistory[invoice_date]),$D$15,0)),MATCH(ROW(orderHistory[customer]),ROW(orderHistory[customer])),""),ROWS($A$15:A56)+$B$3))),IF($D$15="",INDEX(orderHistory[invoice_no],SMALL(IF(ISNUMBER(MATCH(orderHistory[customer],$D$9,0)*MATCH(orderHistory[order_type],$D$13,0)),MATCH(ROW(orderHistory[customer]),ROW(orderHistory[customer])),""),ROWS($A$15:A56)+$B$3)),INDEX(orderHistory[invoice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YEAR(orderHistory[invoice_date]),$D$15,0)),MATCH(ROW(orderHistory[customer]),ROW(orderHistory[customer])),""),ROWS($A$15:A56)+$B$3))),IF($D$15="",INDEX(orderHistory[invoice_no],SMALL(IF(ISNUMBER(MATCH(orderHistory[customer],$D$9,0)*MATCH(orderHistory[status],$D$11,0)*MATCH(orderHistory[order_type],$D$13,0)),MATCH(ROW(orderHistory[customer]),ROW(orderHistory[customer])),""),ROWS($A$15:A56)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Q51" s="457" t="str">
        <f t="array" ref="Q51">IFERROR(IF($D$9="",IF($D$11="",IF($D$13="",IF($D$15="",INDEX(orderHistory[invoice_date],SMALL(MATCH(ROW(orderHistory[customer]),ROW(orderHistory[customer])),ROWS($A$15:A56)+$B$3)),INDEX(orderHistory[invoice_date],SMALL(IF(ISNUMBER(MATCH(YEAR(orderHistory[invoice_date]),$D$15,0)),MATCH(ROW(orderHistory[customer]),ROW(orderHistory[customer])),""),ROWS($A$15:A56)+$B$3))),IF($D$15="",INDEX(orderHistory[invoice_date],SMALL(IF(ISNUMBER(MATCH(orderHistory[order_type],$D$13,0)),MATCH(ROW(orderHistory[customer]),ROW(orderHistory[customer])),""),ROWS($A$15:A56)+$B$3)),INDEX(orderHistory[invoice_date],SMALL(IF(ISNUMBER(MATCH(orderHistory[order_type],$D$13,0)*MATCH(YEAR(orderHistory[invoice_date]),$D$15,0)),MATCH(ROW(orderHistory[customer]),ROW(orderHistory[customer])),""),ROWS($A$15:A56)+$B$3)))),IF($D$13="",IF($D$15="",INDEX(orderHistory[invoice_date],SMALL(IF(ISNUMBER(MATCH(orderHistory[status],$D$11,0)),MATCH(ROW(orderHistory[customer]),ROW(orderHistory[customer])),""),ROWS($A$15:A56)+$B$3)),INDEX(orderHistory[invoice_date],SMALL(IF(ISNUMBER(MATCH(orderHistory[status],$D$11,0)*MATCH(YEAR(orderHistory[invoice_date]),$D$15,0)),MATCH(ROW(orderHistory[customer]),ROW(orderHistory[customer])),""),ROWS($A$15:A56)+$B$3))),IF($D$15="",INDEX(orderHistory[invoice_date],SMALL(IF(ISNUMBER(MATCH(orderHistory[status],$D$11,0)*MATCH(orderHistory[order_type],$D$13,0)),MATCH(ROW(orderHistory[customer]),ROW(orderHistory[customer])),""),ROWS($A$15:A56)+$B$3)),INDEX(orderHistory[invoice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date],SMALL(IF(ISNUMBER(MATCH(orderHistory[customer],$D$9,0)),MATCH(ROW(orderHistory[customer]),ROW(orderHistory[customer])),""),ROWS($A$15:A56)+$B$3)),INDEX(orderHistory[invoice_date],SMALL(IF(ISNUMBER(MATCH(orderHistory[customer],$D$9,0)*MATCH(YEAR(orderHistory[invoice_date]),$D$15,0)),MATCH(ROW(orderHistory[customer]),ROW(orderHistory[customer])),""),ROWS($A$15:A56)+$B$3))),IF($D$15="",INDEX(orderHistory[invoice_date],SMALL(IF(ISNUMBER(MATCH(orderHistory[customer],$D$9,0)*MATCH(orderHistory[order_type],$D$13,0)),MATCH(ROW(orderHistory[customer]),ROW(orderHistory[customer])),""),ROWS($A$15:A56)+$B$3)),INDEX(orderHistory[invoice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YEAR(orderHistory[invoice_date]),$D$15,0)),MATCH(ROW(orderHistory[customer]),ROW(orderHistory[customer])),""),ROWS($A$15:A56)+$B$3))),IF($D$15="",INDEX(orderHistory[invoice_date],SMALL(IF(ISNUMBER(MATCH(orderHistory[customer],$D$9,0)*MATCH(orderHistory[status],$D$11,0)*MATCH(orderHistory[order_type],$D$13,0)),MATCH(ROW(orderHistory[customer]),ROW(orderHistory[customer])),""),ROWS($A$15:A56)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R51" s="458" t="str">
        <f t="array" ref="R51">IFERROR(IF($D$9="",IF($D$11="",IF($D$13="",IF($D$15="",INDEX(orderHistory[inv_amount],SMALL(MATCH(ROW(orderHistory[customer]),ROW(orderHistory[customer])),ROWS($A$15:A56)+$B$3)),INDEX(orderHistory[inv_amount],SMALL(IF(ISNUMBER(MATCH(YEAR(orderHistory[invoice_date]),$D$15,0)),MATCH(ROW(orderHistory[customer]),ROW(orderHistory[customer])),""),ROWS($A$15:A56)+$B$3))),IF($D$15="",INDEX(orderHistory[inv_amount],SMALL(IF(ISNUMBER(MATCH(orderHistory[order_type],$D$13,0)),MATCH(ROW(orderHistory[customer]),ROW(orderHistory[customer])),""),ROWS($A$15:A56)+$B$3)),INDEX(orderHistory[inv_amount],SMALL(IF(ISNUMBER(MATCH(orderHistory[order_type],$D$13,0)*MATCH(YEAR(orderHistory[invoice_date]),$D$15,0)),MATCH(ROW(orderHistory[customer]),ROW(orderHistory[customer])),""),ROWS($A$15:A56)+$B$3)))),IF($D$13="",IF($D$15="",INDEX(orderHistory[inv_amount],SMALL(IF(ISNUMBER(MATCH(orderHistory[status],$D$11,0)),MATCH(ROW(orderHistory[customer]),ROW(orderHistory[customer])),""),ROWS($A$15:A56)+$B$3)),INDEX(orderHistory[inv_amount],SMALL(IF(ISNUMBER(MATCH(orderHistory[status],$D$11,0)*MATCH(YEAR(orderHistory[invoice_date]),$D$15,0)),MATCH(ROW(orderHistory[customer]),ROW(orderHistory[customer])),""),ROWS($A$15:A56)+$B$3))),IF($D$15="",INDEX(orderHistory[inv_amount],SMALL(IF(ISNUMBER(MATCH(orderHistory[status],$D$11,0)*MATCH(orderHistory[order_type],$D$13,0)),MATCH(ROW(orderHistory[customer]),ROW(orderHistory[customer])),""),ROWS($A$15:A56)+$B$3)),INDEX(orderHistory[inv_amount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_amount],SMALL(IF(ISNUMBER(MATCH(orderHistory[customer],$D$9,0)),MATCH(ROW(orderHistory[customer]),ROW(orderHistory[customer])),""),ROWS($A$15:A56)+$B$3)),INDEX(orderHistory[inv_amount],SMALL(IF(ISNUMBER(MATCH(orderHistory[customer],$D$9,0)*MATCH(YEAR(orderHistory[invoice_date]),$D$15,0)),MATCH(ROW(orderHistory[customer]),ROW(orderHistory[customer])),""),ROWS($A$15:A56)+$B$3))),IF($D$15="",INDEX(orderHistory[inv_amount],SMALL(IF(ISNUMBER(MATCH(orderHistory[customer],$D$9,0)*MATCH(orderHistory[order_type],$D$13,0)),MATCH(ROW(orderHistory[customer]),ROW(orderHistory[customer])),""),ROWS($A$15:A56)+$B$3)),INDEX(orderHistory[inv_amount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YEAR(orderHistory[inv_amount]),$D$15,0)),MATCH(ROW(orderHistory[customer]),ROW(orderHistory[customer])),""),ROWS($A$15:A56)+$B$3))),IF($D$15="",INDEX(orderHistory[inv_amount],SMALL(IF(ISNUMBER(MATCH(orderHistory[customer],$D$9,0)*MATCH(orderHistory[status],$D$11,0)*MATCH(orderHistory[order_type],$D$13,0)),MATCH(ROW(orderHistory[customer]),ROW(orderHistory[customer])),""),ROWS($A$15:A56)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S51" s="569" t="str">
        <f t="array" ref="S51">IFERROR(IF($D$9="",IF($D$11="",IF($D$13="",IF($D$15="",INDEX(orderHistory[lock_goods],SMALL(MATCH(ROW(orderHistory[customer]),ROW(orderHistory[customer])),ROWS($A$15:A56)+$B$3)),INDEX(orderHistory[lock_goods],SMALL(IF(ISNUMBER(MATCH(YEAR(orderHistory[invoice_date]),$D$15,0)),MATCH(ROW(orderHistory[customer]),ROW(orderHistory[customer])),""),ROWS($A$15:A56)+$B$3))),IF($D$15="",INDEX(orderHistory[lock_goods],SMALL(IF(ISNUMBER(MATCH(orderHistory[order_type],$D$13,0)),MATCH(ROW(orderHistory[customer]),ROW(orderHistory[customer])),""),ROWS($A$15:A56)+$B$3)),INDEX(orderHistory[lock_goods],SMALL(IF(ISNUMBER(MATCH(orderHistory[order_type],$D$13,0)*MATCH(YEAR(orderHistory[invoice_date]),$D$15,0)),MATCH(ROW(orderHistory[customer]),ROW(orderHistory[customer])),""),ROWS($A$15:A56)+$B$3)))),IF($D$13="",IF($D$15="",INDEX(orderHistory[lock_goods],SMALL(IF(ISNUMBER(MATCH(orderHistory[status],$D$11,0)),MATCH(ROW(orderHistory[customer]),ROW(orderHistory[customer])),""),ROWS($A$15:A56)+$B$3)),INDEX(orderHistory[lock_goods],SMALL(IF(ISNUMBER(MATCH(orderHistory[status],$D$11,0)*MATCH(YEAR(orderHistory[invoice_date]),$D$15,0)),MATCH(ROW(orderHistory[customer]),ROW(orderHistory[customer])),""),ROWS($A$15:A56)+$B$3))),IF($D$15="",INDEX(orderHistory[lock_goods],SMALL(IF(ISNUMBER(MATCH(orderHistory[status],$D$11,0)*MATCH(orderHistory[order_type],$D$13,0)),MATCH(ROW(orderHistory[customer]),ROW(orderHistory[customer])),""),ROWS($A$15:A56)+$B$3)),INDEX(orderHistory[lock_good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lock_goods],SMALL(IF(ISNUMBER(MATCH(orderHistory[customer],$D$9,0)),MATCH(ROW(orderHistory[customer]),ROW(orderHistory[customer])),""),ROWS($A$15:A56)+$B$3)),INDEX(orderHistory[lock_goods],SMALL(IF(ISNUMBER(MATCH(orderHistory[customer],$D$9,0)*MATCH(YEAR(orderHistory[invoice_date]),$D$15,0)),MATCH(ROW(orderHistory[customer]),ROW(orderHistory[customer])),""),ROWS($A$15:A56)+$B$3))),IF($D$15="",INDEX(orderHistory[lock_goods],SMALL(IF(ISNUMBER(MATCH(orderHistory[customer],$D$9,0)*MATCH(orderHistory[order_type],$D$13,0)),MATCH(ROW(orderHistory[customer]),ROW(orderHistory[customer])),""),ROWS($A$15:A56)+$B$3)),INDEX(orderHistory[lock_good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lock_goods],SMALL(IF(ISNUMBER(MATCH(orderHistory[customer],$D$9,0)*MATCH(orderHistory[status],$D$11,0)),MATCH(ROW(orderHistory[customer]),ROW(orderHistory[customer])),""),ROWS($A$15:A56)+$B$3)),INDEX(orderHistory[lock_goods],SMALL(IF(ISNUMBER(MATCH(orderHistory[customer],$D$9,0)*MATCH(orderHistory[status],$D$11,0)*MATCH(YEAR(orderHistory[payed]),$D$15,0)),MATCH(ROW(orderHistory[customer]),ROW(orderHistory[customer])),""),ROWS($A$15:A56)+$B$3))),IF($D$15="",INDEX(orderHistory[lock_goods],SMALL(IF(ISNUMBER(MATCH(orderHistory[customer],$D$9,0)*MATCH(orderHistory[status],$D$11,0)*MATCH(orderHistory[order_type],$D$13,0)),MATCH(ROW(orderHistory[customer]),ROW(orderHistory[customer])),""),ROWS($A$15:A56)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T51" s="459" t="str">
        <f t="array" ref="T51">IFERROR(IF($D$9="",IF($D$11="",IF($D$13="",IF($D$15="",INDEX(orderHistory[payed],SMALL(MATCH(ROW(orderHistory[customer]),ROW(orderHistory[customer])),ROWS($A$15:A56)+$B$3)),INDEX(orderHistory[payed],SMALL(IF(ISNUMBER(MATCH(YEAR(orderHistory[invoice_date]),$D$15,0)),MATCH(ROW(orderHistory[customer]),ROW(orderHistory[customer])),""),ROWS($A$15:A56)+$B$3))),IF($D$15="",INDEX(orderHistory[payed],SMALL(IF(ISNUMBER(MATCH(orderHistory[order_type],$D$13,0)),MATCH(ROW(orderHistory[customer]),ROW(orderHistory[customer])),""),ROWS($A$15:A56)+$B$3)),INDEX(orderHistory[payed],SMALL(IF(ISNUMBER(MATCH(orderHistory[order_type],$D$13,0)*MATCH(YEAR(orderHistory[invoice_date]),$D$15,0)),MATCH(ROW(orderHistory[customer]),ROW(orderHistory[customer])),""),ROWS($A$15:A56)+$B$3)))),IF($D$13="",IF($D$15="",INDEX(orderHistory[payed],SMALL(IF(ISNUMBER(MATCH(orderHistory[status],$D$11,0)),MATCH(ROW(orderHistory[customer]),ROW(orderHistory[customer])),""),ROWS($A$15:A56)+$B$3)),INDEX(orderHistory[payed],SMALL(IF(ISNUMBER(MATCH(orderHistory[status],$D$11,0)*MATCH(YEAR(orderHistory[invoice_date]),$D$15,0)),MATCH(ROW(orderHistory[customer]),ROW(orderHistory[customer])),""),ROWS($A$15:A56)+$B$3))),IF($D$15="",INDEX(orderHistory[payed],SMALL(IF(ISNUMBER(MATCH(orderHistory[status],$D$11,0)*MATCH(orderHistory[order_type],$D$13,0)),MATCH(ROW(orderHistory[customer]),ROW(orderHistory[customer])),""),ROWS($A$15:A56)+$B$3)),INDEX(orderHistory[paye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payed],SMALL(IF(ISNUMBER(MATCH(orderHistory[customer],$D$9,0)),MATCH(ROW(orderHistory[customer]),ROW(orderHistory[customer])),""),ROWS($A$15:A56)+$B$3)),INDEX(orderHistory[payed],SMALL(IF(ISNUMBER(MATCH(orderHistory[customer],$D$9,0)*MATCH(YEAR(orderHistory[invoice_date]),$D$15,0)),MATCH(ROW(orderHistory[customer]),ROW(orderHistory[customer])),""),ROWS($A$15:A56)+$B$3))),IF($D$15="",INDEX(orderHistory[payed],SMALL(IF(ISNUMBER(MATCH(orderHistory[customer],$D$9,0)*MATCH(orderHistory[order_type],$D$13,0)),MATCH(ROW(orderHistory[customer]),ROW(orderHistory[customer])),""),ROWS($A$15:A56)+$B$3)),INDEX(orderHistory[paye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YEAR(orderHistory[payed]),$D$15,0)),MATCH(ROW(orderHistory[customer]),ROW(orderHistory[customer])),""),ROWS($A$15:A56)+$B$3))),IF($D$15="",INDEX(orderHistory[payed],SMALL(IF(ISNUMBER(MATCH(orderHistory[customer],$D$9,0)*MATCH(orderHistory[status],$D$11,0)*MATCH(orderHistory[order_type],$D$13,0)),MATCH(ROW(orderHistory[customer]),ROW(orderHistory[customer])),""),ROWS($A$15:A56)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U51" s="454" t="str">
        <f t="array" ref="U51">IFERROR(IF($D$9="",IF($D$11="",IF($D$13="",IF($D$15="",INDEX(orderHistory[shipping_method],SMALL(MATCH(ROW(orderHistory[customer]),ROW(orderHistory[customer])),ROWS($A$15:A56)+$B$3)),INDEX(orderHistory[shipping_method],SMALL(IF(ISNUMBER(MATCH(YEAR(orderHistory[invoice_date]),$D$15,0)),MATCH(ROW(orderHistory[customer]),ROW(orderHistory[customer])),""),ROWS($A$15:A56)+$B$3))),IF($D$15="",INDEX(orderHistory[shipping_method],SMALL(IF(ISNUMBER(MATCH(orderHistory[order_type],$D$13,0)),MATCH(ROW(orderHistory[customer]),ROW(orderHistory[customer])),""),ROWS($A$15:A56)+$B$3)),INDEX(orderHistory[shipping_method],SMALL(IF(ISNUMBER(MATCH(orderHistory[order_type],$D$13,0)*MATCH(YEAR(orderHistory[invoice_date]),$D$15,0)),MATCH(ROW(orderHistory[customer]),ROW(orderHistory[customer])),""),ROWS($A$15:A56)+$B$3)))),IF($D$13="",IF($D$15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YEAR(orderHistory[invoice_date]),$D$15,0)),MATCH(ROW(orderHistory[customer]),ROW(orderHistory[customer])),""),ROWS($A$15:A56)+$B$3))),IF($D$15="",INDEX(orderHistory[shipping_method],SMALL(IF(ISNUMBER(MATCH(orderHistory[status],$D$11,0)*MATCH(orderHistory[order_type],$D$13,0)),MATCH(ROW(orderHistory[customer]),ROW(orderHistory[customer])),""),ROWS($A$15:A56)+$B$3)),INDEX(orderHistory[shipping_metho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YEAR(orderHistory[invoice_date]),$D$15,0)),MATCH(ROW(orderHistory[customer]),ROW(orderHistory[customer])),""),ROWS($A$15:A56)+$B$3))),IF($D$15="",INDEX(orderHistory[shipping_method],SMALL(IF(ISNUMBER(MATCH(orderHistory[customer],$D$9,0)*MATCH(orderHistory[order_type],$D$13,0)),MATCH(ROW(orderHistory[customer]),ROW(orderHistory[customer])),""),ROWS($A$15:A56)+$B$3)),INDEX(orderHistory[shipping_metho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YEAR(orderHistory[shipping_method]),$D$15,0)),MATCH(ROW(orderHistory[customer]),ROW(orderHistory[customer])),""),ROWS($A$15:A56)+$B$3))),IF($D$15="",INDEX(orderHistory[shipping_method],SMALL(IF(ISNUMBER(MATCH(orderHistory[customer],$D$9,0)*MATCH(orderHistory[status],$D$11,0)*MATCH(orderHistory[order_type],$D$13,0)),MATCH(ROW(orderHistory[customer]),ROW(orderHistory[customer])),""),ROWS($A$15:A56)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V51" s="460" t="str">
        <f t="array" ref="V51">IFERROR(IF($D$9="",IF($D$11="",IF($D$13="",IF($D$15="",INDEX(orderHistory[status],SMALL(MATCH(ROW(orderHistory[customer]),ROW(orderHistory[customer])),ROWS($A$15:A56)+$B$3)),INDEX(orderHistory[status],SMALL(IF(ISNUMBER(MATCH(YEAR(orderHistory[invoice_date]),$D$15,0)),MATCH(ROW(orderHistory[customer]),ROW(orderHistory[customer])),""),ROWS($A$15:A56)+$B$3))),IF($D$15="",INDEX(orderHistory[status],SMALL(IF(ISNUMBER(MATCH(orderHistory[order_type],$D$13,0)),MATCH(ROW(orderHistory[customer]),ROW(orderHistory[customer])),""),ROWS($A$15:A56)+$B$3)),INDEX(orderHistory[status],SMALL(IF(ISNUMBER(MATCH(orderHistory[order_type],$D$13,0)*MATCH(YEAR(orderHistory[invoice_date]),$D$15,0)),MATCH(ROW(orderHistory[customer]),ROW(orderHistory[customer])),""),ROWS($A$15:A56)+$B$3)))),IF($D$13="",IF($D$15="",INDEX(orderHistory[status],SMALL(IF(ISNUMBER(MATCH(orderHistory[status],$D$11,0)),MATCH(ROW(orderHistory[customer]),ROW(orderHistory[customer])),""),ROWS($A$15:A56)+$B$3)),INDEX(orderHistory[status],SMALL(IF(ISNUMBER(MATCH(orderHistory[status],$D$11,0)*MATCH(YEAR(orderHistory[invoice_date]),$D$15,0)),MATCH(ROW(orderHistory[customer]),ROW(orderHistory[customer])),""),ROWS($A$15:A56)+$B$3))),IF($D$15="",INDEX(orderHistory[status],SMALL(IF(ISNUMBER(MATCH(orderHistory[status],$D$11,0)*MATCH(orderHistory[order_type],$D$13,0)),MATCH(ROW(orderHistory[customer]),ROW(orderHistory[customer])),""),ROWS($A$15:A56)+$B$3)),INDEX(orderHistory[statu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tatus],SMALL(IF(ISNUMBER(MATCH(orderHistory[customer],$D$9,0)),MATCH(ROW(orderHistory[customer]),ROW(orderHistory[customer])),""),ROWS($A$15:A56)+$B$3)),INDEX(orderHistory[status],SMALL(IF(ISNUMBER(MATCH(orderHistory[customer],$D$9,0)*MATCH(YEAR(orderHistory[invoice_date]),$D$15,0)),MATCH(ROW(orderHistory[customer]),ROW(orderHistory[customer])),""),ROWS($A$15:A56)+$B$3))),IF($D$15="",INDEX(orderHistory[status],SMALL(IF(ISNUMBER(MATCH(orderHistory[customer],$D$9,0)*MATCH(orderHistory[order_type],$D$13,0)),MATCH(ROW(orderHistory[customer]),ROW(orderHistory[customer])),""),ROWS($A$15:A56)+$B$3)),INDEX(orderHistory[statu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YEAR(orderHistory[status]),$D$15,0)),MATCH(ROW(orderHistory[customer]),ROW(orderHistory[customer])),""),ROWS($A$15:A56)+$B$3))),IF($D$15="",INDEX(orderHistory[status],SMALL(IF(ISNUMBER(MATCH(orderHistory[customer],$D$9,0)*MATCH(orderHistory[status],$D$11,0)*MATCH(orderHistory[order_type],$D$13,0)),MATCH(ROW(orderHistory[customer]),ROW(orderHistory[customer])),""),ROWS($A$15:A56)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W51" s="75"/>
      <c r="X51" s="332"/>
      <c r="AQ51" s="350"/>
      <c r="AR51" s="350" t="s">
        <v>403</v>
      </c>
      <c r="BG51" s="245"/>
      <c r="BK51" s="366"/>
      <c r="BL51" s="367"/>
      <c r="BM51" s="368"/>
      <c r="BN51" s="367"/>
      <c r="BO51" s="368"/>
      <c r="BZ51" s="497"/>
      <c r="CA51" s="477" t="str">
        <f>IF(BZ51="","",INDEX(bhpc_data[description],MATCH(BZ51,bhpc_data[sku],0)))</f>
        <v/>
      </c>
      <c r="CB51" s="480"/>
      <c r="CC51" s="479"/>
      <c r="CD51" s="494"/>
      <c r="CE51" s="481"/>
      <c r="CF51" s="482"/>
      <c r="CG51" s="483" t="str">
        <f>IFERROR(ROUNDUP(CB51/INDEX(bhpc_data[units_per_carton],MATCH(BZ51,bhpc_data[sku],0)),0),"")</f>
        <v/>
      </c>
      <c r="CH51" s="484" t="str">
        <f>IFERROR(ROUNDUP(CD51/INDEX(bhpc_data[units_per_carton],MATCH(BZ51,bhpc_data[sku],0)),0),"")</f>
        <v/>
      </c>
      <c r="CI51" s="484" t="str">
        <f>IFERROR(ROUNDUP(CF51/INDEX(bhpc_data[units_per_carton],MATCH(BZ51,bhpc_data[sku])),0),"")</f>
        <v/>
      </c>
      <c r="CJ51" s="484" t="str">
        <f>IFERROR(((CB51+CD51+CF51)/INDEX(bhpc_data[units_per_carton],MATCH(BZ51,bhpc_data[sku],0)))*INDEX(bhpc_data[net_weight],MATCH(BZ51,bhpc_data[sku],0)),"")</f>
        <v/>
      </c>
      <c r="CK51" s="484" t="str">
        <f>IFERROR(((CB51+CD51+CF51)/INDEX(bhpc_data[units_per_carton],MATCH(BZ51,bhpc_data[sku],0)))*INDEX(bhpc_data[gross_weight],MATCH(BZ51,bhpc_data[sku],0)),"")</f>
        <v/>
      </c>
      <c r="CL51" s="485" t="str">
        <f>IFERROR((CB51+CD51+CF51)/INDEX(bhpc_data[units_per_carton],MATCH(BZ51,bhpc_data[sku],0))*INDEX(bhpc_data[lenght],MATCH(BZ51,bhpc_data[sku],0))*INDEX(bhpc_data[width],MATCH(BZ51,bhpc_data[sku],0))*INDEX(bhpc_data[height],MATCH(BZ51,bhpc_data[sku],0))/1000000000,"")</f>
        <v/>
      </c>
      <c r="CM51" s="486" t="str">
        <f>IFERROR(INDEX(bhpc_data[category],MATCH(BZ51,bhpc_data[sku],0)),"")</f>
        <v/>
      </c>
      <c r="CN51" s="486" t="str">
        <f>IFERROR(INDEX(bhpc_data[size1],MATCH(BZ51,bhpc_data[sku],0)),"")</f>
        <v/>
      </c>
      <c r="CO51" s="487" t="str">
        <f>IFERROR(INDEX(bhpc_data[hs_code],MATCH(BZ51,bhpc_data[sku],0)),"")</f>
        <v/>
      </c>
      <c r="CP51" s="482"/>
      <c r="CQ51" s="488" t="str">
        <f>IFERROR(IF(BZ51="","",IF($BX$15="SALE",INDEX(inventory[COSTO UNITARIO],MATCH(BZ51,inventory[ARTICOLO],0)),IF($BX$15="SAMPLING",INDEX(inventory[COSTO UNITARIO],MATCH(BZ51,inventory[ARTICOLO],0)),""))),"")</f>
        <v/>
      </c>
      <c r="CR51" s="488" t="str">
        <f t="shared" si="5"/>
        <v/>
      </c>
      <c r="CS51" s="489" t="str">
        <f t="shared" si="6"/>
        <v/>
      </c>
      <c r="CT51" s="573" t="str">
        <f t="shared" si="7"/>
        <v/>
      </c>
      <c r="CU51" s="350"/>
      <c r="CV51" s="350"/>
      <c r="CW51" s="350"/>
      <c r="CX51" s="350"/>
      <c r="CY51" s="350"/>
      <c r="CZ51" s="350"/>
      <c r="DA51" s="350" t="str">
        <f>IFERROR(VLOOKUP(BZ51,bhpc_data[],22,FALSE),"")</f>
        <v/>
      </c>
      <c r="EE51" s="541" t="str" cm="1">
        <f t="array" ref="EE51">IFERROR(IF($EC$9="",IF($EC$11="",IF($EC$13="",INDEX(bhpc_data[sku],SMALL(MATCH(ROW(bhpc_data[sku]),ROW(bhpc_data[sku])),ROWS($A$15:A56)+$B$3)),INDEX(bhpc_data[sku],SMALL(IF(ISNUMBER(MATCH(bhpc_data[size1],$EC$13,0)),MATCH(ROW(bhpc_data[sku]),ROW(bhpc_data[sku])),""),ROWS($A$15:A56)+$B$3))),IF($EC$13="",INDEX(bhpc_data[sku],SMALL(IF(ISNUMBER(MATCH(bhpc_data[sex],$EC$11,0)),MATCH(ROW(bhpc_data[sku]),ROW(bhpc_data[sku])),""),ROWS($A$15:A56)+$B$3)),INDEX(bhpc_data[sku],SMALL(IF(ISNUMBER(MATCH(bhpc_data[sex],$EC$11,0)*MATCH(bhpc_data[size1],$EC$13,0)),MATCH(ROW(bhpc_data[sku]),ROW(bhpc_data[sku])),""),ROWS($A$15:A56)+$B$3)))),IF($EC$11="",IF($EC$13="",INDEX(bhpc_data[sku],SMALL(IF(ISNUMBER(MATCH(bhpc_data[category],$EC$9,0)),MATCH(ROW(bhpc_data[sku]),ROW(bhpc_data[sku])),""),ROWS($A$15:A56)+$B$3)),INDEX(bhpc_data[sku],SMALL(IF(ISNUMBER(MATCH(bhpc_data[category],$EC$9,0)*MATCH(bhpc_data[size1],$EC$13,0)),MATCH(ROW(bhpc_data[sku]),ROW(bhpc_data[sku])),""),ROWS($A$15:A56)+$B$3))),IF($EC$13="",INDEX(bhpc_data[sku],SMALL(IF(ISNUMBER(MATCH(bhpc_data[category],$EC$9,0)*MATCH(bhpc_data[sex],$EC$11,0)),MATCH(ROW(bhpc_data[sku]),ROW(bhpc_data[sku])),""),ROWS($A$15:A56)+$B$3)),INDEX(bhpc_data[sku],SMALL(IF(ISNUMBER(MATCH(bhpc_data[category],$EC$9,0)*MATCH(bhpc_data[sex],$EC$11,0)*MATCH(bhpc_data[size1],$EC$13,0)),MATCH(ROW(bhpc_data[sku]),ROW(bhpc_data[sku])),""),ROWS($A$15:A56)+$B$3))))),"")</f>
        <v>P05007</v>
      </c>
      <c r="EF51" s="542" t="str" cm="1">
        <f t="array" ref="EF51">IFERROR(IF($EC$9="",IF($EC$11="",IF($EC$13="",INDEX(bhpc_data[description],SMALL(MATCH(ROW(bhpc_data[sku]),ROW(bhpc_data[sku])),ROWS($A$15:A56)+$B$3)),INDEX(bhpc_data[description],SMALL(IF(ISNUMBER(MATCH(bhpc_data[size1],$EC$13,0)),MATCH(ROW(bhpc_data[sku]),ROW(bhpc_data[sku])),""),ROWS($A$15:A56)+$B$3))),IF($EC$13="",INDEX(bhpc_data[description],SMALL(IF(ISNUMBER(MATCH(bhpc_data[sex],$EC$11,0)),MATCH(ROW(bhpc_data[sku]),ROW(bhpc_data[sku])),""),ROWS($A$15:A56)+$B$3)),INDEX(bhpc_data[description],SMALL(IF(ISNUMBER(MATCH(bhpc_data[sex],$EC$11,0)*MATCH(bhpc_data[size1],$EC$13,0)),MATCH(ROW(bhpc_data[sku]),ROW(bhpc_data[sku])),""),ROWS($A$15:A56)+$B$3)))),IF($EC$11="",IF($EC$13="",INDEX(bhpc_data[description],SMALL(IF(ISNUMBER(MATCH(bhpc_data[category],$EC$9,0)),MATCH(ROW(bhpc_data[sku]),ROW(bhpc_data[sku])),""),ROWS($A$15:A56)+$B$3)),INDEX(bhpc_data[description],SMALL(IF(ISNUMBER(MATCH(bhpc_data[category],$EC$9,0)*MATCH(bhpc_data[size1],$EC$13,0)),MATCH(ROW(bhpc_data[sku]),ROW(bhpc_data[sku])),""),ROWS($A$15:A56)+$B$3))),IF($EC$13="",INDEX(bhpc_data[description],SMALL(IF(ISNUMBER(MATCH(bhpc_data[category],$EC$9,0)*MATCH(bhpc_data[sex],$EC$11,0)),MATCH(ROW(bhpc_data[sku]),ROW(bhpc_data[sku])),""),ROWS($A$15:A56)+$B$3)),INDEX(bhpc_data[description],SMALL(IF(ISNUMBER(MATCH(bhpc_data[category],$EC$9,0)*MATCH(bhpc_data[sex],$EC$11,0)*MATCH(bhpc_data[size1],$EC$13,0)),MATCH(ROW(bhpc_data[sku]),ROW(bhpc_data[sku])),""),ROWS($A$15:A56)+$B$3))))),"")</f>
        <v>BHPC SPORT MEN 2 EDT 100ML</v>
      </c>
      <c r="EG51" s="543">
        <f>IFERROR(IF('BHPC MANAGER'!$EE51="","",INDEX(inventory[ESISTENZA],MATCH('BHPC MANAGER'!$EE51,inventory[ARTICOLO],0))),0)</f>
        <v>10099</v>
      </c>
      <c r="EH51" s="544">
        <v>-3856</v>
      </c>
      <c r="EI51" s="544">
        <f t="shared" si="3"/>
        <v>6243</v>
      </c>
      <c r="EJ51" s="545">
        <v>-72</v>
      </c>
      <c r="EK51" s="546">
        <f t="shared" si="4"/>
        <v>6171</v>
      </c>
      <c r="EO51" s="245" t="str">
        <f t="array" ref="EO51">IFERROR(INDEX(orderHistory[order_no],SMALL(IF(ISNUMBER(MATCH(orderHistory[status],$EO$7,0)),MATCH(ROW(orderHistory[order_no]),ROW(orderHistory[order_no])),""),ROWS($A$15:A56))),"")</f>
        <v/>
      </c>
    </row>
    <row r="52" spans="10:145" ht="15" customHeight="1" x14ac:dyDescent="0.35">
      <c r="J52" s="332"/>
      <c r="K52" s="332"/>
      <c r="L52" s="452" t="str">
        <f t="array" ref="L52">IFERROR(IF($D$9="",IF($D$11="",IF($D$13="",IF($D$15="",INDEX(orderHistory[customer],SMALL(MATCH(ROW(orderHistory[customer]),ROW(orderHistory[customer])),ROWS($A$15:A57)+$B$3)),INDEX(orderHistory[customer],SMALL(IF(ISNUMBER(MATCH(YEAR(orderHistory[invoice_date]),$D$15,0)),MATCH(ROW(orderHistory[customer]),ROW(orderHistory[customer])),""),ROWS($A$15:A57)+$B$3))),IF($D$15="",INDEX(orderHistory[customer],SMALL(IF(ISNUMBER(MATCH(orderHistory[order_type],$D$13,0)),MATCH(ROW(orderHistory[customer]),ROW(orderHistory[customer])),""),ROWS($A$15:A57)+$B$3)),INDEX(orderHistory[customer],SMALL(IF(ISNUMBER(MATCH(orderHistory[order_type],$D$13,0)*MATCH(YEAR(orderHistory[invoice_date]),$D$15,0)),MATCH(ROW(orderHistory[customer]),ROW(orderHistory[customer])),""),ROWS($A$15:A57)+$B$3)))),IF($D$13="",IF($D$15="",INDEX(orderHistory[customer],SMALL(IF(ISNUMBER(MATCH(orderHistory[status],$D$11,0)),MATCH(ROW(orderHistory[customer]),ROW(orderHistory[customer])),""),ROWS($A$15:A57)+$B$3)),INDEX(orderHistory[customer],SMALL(IF(ISNUMBER(MATCH(orderHistory[status],$D$11,0)*MATCH(YEAR(orderHistory[invoice_date]),$D$15,0)),MATCH(ROW(orderHistory[customer]),ROW(orderHistory[customer])),""),ROWS($A$15:A57)+$B$3))),IF($D$15="",INDEX(orderHistory[customer],SMALL(IF(ISNUMBER(MATCH(orderHistory[status],$D$11,0)*MATCH(orderHistory[order_type],$D$13,0)),MATCH(ROW(orderHistory[customer]),ROW(orderHistory[customer])),""),ROWS($A$15:A57)+$B$3)),INDEX(orderHistory[customer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customer],SMALL(IF(ISNUMBER(MATCH(orderHistory[customer],$D$9,0)),MATCH(ROW(orderHistory[customer]),ROW(orderHistory[customer])),""),ROWS($A$15:A57)+$B$3)),INDEX(orderHistory[customer],SMALL(IF(ISNUMBER(MATCH(orderHistory[customer],$D$9,0)*MATCH(YEAR(orderHistory[invoice_date]),$D$15,0)),MATCH(ROW(orderHistory[customer]),ROW(orderHistory[customer])),""),ROWS($A$15:A57)+$B$3))),IF($D$15="",INDEX(orderHistory[customer],SMALL(IF(ISNUMBER(MATCH(orderHistory[customer],$D$9,0)*MATCH(orderHistory[order_type],$D$13,0)),MATCH(ROW(orderHistory[customer]),ROW(orderHistory[customer])),""),ROWS($A$15:A57)+$B$3)),INDEX(orderHistory[customer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YEAR(orderHistory[invoice_date]),$D$15,0)),MATCH(ROW(orderHistory[customer]),ROW(orderHistory[customer])),""),ROWS($A$15:A57)+$B$3))),IF($D$15="",INDEX(orderHistory[customer],SMALL(IF(ISNUMBER(MATCH(orderHistory[customer],$D$9,0)*MATCH(orderHistory[status],$D$11,0)*MATCH(orderHistory[order_type],$D$13,0)),MATCH(ROW(orderHistory[customer]),ROW(orderHistory[customer])),""),ROWS($A$15:A57)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M52" s="453" t="str">
        <f t="array" ref="M52">IFERROR(IF($D$9="",IF($D$11="",IF($D$13="",IF($D$15="",INDEX(orderHistory[order_no],SMALL(MATCH(ROW(orderHistory[customer]),ROW(orderHistory[customer])),ROWS($A$15:A57)+$B$3)),INDEX(orderHistory[order_no],SMALL(IF(ISNUMBER(MATCH(YEAR(orderHistory[invoice_date]),$D$15,0)),MATCH(ROW(orderHistory[customer]),ROW(orderHistory[customer])),""),ROWS($A$15:A57)+$B$3))),IF($D$15="",INDEX(orderHistory[order_no],SMALL(IF(ISNUMBER(MATCH(orderHistory[order_type],$D$13,0)),MATCH(ROW(orderHistory[customer]),ROW(orderHistory[customer])),""),ROWS($A$15:A57)+$B$3)),INDEX(orderHistory[order_no],SMALL(IF(ISNUMBER(MATCH(orderHistory[order_type],$D$13,0)*MATCH(YEAR(orderHistory[invoice_date]),$D$15,0)),MATCH(ROW(orderHistory[customer]),ROW(orderHistory[customer])),""),ROWS($A$15:A57)+$B$3)))),IF($D$13="",IF($D$15="",INDEX(orderHistory[order_no],SMALL(IF(ISNUMBER(MATCH(orderHistory[status],$D$11,0)),MATCH(ROW(orderHistory[customer]),ROW(orderHistory[customer])),""),ROWS($A$15:A57)+$B$3)),INDEX(orderHistory[order_no],SMALL(IF(ISNUMBER(MATCH(orderHistory[status],$D$11,0)*MATCH(YEAR(orderHistory[invoice_date]),$D$15,0)),MATCH(ROW(orderHistory[customer]),ROW(orderHistory[customer])),""),ROWS($A$15:A57)+$B$3))),IF($D$15="",INDEX(orderHistory[order_no],SMALL(IF(ISNUMBER(MATCH(orderHistory[status],$D$11,0)*MATCH(orderHistory[order_type],$D$13,0)),MATCH(ROW(orderHistory[customer]),ROW(orderHistory[customer])),""),ROWS($A$15:A57)+$B$3)),INDEX(orderHistory[order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no],SMALL(IF(ISNUMBER(MATCH(orderHistory[customer],$D$9,0)),MATCH(ROW(orderHistory[customer]),ROW(orderHistory[customer])),""),ROWS($A$15:A57)+$B$3)),INDEX(orderHistory[order_no],SMALL(IF(ISNUMBER(MATCH(orderHistory[customer],$D$9,0)*MATCH(YEAR(orderHistory[invoice_date]),$D$15,0)),MATCH(ROW(orderHistory[customer]),ROW(orderHistory[customer])),""),ROWS($A$15:A57)+$B$3))),IF($D$15="",INDEX(orderHistory[order_no],SMALL(IF(ISNUMBER(MATCH(orderHistory[customer],$D$9,0)*MATCH(orderHistory[order_type],$D$13,0)),MATCH(ROW(orderHistory[customer]),ROW(orderHistory[customer])),""),ROWS($A$15:A57)+$B$3)),INDEX(orderHistory[order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YEAR(orderHistory[invoice_date]),$D$15,0)),MATCH(ROW(orderHistory[customer]),ROW(orderHistory[customer])),""),ROWS($A$15:A57)+$B$3))),IF($D$15="",INDEX(orderHistory[order_no],SMALL(IF(ISNUMBER(MATCH(orderHistory[customer],$D$9,0)*MATCH(orderHistory[status],$D$11,0)*MATCH(orderHistory[order_type],$D$13,0)),MATCH(ROW(orderHistory[customer]),ROW(orderHistory[customer])),""),ROWS($A$15:A57)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N52" s="454" t="str">
        <f t="array" ref="N52">IFERROR(IF($D$9="",IF($D$11="",IF($D$13="",IF($D$15="",INDEX(orderHistory[order_type],SMALL(MATCH(ROW(orderHistory[customer]),ROW(orderHistory[customer])),ROWS($A$15:A57)+$B$3)),INDEX(orderHistory[order_type],SMALL(IF(ISNUMBER(MATCH(YEAR(orderHistory[invoice_date]),$D$15,0)),MATCH(ROW(orderHistory[customer]),ROW(orderHistory[customer])),""),ROWS($A$15:A57)+$B$3))),IF($D$15="",INDEX(orderHistory[order_type],SMALL(IF(ISNUMBER(MATCH(orderHistory[order_type],$D$13,0)),MATCH(ROW(orderHistory[customer]),ROW(orderHistory[customer])),""),ROWS($A$15:A57)+$B$3)),INDEX(orderHistory[order_type],SMALL(IF(ISNUMBER(MATCH(orderHistory[order_type],$D$13,0)*MATCH(YEAR(orderHistory[invoice_date]),$D$15,0)),MATCH(ROW(orderHistory[customer]),ROW(orderHistory[customer])),""),ROWS($A$15:A57)+$B$3)))),IF($D$13="",IF($D$15="",INDEX(orderHistory[order_type],SMALL(IF(ISNUMBER(MATCH(orderHistory[status],$D$11,0)),MATCH(ROW(orderHistory[customer]),ROW(orderHistory[customer])),""),ROWS($A$15:A57)+$B$3)),INDEX(orderHistory[order_type],SMALL(IF(ISNUMBER(MATCH(orderHistory[status],$D$11,0)*MATCH(YEAR(orderHistory[invoice_date]),$D$15,0)),MATCH(ROW(orderHistory[customer]),ROW(orderHistory[customer])),""),ROWS($A$15:A57)+$B$3))),IF($D$15="",INDEX(orderHistory[order_type],SMALL(IF(ISNUMBER(MATCH(orderHistory[status],$D$11,0)*MATCH(orderHistory[order_type],$D$13,0)),MATCH(ROW(orderHistory[customer]),ROW(orderHistory[customer])),""),ROWS($A$15:A57)+$B$3)),INDEX(orderHistory[order_typ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type],SMALL(IF(ISNUMBER(MATCH(orderHistory[customer],$D$9,0)),MATCH(ROW(orderHistory[customer]),ROW(orderHistory[customer])),""),ROWS($A$15:A57)+$B$3)),INDEX(orderHistory[order_type],SMALL(IF(ISNUMBER(MATCH(orderHistory[customer],$D$9,0)*MATCH(YEAR(orderHistory[invoice_date]),$D$15,0)),MATCH(ROW(orderHistory[customer]),ROW(orderHistory[customer])),""),ROWS($A$15:A57)+$B$3))),IF($D$15="",INDEX(orderHistory[order_type],SMALL(IF(ISNUMBER(MATCH(orderHistory[customer],$D$9,0)*MATCH(orderHistory[order_type],$D$13,0)),MATCH(ROW(orderHistory[customer]),ROW(orderHistory[customer])),""),ROWS($A$15:A57)+$B$3)),INDEX(orderHistory[order_typ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YEAR(orderHistory[invoice_date]),$D$15,0)),MATCH(ROW(orderHistory[customer]),ROW(orderHistory[customer])),""),ROWS($A$15:A57)+$B$3))),IF($D$15="",INDEX(orderHistory[order_type],SMALL(IF(ISNUMBER(MATCH(orderHistory[customer],$D$9,0)*MATCH(orderHistory[status],$D$11,0)*MATCH(orderHistory[order_type],$D$13,0)),MATCH(ROW(orderHistory[customer]),ROW(orderHistory[customer])),""),ROWS($A$15:A57)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O52" s="455" t="str">
        <f t="array" ref="O52">IFERROR(IF($D$9="",IF($D$11="",IF($D$13="",IF($D$15="",INDEX(orderHistory[order_date],SMALL(MATCH(ROW(orderHistory[customer]),ROW(orderHistory[customer])),ROWS($A$15:A57)+$B$3)),INDEX(orderHistory[order_date],SMALL(IF(ISNUMBER(MATCH(YEAR(orderHistory[invoice_date]),$D$15,0)),MATCH(ROW(orderHistory[customer]),ROW(orderHistory[customer])),""),ROWS($A$15:A57)+$B$3))),IF($D$15="",INDEX(orderHistory[order_date],SMALL(IF(ISNUMBER(MATCH(orderHistory[order_type],$D$13,0)),MATCH(ROW(orderHistory[customer]),ROW(orderHistory[customer])),""),ROWS($A$15:A57)+$B$3)),INDEX(orderHistory[order_date],SMALL(IF(ISNUMBER(MATCH(orderHistory[order_type],$D$13,0)*MATCH(YEAR(orderHistory[invoice_date]),$D$15,0)),MATCH(ROW(orderHistory[customer]),ROW(orderHistory[customer])),""),ROWS($A$15:A57)+$B$3)))),IF($D$13="",IF($D$15="",INDEX(orderHistory[order_date],SMALL(IF(ISNUMBER(MATCH(orderHistory[status],$D$11,0)),MATCH(ROW(orderHistory[customer]),ROW(orderHistory[customer])),""),ROWS($A$15:A57)+$B$3)),INDEX(orderHistory[order_date],SMALL(IF(ISNUMBER(MATCH(orderHistory[status],$D$11,0)*MATCH(YEAR(orderHistory[invoice_date]),$D$15,0)),MATCH(ROW(orderHistory[customer]),ROW(orderHistory[customer])),""),ROWS($A$15:A57)+$B$3))),IF($D$15="",INDEX(orderHistory[order_date],SMALL(IF(ISNUMBER(MATCH(orderHistory[status],$D$11,0)*MATCH(orderHistory[order_type],$D$13,0)),MATCH(ROW(orderHistory[customer]),ROW(orderHistory[customer])),""),ROWS($A$15:A57)+$B$3)),INDEX(orderHistory[order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date],SMALL(IF(ISNUMBER(MATCH(orderHistory[customer],$D$9,0)),MATCH(ROW(orderHistory[customer]),ROW(orderHistory[customer])),""),ROWS($A$15:A57)+$B$3)),INDEX(orderHistory[order_date],SMALL(IF(ISNUMBER(MATCH(orderHistory[customer],$D$9,0)*MATCH(YEAR(orderHistory[invoice_date]),$D$15,0)),MATCH(ROW(orderHistory[customer]),ROW(orderHistory[customer])),""),ROWS($A$15:A57)+$B$3))),IF($D$15="",INDEX(orderHistory[order_date],SMALL(IF(ISNUMBER(MATCH(orderHistory[customer],$D$9,0)*MATCH(orderHistory[order_type],$D$13,0)),MATCH(ROW(orderHistory[customer]),ROW(orderHistory[customer])),""),ROWS($A$15:A57)+$B$3)),INDEX(orderHistory[order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YEAR(orderHistory[invoice_date]),$D$15,0)),MATCH(ROW(orderHistory[customer]),ROW(orderHistory[customer])),""),ROWS($A$15:A57)+$B$3))),IF($D$15="",INDEX(orderHistory[order_date],SMALL(IF(ISNUMBER(MATCH(orderHistory[customer],$D$9,0)*MATCH(orderHistory[status],$D$11,0)*MATCH(orderHistory[order_type],$D$13,0)),MATCH(ROW(orderHistory[customer]),ROW(orderHistory[customer])),""),ROWS($A$15:A57)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P52" s="456" t="str">
        <f t="array" ref="P52">IFERROR(IF($D$9="",IF($D$11="",IF($D$13="",IF($D$15="",INDEX(orderHistory[invoice_no],SMALL(MATCH(ROW(orderHistory[customer]),ROW(orderHistory[customer])),ROWS($A$15:A57)+$B$3)),INDEX(orderHistory[invoice_no],SMALL(IF(ISNUMBER(MATCH(YEAR(orderHistory[invoice_date]),$D$15,0)),MATCH(ROW(orderHistory[customer]),ROW(orderHistory[customer])),""),ROWS($A$15:A57)+$B$3))),IF($D$15="",INDEX(orderHistory[invoice_no],SMALL(IF(ISNUMBER(MATCH(orderHistory[order_type],$D$13,0)),MATCH(ROW(orderHistory[customer]),ROW(orderHistory[customer])),""),ROWS($A$15:A57)+$B$3)),INDEX(orderHistory[invoice_no],SMALL(IF(ISNUMBER(MATCH(orderHistory[order_type],$D$13,0)*MATCH(YEAR(orderHistory[invoice_date]),$D$15,0)),MATCH(ROW(orderHistory[customer]),ROW(orderHistory[customer])),""),ROWS($A$15:A57)+$B$3)))),IF($D$13="",IF($D$15="",INDEX(orderHistory[invoice_no],SMALL(IF(ISNUMBER(MATCH(orderHistory[status],$D$11,0)),MATCH(ROW(orderHistory[customer]),ROW(orderHistory[customer])),""),ROWS($A$15:A57)+$B$3)),INDEX(orderHistory[invoice_no],SMALL(IF(ISNUMBER(MATCH(orderHistory[status],$D$11,0)*MATCH(YEAR(orderHistory[invoice_date]),$D$15,0)),MATCH(ROW(orderHistory[customer]),ROW(orderHistory[customer])),""),ROWS($A$15:A57)+$B$3))),IF($D$15="",INDEX(orderHistory[invoice_no],SMALL(IF(ISNUMBER(MATCH(orderHistory[status],$D$11,0)*MATCH(orderHistory[order_type],$D$13,0)),MATCH(ROW(orderHistory[customer]),ROW(orderHistory[customer])),""),ROWS($A$15:A57)+$B$3)),INDEX(orderHistory[invoice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no],SMALL(IF(ISNUMBER(MATCH(orderHistory[customer],$D$9,0)),MATCH(ROW(orderHistory[customer]),ROW(orderHistory[customer])),""),ROWS($A$15:A57)+$B$3)),INDEX(orderHistory[invoice_no],SMALL(IF(ISNUMBER(MATCH(orderHistory[customer],$D$9,0)*MATCH(YEAR(orderHistory[invoice_date]),$D$15,0)),MATCH(ROW(orderHistory[customer]),ROW(orderHistory[customer])),""),ROWS($A$15:A57)+$B$3))),IF($D$15="",INDEX(orderHistory[invoice_no],SMALL(IF(ISNUMBER(MATCH(orderHistory[customer],$D$9,0)*MATCH(orderHistory[order_type],$D$13,0)),MATCH(ROW(orderHistory[customer]),ROW(orderHistory[customer])),""),ROWS($A$15:A57)+$B$3)),INDEX(orderHistory[invoice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YEAR(orderHistory[invoice_date]),$D$15,0)),MATCH(ROW(orderHistory[customer]),ROW(orderHistory[customer])),""),ROWS($A$15:A57)+$B$3))),IF($D$15="",INDEX(orderHistory[invoice_no],SMALL(IF(ISNUMBER(MATCH(orderHistory[customer],$D$9,0)*MATCH(orderHistory[status],$D$11,0)*MATCH(orderHistory[order_type],$D$13,0)),MATCH(ROW(orderHistory[customer]),ROW(orderHistory[customer])),""),ROWS($A$15:A57)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Q52" s="457" t="str">
        <f t="array" ref="Q52">IFERROR(IF($D$9="",IF($D$11="",IF($D$13="",IF($D$15="",INDEX(orderHistory[invoice_date],SMALL(MATCH(ROW(orderHistory[customer]),ROW(orderHistory[customer])),ROWS($A$15:A57)+$B$3)),INDEX(orderHistory[invoice_date],SMALL(IF(ISNUMBER(MATCH(YEAR(orderHistory[invoice_date]),$D$15,0)),MATCH(ROW(orderHistory[customer]),ROW(orderHistory[customer])),""),ROWS($A$15:A57)+$B$3))),IF($D$15="",INDEX(orderHistory[invoice_date],SMALL(IF(ISNUMBER(MATCH(orderHistory[order_type],$D$13,0)),MATCH(ROW(orderHistory[customer]),ROW(orderHistory[customer])),""),ROWS($A$15:A57)+$B$3)),INDEX(orderHistory[invoice_date],SMALL(IF(ISNUMBER(MATCH(orderHistory[order_type],$D$13,0)*MATCH(YEAR(orderHistory[invoice_date]),$D$15,0)),MATCH(ROW(orderHistory[customer]),ROW(orderHistory[customer])),""),ROWS($A$15:A57)+$B$3)))),IF($D$13="",IF($D$15="",INDEX(orderHistory[invoice_date],SMALL(IF(ISNUMBER(MATCH(orderHistory[status],$D$11,0)),MATCH(ROW(orderHistory[customer]),ROW(orderHistory[customer])),""),ROWS($A$15:A57)+$B$3)),INDEX(orderHistory[invoice_date],SMALL(IF(ISNUMBER(MATCH(orderHistory[status],$D$11,0)*MATCH(YEAR(orderHistory[invoice_date]),$D$15,0)),MATCH(ROW(orderHistory[customer]),ROW(orderHistory[customer])),""),ROWS($A$15:A57)+$B$3))),IF($D$15="",INDEX(orderHistory[invoice_date],SMALL(IF(ISNUMBER(MATCH(orderHistory[status],$D$11,0)*MATCH(orderHistory[order_type],$D$13,0)),MATCH(ROW(orderHistory[customer]),ROW(orderHistory[customer])),""),ROWS($A$15:A57)+$B$3)),INDEX(orderHistory[invoice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date],SMALL(IF(ISNUMBER(MATCH(orderHistory[customer],$D$9,0)),MATCH(ROW(orderHistory[customer]),ROW(orderHistory[customer])),""),ROWS($A$15:A57)+$B$3)),INDEX(orderHistory[invoice_date],SMALL(IF(ISNUMBER(MATCH(orderHistory[customer],$D$9,0)*MATCH(YEAR(orderHistory[invoice_date]),$D$15,0)),MATCH(ROW(orderHistory[customer]),ROW(orderHistory[customer])),""),ROWS($A$15:A57)+$B$3))),IF($D$15="",INDEX(orderHistory[invoice_date],SMALL(IF(ISNUMBER(MATCH(orderHistory[customer],$D$9,0)*MATCH(orderHistory[order_type],$D$13,0)),MATCH(ROW(orderHistory[customer]),ROW(orderHistory[customer])),""),ROWS($A$15:A57)+$B$3)),INDEX(orderHistory[invoice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YEAR(orderHistory[invoice_date]),$D$15,0)),MATCH(ROW(orderHistory[customer]),ROW(orderHistory[customer])),""),ROWS($A$15:A57)+$B$3))),IF($D$15="",INDEX(orderHistory[invoice_date],SMALL(IF(ISNUMBER(MATCH(orderHistory[customer],$D$9,0)*MATCH(orderHistory[status],$D$11,0)*MATCH(orderHistory[order_type],$D$13,0)),MATCH(ROW(orderHistory[customer]),ROW(orderHistory[customer])),""),ROWS($A$15:A57)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R52" s="458" t="str">
        <f t="array" ref="R52">IFERROR(IF($D$9="",IF($D$11="",IF($D$13="",IF($D$15="",INDEX(orderHistory[inv_amount],SMALL(MATCH(ROW(orderHistory[customer]),ROW(orderHistory[customer])),ROWS($A$15:A57)+$B$3)),INDEX(orderHistory[inv_amount],SMALL(IF(ISNUMBER(MATCH(YEAR(orderHistory[invoice_date]),$D$15,0)),MATCH(ROW(orderHistory[customer]),ROW(orderHistory[customer])),""),ROWS($A$15:A57)+$B$3))),IF($D$15="",INDEX(orderHistory[inv_amount],SMALL(IF(ISNUMBER(MATCH(orderHistory[order_type],$D$13,0)),MATCH(ROW(orderHistory[customer]),ROW(orderHistory[customer])),""),ROWS($A$15:A57)+$B$3)),INDEX(orderHistory[inv_amount],SMALL(IF(ISNUMBER(MATCH(orderHistory[order_type],$D$13,0)*MATCH(YEAR(orderHistory[invoice_date]),$D$15,0)),MATCH(ROW(orderHistory[customer]),ROW(orderHistory[customer])),""),ROWS($A$15:A57)+$B$3)))),IF($D$13="",IF($D$15="",INDEX(orderHistory[inv_amount],SMALL(IF(ISNUMBER(MATCH(orderHistory[status],$D$11,0)),MATCH(ROW(orderHistory[customer]),ROW(orderHistory[customer])),""),ROWS($A$15:A57)+$B$3)),INDEX(orderHistory[inv_amount],SMALL(IF(ISNUMBER(MATCH(orderHistory[status],$D$11,0)*MATCH(YEAR(orderHistory[invoice_date]),$D$15,0)),MATCH(ROW(orderHistory[customer]),ROW(orderHistory[customer])),""),ROWS($A$15:A57)+$B$3))),IF($D$15="",INDEX(orderHistory[inv_amount],SMALL(IF(ISNUMBER(MATCH(orderHistory[status],$D$11,0)*MATCH(orderHistory[order_type],$D$13,0)),MATCH(ROW(orderHistory[customer]),ROW(orderHistory[customer])),""),ROWS($A$15:A57)+$B$3)),INDEX(orderHistory[inv_amount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_amount],SMALL(IF(ISNUMBER(MATCH(orderHistory[customer],$D$9,0)),MATCH(ROW(orderHistory[customer]),ROW(orderHistory[customer])),""),ROWS($A$15:A57)+$B$3)),INDEX(orderHistory[inv_amount],SMALL(IF(ISNUMBER(MATCH(orderHistory[customer],$D$9,0)*MATCH(YEAR(orderHistory[invoice_date]),$D$15,0)),MATCH(ROW(orderHistory[customer]),ROW(orderHistory[customer])),""),ROWS($A$15:A57)+$B$3))),IF($D$15="",INDEX(orderHistory[inv_amount],SMALL(IF(ISNUMBER(MATCH(orderHistory[customer],$D$9,0)*MATCH(orderHistory[order_type],$D$13,0)),MATCH(ROW(orderHistory[customer]),ROW(orderHistory[customer])),""),ROWS($A$15:A57)+$B$3)),INDEX(orderHistory[inv_amount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YEAR(orderHistory[inv_amount]),$D$15,0)),MATCH(ROW(orderHistory[customer]),ROW(orderHistory[customer])),""),ROWS($A$15:A57)+$B$3))),IF($D$15="",INDEX(orderHistory[inv_amount],SMALL(IF(ISNUMBER(MATCH(orderHistory[customer],$D$9,0)*MATCH(orderHistory[status],$D$11,0)*MATCH(orderHistory[order_type],$D$13,0)),MATCH(ROW(orderHistory[customer]),ROW(orderHistory[customer])),""),ROWS($A$15:A57)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S52" s="569" t="str">
        <f t="array" ref="S52">IFERROR(IF($D$9="",IF($D$11="",IF($D$13="",IF($D$15="",INDEX(orderHistory[lock_goods],SMALL(MATCH(ROW(orderHistory[customer]),ROW(orderHistory[customer])),ROWS($A$15:A57)+$B$3)),INDEX(orderHistory[lock_goods],SMALL(IF(ISNUMBER(MATCH(YEAR(orderHistory[invoice_date]),$D$15,0)),MATCH(ROW(orderHistory[customer]),ROW(orderHistory[customer])),""),ROWS($A$15:A57)+$B$3))),IF($D$15="",INDEX(orderHistory[lock_goods],SMALL(IF(ISNUMBER(MATCH(orderHistory[order_type],$D$13,0)),MATCH(ROW(orderHistory[customer]),ROW(orderHistory[customer])),""),ROWS($A$15:A57)+$B$3)),INDEX(orderHistory[lock_goods],SMALL(IF(ISNUMBER(MATCH(orderHistory[order_type],$D$13,0)*MATCH(YEAR(orderHistory[invoice_date]),$D$15,0)),MATCH(ROW(orderHistory[customer]),ROW(orderHistory[customer])),""),ROWS($A$15:A57)+$B$3)))),IF($D$13="",IF($D$15="",INDEX(orderHistory[lock_goods],SMALL(IF(ISNUMBER(MATCH(orderHistory[status],$D$11,0)),MATCH(ROW(orderHistory[customer]),ROW(orderHistory[customer])),""),ROWS($A$15:A57)+$B$3)),INDEX(orderHistory[lock_goods],SMALL(IF(ISNUMBER(MATCH(orderHistory[status],$D$11,0)*MATCH(YEAR(orderHistory[invoice_date]),$D$15,0)),MATCH(ROW(orderHistory[customer]),ROW(orderHistory[customer])),""),ROWS($A$15:A57)+$B$3))),IF($D$15="",INDEX(orderHistory[lock_goods],SMALL(IF(ISNUMBER(MATCH(orderHistory[status],$D$11,0)*MATCH(orderHistory[order_type],$D$13,0)),MATCH(ROW(orderHistory[customer]),ROW(orderHistory[customer])),""),ROWS($A$15:A57)+$B$3)),INDEX(orderHistory[lock_good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lock_goods],SMALL(IF(ISNUMBER(MATCH(orderHistory[customer],$D$9,0)),MATCH(ROW(orderHistory[customer]),ROW(orderHistory[customer])),""),ROWS($A$15:A57)+$B$3)),INDEX(orderHistory[lock_goods],SMALL(IF(ISNUMBER(MATCH(orderHistory[customer],$D$9,0)*MATCH(YEAR(orderHistory[invoice_date]),$D$15,0)),MATCH(ROW(orderHistory[customer]),ROW(orderHistory[customer])),""),ROWS($A$15:A57)+$B$3))),IF($D$15="",INDEX(orderHistory[lock_goods],SMALL(IF(ISNUMBER(MATCH(orderHistory[customer],$D$9,0)*MATCH(orderHistory[order_type],$D$13,0)),MATCH(ROW(orderHistory[customer]),ROW(orderHistory[customer])),""),ROWS($A$15:A57)+$B$3)),INDEX(orderHistory[lock_good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lock_goods],SMALL(IF(ISNUMBER(MATCH(orderHistory[customer],$D$9,0)*MATCH(orderHistory[status],$D$11,0)),MATCH(ROW(orderHistory[customer]),ROW(orderHistory[customer])),""),ROWS($A$15:A57)+$B$3)),INDEX(orderHistory[lock_goods],SMALL(IF(ISNUMBER(MATCH(orderHistory[customer],$D$9,0)*MATCH(orderHistory[status],$D$11,0)*MATCH(YEAR(orderHistory[payed]),$D$15,0)),MATCH(ROW(orderHistory[customer]),ROW(orderHistory[customer])),""),ROWS($A$15:A57)+$B$3))),IF($D$15="",INDEX(orderHistory[lock_goods],SMALL(IF(ISNUMBER(MATCH(orderHistory[customer],$D$9,0)*MATCH(orderHistory[status],$D$11,0)*MATCH(orderHistory[order_type],$D$13,0)),MATCH(ROW(orderHistory[customer]),ROW(orderHistory[customer])),""),ROWS($A$15:A57)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T52" s="459" t="str">
        <f t="array" ref="T52">IFERROR(IF($D$9="",IF($D$11="",IF($D$13="",IF($D$15="",INDEX(orderHistory[payed],SMALL(MATCH(ROW(orderHistory[customer]),ROW(orderHistory[customer])),ROWS($A$15:A57)+$B$3)),INDEX(orderHistory[payed],SMALL(IF(ISNUMBER(MATCH(YEAR(orderHistory[invoice_date]),$D$15,0)),MATCH(ROW(orderHistory[customer]),ROW(orderHistory[customer])),""),ROWS($A$15:A57)+$B$3))),IF($D$15="",INDEX(orderHistory[payed],SMALL(IF(ISNUMBER(MATCH(orderHistory[order_type],$D$13,0)),MATCH(ROW(orderHistory[customer]),ROW(orderHistory[customer])),""),ROWS($A$15:A57)+$B$3)),INDEX(orderHistory[payed],SMALL(IF(ISNUMBER(MATCH(orderHistory[order_type],$D$13,0)*MATCH(YEAR(orderHistory[invoice_date]),$D$15,0)),MATCH(ROW(orderHistory[customer]),ROW(orderHistory[customer])),""),ROWS($A$15:A57)+$B$3)))),IF($D$13="",IF($D$15="",INDEX(orderHistory[payed],SMALL(IF(ISNUMBER(MATCH(orderHistory[status],$D$11,0)),MATCH(ROW(orderHistory[customer]),ROW(orderHistory[customer])),""),ROWS($A$15:A57)+$B$3)),INDEX(orderHistory[payed],SMALL(IF(ISNUMBER(MATCH(orderHistory[status],$D$11,0)*MATCH(YEAR(orderHistory[invoice_date]),$D$15,0)),MATCH(ROW(orderHistory[customer]),ROW(orderHistory[customer])),""),ROWS($A$15:A57)+$B$3))),IF($D$15="",INDEX(orderHistory[payed],SMALL(IF(ISNUMBER(MATCH(orderHistory[status],$D$11,0)*MATCH(orderHistory[order_type],$D$13,0)),MATCH(ROW(orderHistory[customer]),ROW(orderHistory[customer])),""),ROWS($A$15:A57)+$B$3)),INDEX(orderHistory[paye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payed],SMALL(IF(ISNUMBER(MATCH(orderHistory[customer],$D$9,0)),MATCH(ROW(orderHistory[customer]),ROW(orderHistory[customer])),""),ROWS($A$15:A57)+$B$3)),INDEX(orderHistory[payed],SMALL(IF(ISNUMBER(MATCH(orderHistory[customer],$D$9,0)*MATCH(YEAR(orderHistory[invoice_date]),$D$15,0)),MATCH(ROW(orderHistory[customer]),ROW(orderHistory[customer])),""),ROWS($A$15:A57)+$B$3))),IF($D$15="",INDEX(orderHistory[payed],SMALL(IF(ISNUMBER(MATCH(orderHistory[customer],$D$9,0)*MATCH(orderHistory[order_type],$D$13,0)),MATCH(ROW(orderHistory[customer]),ROW(orderHistory[customer])),""),ROWS($A$15:A57)+$B$3)),INDEX(orderHistory[paye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YEAR(orderHistory[payed]),$D$15,0)),MATCH(ROW(orderHistory[customer]),ROW(orderHistory[customer])),""),ROWS($A$15:A57)+$B$3))),IF($D$15="",INDEX(orderHistory[payed],SMALL(IF(ISNUMBER(MATCH(orderHistory[customer],$D$9,0)*MATCH(orderHistory[status],$D$11,0)*MATCH(orderHistory[order_type],$D$13,0)),MATCH(ROW(orderHistory[customer]),ROW(orderHistory[customer])),""),ROWS($A$15:A57)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U52" s="454" t="str">
        <f t="array" ref="U52">IFERROR(IF($D$9="",IF($D$11="",IF($D$13="",IF($D$15="",INDEX(orderHistory[shipping_method],SMALL(MATCH(ROW(orderHistory[customer]),ROW(orderHistory[customer])),ROWS($A$15:A57)+$B$3)),INDEX(orderHistory[shipping_method],SMALL(IF(ISNUMBER(MATCH(YEAR(orderHistory[invoice_date]),$D$15,0)),MATCH(ROW(orderHistory[customer]),ROW(orderHistory[customer])),""),ROWS($A$15:A57)+$B$3))),IF($D$15="",INDEX(orderHistory[shipping_method],SMALL(IF(ISNUMBER(MATCH(orderHistory[order_type],$D$13,0)),MATCH(ROW(orderHistory[customer]),ROW(orderHistory[customer])),""),ROWS($A$15:A57)+$B$3)),INDEX(orderHistory[shipping_method],SMALL(IF(ISNUMBER(MATCH(orderHistory[order_type],$D$13,0)*MATCH(YEAR(orderHistory[invoice_date]),$D$15,0)),MATCH(ROW(orderHistory[customer]),ROW(orderHistory[customer])),""),ROWS($A$15:A57)+$B$3)))),IF($D$13="",IF($D$15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YEAR(orderHistory[invoice_date]),$D$15,0)),MATCH(ROW(orderHistory[customer]),ROW(orderHistory[customer])),""),ROWS($A$15:A57)+$B$3))),IF($D$15="",INDEX(orderHistory[shipping_method],SMALL(IF(ISNUMBER(MATCH(orderHistory[status],$D$11,0)*MATCH(orderHistory[order_type],$D$13,0)),MATCH(ROW(orderHistory[customer]),ROW(orderHistory[customer])),""),ROWS($A$15:A57)+$B$3)),INDEX(orderHistory[shipping_metho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YEAR(orderHistory[invoice_date]),$D$15,0)),MATCH(ROW(orderHistory[customer]),ROW(orderHistory[customer])),""),ROWS($A$15:A57)+$B$3))),IF($D$15="",INDEX(orderHistory[shipping_method],SMALL(IF(ISNUMBER(MATCH(orderHistory[customer],$D$9,0)*MATCH(orderHistory[order_type],$D$13,0)),MATCH(ROW(orderHistory[customer]),ROW(orderHistory[customer])),""),ROWS($A$15:A57)+$B$3)),INDEX(orderHistory[shipping_metho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YEAR(orderHistory[shipping_method]),$D$15,0)),MATCH(ROW(orderHistory[customer]),ROW(orderHistory[customer])),""),ROWS($A$15:A57)+$B$3))),IF($D$15="",INDEX(orderHistory[shipping_method],SMALL(IF(ISNUMBER(MATCH(orderHistory[customer],$D$9,0)*MATCH(orderHistory[status],$D$11,0)*MATCH(orderHistory[order_type],$D$13,0)),MATCH(ROW(orderHistory[customer]),ROW(orderHistory[customer])),""),ROWS($A$15:A57)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V52" s="460" t="str">
        <f t="array" ref="V52">IFERROR(IF($D$9="",IF($D$11="",IF($D$13="",IF($D$15="",INDEX(orderHistory[status],SMALL(MATCH(ROW(orderHistory[customer]),ROW(orderHistory[customer])),ROWS($A$15:A57)+$B$3)),INDEX(orderHistory[status],SMALL(IF(ISNUMBER(MATCH(YEAR(orderHistory[invoice_date]),$D$15,0)),MATCH(ROW(orderHistory[customer]),ROW(orderHistory[customer])),""),ROWS($A$15:A57)+$B$3))),IF($D$15="",INDEX(orderHistory[status],SMALL(IF(ISNUMBER(MATCH(orderHistory[order_type],$D$13,0)),MATCH(ROW(orderHistory[customer]),ROW(orderHistory[customer])),""),ROWS($A$15:A57)+$B$3)),INDEX(orderHistory[status],SMALL(IF(ISNUMBER(MATCH(orderHistory[order_type],$D$13,0)*MATCH(YEAR(orderHistory[invoice_date]),$D$15,0)),MATCH(ROW(orderHistory[customer]),ROW(orderHistory[customer])),""),ROWS($A$15:A57)+$B$3)))),IF($D$13="",IF($D$15="",INDEX(orderHistory[status],SMALL(IF(ISNUMBER(MATCH(orderHistory[status],$D$11,0)),MATCH(ROW(orderHistory[customer]),ROW(orderHistory[customer])),""),ROWS($A$15:A57)+$B$3)),INDEX(orderHistory[status],SMALL(IF(ISNUMBER(MATCH(orderHistory[status],$D$11,0)*MATCH(YEAR(orderHistory[invoice_date]),$D$15,0)),MATCH(ROW(orderHistory[customer]),ROW(orderHistory[customer])),""),ROWS($A$15:A57)+$B$3))),IF($D$15="",INDEX(orderHistory[status],SMALL(IF(ISNUMBER(MATCH(orderHistory[status],$D$11,0)*MATCH(orderHistory[order_type],$D$13,0)),MATCH(ROW(orderHistory[customer]),ROW(orderHistory[customer])),""),ROWS($A$15:A57)+$B$3)),INDEX(orderHistory[statu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tatus],SMALL(IF(ISNUMBER(MATCH(orderHistory[customer],$D$9,0)),MATCH(ROW(orderHistory[customer]),ROW(orderHistory[customer])),""),ROWS($A$15:A57)+$B$3)),INDEX(orderHistory[status],SMALL(IF(ISNUMBER(MATCH(orderHistory[customer],$D$9,0)*MATCH(YEAR(orderHistory[invoice_date]),$D$15,0)),MATCH(ROW(orderHistory[customer]),ROW(orderHistory[customer])),""),ROWS($A$15:A57)+$B$3))),IF($D$15="",INDEX(orderHistory[status],SMALL(IF(ISNUMBER(MATCH(orderHistory[customer],$D$9,0)*MATCH(orderHistory[order_type],$D$13,0)),MATCH(ROW(orderHistory[customer]),ROW(orderHistory[customer])),""),ROWS($A$15:A57)+$B$3)),INDEX(orderHistory[statu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YEAR(orderHistory[status]),$D$15,0)),MATCH(ROW(orderHistory[customer]),ROW(orderHistory[customer])),""),ROWS($A$15:A57)+$B$3))),IF($D$15="",INDEX(orderHistory[status],SMALL(IF(ISNUMBER(MATCH(orderHistory[customer],$D$9,0)*MATCH(orderHistory[status],$D$11,0)*MATCH(orderHistory[order_type],$D$13,0)),MATCH(ROW(orderHistory[customer]),ROW(orderHistory[customer])),""),ROWS($A$15:A57)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W52" s="75"/>
      <c r="X52" s="332"/>
      <c r="AQ52" s="350"/>
      <c r="AR52" s="350" t="s">
        <v>607</v>
      </c>
      <c r="BG52" s="245"/>
      <c r="BK52" s="366"/>
      <c r="BL52" s="367"/>
      <c r="BM52" s="368"/>
      <c r="BN52" s="367"/>
      <c r="BO52" s="368"/>
      <c r="BZ52" s="497"/>
      <c r="CA52" s="477" t="str">
        <f>IF(BZ52="","",INDEX(bhpc_data[description],MATCH(BZ52,bhpc_data[sku],0)))</f>
        <v/>
      </c>
      <c r="CB52" s="480"/>
      <c r="CC52" s="479"/>
      <c r="CD52" s="494"/>
      <c r="CE52" s="481"/>
      <c r="CF52" s="482"/>
      <c r="CG52" s="483" t="str">
        <f>IFERROR(ROUNDUP(CB52/INDEX(bhpc_data[units_per_carton],MATCH(BZ52,bhpc_data[sku],0)),0),"")</f>
        <v/>
      </c>
      <c r="CH52" s="484" t="str">
        <f>IFERROR(ROUNDUP(CD52/INDEX(bhpc_data[units_per_carton],MATCH(BZ52,bhpc_data[sku],0)),0),"")</f>
        <v/>
      </c>
      <c r="CI52" s="484" t="str">
        <f>IFERROR(ROUNDUP(CF52/INDEX(bhpc_data[units_per_carton],MATCH(BZ52,bhpc_data[sku])),0),"")</f>
        <v/>
      </c>
      <c r="CJ52" s="484" t="str">
        <f>IFERROR(((CB52+CD52+CF52)/INDEX(bhpc_data[units_per_carton],MATCH(BZ52,bhpc_data[sku],0)))*INDEX(bhpc_data[net_weight],MATCH(BZ52,bhpc_data[sku],0)),"")</f>
        <v/>
      </c>
      <c r="CK52" s="484" t="str">
        <f>IFERROR(((CB52+CD52+CF52)/INDEX(bhpc_data[units_per_carton],MATCH(BZ52,bhpc_data[sku],0)))*INDEX(bhpc_data[gross_weight],MATCH(BZ52,bhpc_data[sku],0)),"")</f>
        <v/>
      </c>
      <c r="CL52" s="485" t="str">
        <f>IFERROR((CB52+CD52+CF52)/INDEX(bhpc_data[units_per_carton],MATCH(BZ52,bhpc_data[sku],0))*INDEX(bhpc_data[lenght],MATCH(BZ52,bhpc_data[sku],0))*INDEX(bhpc_data[width],MATCH(BZ52,bhpc_data[sku],0))*INDEX(bhpc_data[height],MATCH(BZ52,bhpc_data[sku],0))/1000000000,"")</f>
        <v/>
      </c>
      <c r="CM52" s="486" t="str">
        <f>IFERROR(INDEX(bhpc_data[category],MATCH(BZ52,bhpc_data[sku],0)),"")</f>
        <v/>
      </c>
      <c r="CN52" s="486" t="str">
        <f>IFERROR(INDEX(bhpc_data[size1],MATCH(BZ52,bhpc_data[sku],0)),"")</f>
        <v/>
      </c>
      <c r="CO52" s="487" t="str">
        <f>IFERROR(INDEX(bhpc_data[hs_code],MATCH(BZ52,bhpc_data[sku],0)),"")</f>
        <v/>
      </c>
      <c r="CP52" s="482"/>
      <c r="CQ52" s="488" t="str">
        <f>IFERROR(IF(BZ52="","",IF($BX$15="SALE",INDEX(inventory[COSTO UNITARIO],MATCH(BZ52,inventory[ARTICOLO],0)),IF($BX$15="SAMPLING",INDEX(inventory[COSTO UNITARIO],MATCH(BZ52,inventory[ARTICOLO],0)),""))),"")</f>
        <v/>
      </c>
      <c r="CR52" s="488" t="str">
        <f t="shared" si="5"/>
        <v/>
      </c>
      <c r="CS52" s="489" t="str">
        <f t="shared" si="6"/>
        <v/>
      </c>
      <c r="CT52" s="573" t="str">
        <f t="shared" si="7"/>
        <v/>
      </c>
      <c r="CU52" s="350"/>
      <c r="CV52" s="350"/>
      <c r="CW52" s="350"/>
      <c r="CX52" s="350"/>
      <c r="CY52" s="350"/>
      <c r="CZ52" s="350"/>
      <c r="DA52" s="350" t="str">
        <f>IFERROR(VLOOKUP(BZ52,bhpc_data[],22,FALSE),"")</f>
        <v/>
      </c>
      <c r="EE52" s="547" t="str" cm="1">
        <f t="array" ref="EE52">IFERROR(IF($EC$9="",IF($EC$11="",IF($EC$13="",INDEX(bhpc_data[sku],SMALL(MATCH(ROW(bhpc_data[sku]),ROW(bhpc_data[sku])),ROWS($A$15:A57)+$B$3)),INDEX(bhpc_data[sku],SMALL(IF(ISNUMBER(MATCH(bhpc_data[size1],$EC$13,0)),MATCH(ROW(bhpc_data[sku]),ROW(bhpc_data[sku])),""),ROWS($A$15:A57)+$B$3))),IF($EC$13="",INDEX(bhpc_data[sku],SMALL(IF(ISNUMBER(MATCH(bhpc_data[sex],$EC$11,0)),MATCH(ROW(bhpc_data[sku]),ROW(bhpc_data[sku])),""),ROWS($A$15:A57)+$B$3)),INDEX(bhpc_data[sku],SMALL(IF(ISNUMBER(MATCH(bhpc_data[sex],$EC$11,0)*MATCH(bhpc_data[size1],$EC$13,0)),MATCH(ROW(bhpc_data[sku]),ROW(bhpc_data[sku])),""),ROWS($A$15:A57)+$B$3)))),IF($EC$11="",IF($EC$13="",INDEX(bhpc_data[sku],SMALL(IF(ISNUMBER(MATCH(bhpc_data[category],$EC$9,0)),MATCH(ROW(bhpc_data[sku]),ROW(bhpc_data[sku])),""),ROWS($A$15:A57)+$B$3)),INDEX(bhpc_data[sku],SMALL(IF(ISNUMBER(MATCH(bhpc_data[category],$EC$9,0)*MATCH(bhpc_data[size1],$EC$13,0)),MATCH(ROW(bhpc_data[sku]),ROW(bhpc_data[sku])),""),ROWS($A$15:A57)+$B$3))),IF($EC$13="",INDEX(bhpc_data[sku],SMALL(IF(ISNUMBER(MATCH(bhpc_data[category],$EC$9,0)*MATCH(bhpc_data[sex],$EC$11,0)),MATCH(ROW(bhpc_data[sku]),ROW(bhpc_data[sku])),""),ROWS($A$15:A57)+$B$3)),INDEX(bhpc_data[sku],SMALL(IF(ISNUMBER(MATCH(bhpc_data[category],$EC$9,0)*MATCH(bhpc_data[sex],$EC$11,0)*MATCH(bhpc_data[size1],$EC$13,0)),MATCH(ROW(bhpc_data[sku]),ROW(bhpc_data[sku])),""),ROWS($A$15:A57)+$B$3))))),"")</f>
        <v>P05008</v>
      </c>
      <c r="EF52" s="548" t="str" cm="1">
        <f t="array" ref="EF52">IFERROR(IF($EC$9="",IF($EC$11="",IF($EC$13="",INDEX(bhpc_data[description],SMALL(MATCH(ROW(bhpc_data[sku]),ROW(bhpc_data[sku])),ROWS($A$15:A57)+$B$3)),INDEX(bhpc_data[description],SMALL(IF(ISNUMBER(MATCH(bhpc_data[size1],$EC$13,0)),MATCH(ROW(bhpc_data[sku]),ROW(bhpc_data[sku])),""),ROWS($A$15:A57)+$B$3))),IF($EC$13="",INDEX(bhpc_data[description],SMALL(IF(ISNUMBER(MATCH(bhpc_data[sex],$EC$11,0)),MATCH(ROW(bhpc_data[sku]),ROW(bhpc_data[sku])),""),ROWS($A$15:A57)+$B$3)),INDEX(bhpc_data[description],SMALL(IF(ISNUMBER(MATCH(bhpc_data[sex],$EC$11,0)*MATCH(bhpc_data[size1],$EC$13,0)),MATCH(ROW(bhpc_data[sku]),ROW(bhpc_data[sku])),""),ROWS($A$15:A57)+$B$3)))),IF($EC$11="",IF($EC$13="",INDEX(bhpc_data[description],SMALL(IF(ISNUMBER(MATCH(bhpc_data[category],$EC$9,0)),MATCH(ROW(bhpc_data[sku]),ROW(bhpc_data[sku])),""),ROWS($A$15:A57)+$B$3)),INDEX(bhpc_data[description],SMALL(IF(ISNUMBER(MATCH(bhpc_data[category],$EC$9,0)*MATCH(bhpc_data[size1],$EC$13,0)),MATCH(ROW(bhpc_data[sku]),ROW(bhpc_data[sku])),""),ROWS($A$15:A57)+$B$3))),IF($EC$13="",INDEX(bhpc_data[description],SMALL(IF(ISNUMBER(MATCH(bhpc_data[category],$EC$9,0)*MATCH(bhpc_data[sex],$EC$11,0)),MATCH(ROW(bhpc_data[sku]),ROW(bhpc_data[sku])),""),ROWS($A$15:A57)+$B$3)),INDEX(bhpc_data[description],SMALL(IF(ISNUMBER(MATCH(bhpc_data[category],$EC$9,0)*MATCH(bhpc_data[sex],$EC$11,0)*MATCH(bhpc_data[size1],$EC$13,0)),MATCH(ROW(bhpc_data[sku]),ROW(bhpc_data[sku])),""),ROWS($A$15:A57)+$B$3))))),"")</f>
        <v>BHPC SPORT MEN 1 EDT 50ML</v>
      </c>
      <c r="EG52" s="549">
        <f>IFERROR(IF('BHPC MANAGER'!$EE52="","",INDEX(inventory[ESISTENZA],MATCH('BHPC MANAGER'!$EE52,inventory[ARTICOLO],0))),0)</f>
        <v>0</v>
      </c>
      <c r="EH52" s="550">
        <v>3338</v>
      </c>
      <c r="EI52" s="550">
        <f t="shared" si="3"/>
        <v>3338</v>
      </c>
      <c r="EJ52" s="551">
        <v>0</v>
      </c>
      <c r="EK52" s="552">
        <f t="shared" si="4"/>
        <v>3338</v>
      </c>
      <c r="EO52" s="245" t="str">
        <f t="array" ref="EO52">IFERROR(INDEX(orderHistory[order_no],SMALL(IF(ISNUMBER(MATCH(orderHistory[status],$EO$7,0)),MATCH(ROW(orderHistory[order_no]),ROW(orderHistory[order_no])),""),ROWS($A$15:A57))),"")</f>
        <v/>
      </c>
    </row>
    <row r="53" spans="10:145" ht="15" customHeight="1" x14ac:dyDescent="0.35">
      <c r="J53" s="332"/>
      <c r="K53" s="332"/>
      <c r="L53" s="452" t="str">
        <f t="array" ref="L53">IFERROR(IF($D$9="",IF($D$11="",IF($D$13="",IF($D$15="",INDEX(orderHistory[customer],SMALL(MATCH(ROW(orderHistory[customer]),ROW(orderHistory[customer])),ROWS($A$15:A58)+$B$3)),INDEX(orderHistory[customer],SMALL(IF(ISNUMBER(MATCH(YEAR(orderHistory[invoice_date]),$D$15,0)),MATCH(ROW(orderHistory[customer]),ROW(orderHistory[customer])),""),ROWS($A$15:A58)+$B$3))),IF($D$15="",INDEX(orderHistory[customer],SMALL(IF(ISNUMBER(MATCH(orderHistory[order_type],$D$13,0)),MATCH(ROW(orderHistory[customer]),ROW(orderHistory[customer])),""),ROWS($A$15:A58)+$B$3)),INDEX(orderHistory[customer],SMALL(IF(ISNUMBER(MATCH(orderHistory[order_type],$D$13,0)*MATCH(YEAR(orderHistory[invoice_date]),$D$15,0)),MATCH(ROW(orderHistory[customer]),ROW(orderHistory[customer])),""),ROWS($A$15:A58)+$B$3)))),IF($D$13="",IF($D$15="",INDEX(orderHistory[customer],SMALL(IF(ISNUMBER(MATCH(orderHistory[status],$D$11,0)),MATCH(ROW(orderHistory[customer]),ROW(orderHistory[customer])),""),ROWS($A$15:A58)+$B$3)),INDEX(orderHistory[customer],SMALL(IF(ISNUMBER(MATCH(orderHistory[status],$D$11,0)*MATCH(YEAR(orderHistory[invoice_date]),$D$15,0)),MATCH(ROW(orderHistory[customer]),ROW(orderHistory[customer])),""),ROWS($A$15:A58)+$B$3))),IF($D$15="",INDEX(orderHistory[customer],SMALL(IF(ISNUMBER(MATCH(orderHistory[status],$D$11,0)*MATCH(orderHistory[order_type],$D$13,0)),MATCH(ROW(orderHistory[customer]),ROW(orderHistory[customer])),""),ROWS($A$15:A58)+$B$3)),INDEX(orderHistory[customer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customer],SMALL(IF(ISNUMBER(MATCH(orderHistory[customer],$D$9,0)),MATCH(ROW(orderHistory[customer]),ROW(orderHistory[customer])),""),ROWS($A$15:A58)+$B$3)),INDEX(orderHistory[customer],SMALL(IF(ISNUMBER(MATCH(orderHistory[customer],$D$9,0)*MATCH(YEAR(orderHistory[invoice_date]),$D$15,0)),MATCH(ROW(orderHistory[customer]),ROW(orderHistory[customer])),""),ROWS($A$15:A58)+$B$3))),IF($D$15="",INDEX(orderHistory[customer],SMALL(IF(ISNUMBER(MATCH(orderHistory[customer],$D$9,0)*MATCH(orderHistory[order_type],$D$13,0)),MATCH(ROW(orderHistory[customer]),ROW(orderHistory[customer])),""),ROWS($A$15:A58)+$B$3)),INDEX(orderHistory[customer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YEAR(orderHistory[invoice_date]),$D$15,0)),MATCH(ROW(orderHistory[customer]),ROW(orderHistory[customer])),""),ROWS($A$15:A58)+$B$3))),IF($D$15="",INDEX(orderHistory[customer],SMALL(IF(ISNUMBER(MATCH(orderHistory[customer],$D$9,0)*MATCH(orderHistory[status],$D$11,0)*MATCH(orderHistory[order_type],$D$13,0)),MATCH(ROW(orderHistory[customer]),ROW(orderHistory[customer])),""),ROWS($A$15:A58)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M53" s="453" t="str">
        <f t="array" ref="M53">IFERROR(IF($D$9="",IF($D$11="",IF($D$13="",IF($D$15="",INDEX(orderHistory[order_no],SMALL(MATCH(ROW(orderHistory[customer]),ROW(orderHistory[customer])),ROWS($A$15:A58)+$B$3)),INDEX(orderHistory[order_no],SMALL(IF(ISNUMBER(MATCH(YEAR(orderHistory[invoice_date]),$D$15,0)),MATCH(ROW(orderHistory[customer]),ROW(orderHistory[customer])),""),ROWS($A$15:A58)+$B$3))),IF($D$15="",INDEX(orderHistory[order_no],SMALL(IF(ISNUMBER(MATCH(orderHistory[order_type],$D$13,0)),MATCH(ROW(orderHistory[customer]),ROW(orderHistory[customer])),""),ROWS($A$15:A58)+$B$3)),INDEX(orderHistory[order_no],SMALL(IF(ISNUMBER(MATCH(orderHistory[order_type],$D$13,0)*MATCH(YEAR(orderHistory[invoice_date]),$D$15,0)),MATCH(ROW(orderHistory[customer]),ROW(orderHistory[customer])),""),ROWS($A$15:A58)+$B$3)))),IF($D$13="",IF($D$15="",INDEX(orderHistory[order_no],SMALL(IF(ISNUMBER(MATCH(orderHistory[status],$D$11,0)),MATCH(ROW(orderHistory[customer]),ROW(orderHistory[customer])),""),ROWS($A$15:A58)+$B$3)),INDEX(orderHistory[order_no],SMALL(IF(ISNUMBER(MATCH(orderHistory[status],$D$11,0)*MATCH(YEAR(orderHistory[invoice_date]),$D$15,0)),MATCH(ROW(orderHistory[customer]),ROW(orderHistory[customer])),""),ROWS($A$15:A58)+$B$3))),IF($D$15="",INDEX(orderHistory[order_no],SMALL(IF(ISNUMBER(MATCH(orderHistory[status],$D$11,0)*MATCH(orderHistory[order_type],$D$13,0)),MATCH(ROW(orderHistory[customer]),ROW(orderHistory[customer])),""),ROWS($A$15:A58)+$B$3)),INDEX(orderHistory[order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no],SMALL(IF(ISNUMBER(MATCH(orderHistory[customer],$D$9,0)),MATCH(ROW(orderHistory[customer]),ROW(orderHistory[customer])),""),ROWS($A$15:A58)+$B$3)),INDEX(orderHistory[order_no],SMALL(IF(ISNUMBER(MATCH(orderHistory[customer],$D$9,0)*MATCH(YEAR(orderHistory[invoice_date]),$D$15,0)),MATCH(ROW(orderHistory[customer]),ROW(orderHistory[customer])),""),ROWS($A$15:A58)+$B$3))),IF($D$15="",INDEX(orderHistory[order_no],SMALL(IF(ISNUMBER(MATCH(orderHistory[customer],$D$9,0)*MATCH(orderHistory[order_type],$D$13,0)),MATCH(ROW(orderHistory[customer]),ROW(orderHistory[customer])),""),ROWS($A$15:A58)+$B$3)),INDEX(orderHistory[order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YEAR(orderHistory[invoice_date]),$D$15,0)),MATCH(ROW(orderHistory[customer]),ROW(orderHistory[customer])),""),ROWS($A$15:A58)+$B$3))),IF($D$15="",INDEX(orderHistory[order_no],SMALL(IF(ISNUMBER(MATCH(orderHistory[customer],$D$9,0)*MATCH(orderHistory[status],$D$11,0)*MATCH(orderHistory[order_type],$D$13,0)),MATCH(ROW(orderHistory[customer]),ROW(orderHistory[customer])),""),ROWS($A$15:A58)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N53" s="454" t="str">
        <f t="array" ref="N53">IFERROR(IF($D$9="",IF($D$11="",IF($D$13="",IF($D$15="",INDEX(orderHistory[order_type],SMALL(MATCH(ROW(orderHistory[customer]),ROW(orderHistory[customer])),ROWS($A$15:A58)+$B$3)),INDEX(orderHistory[order_type],SMALL(IF(ISNUMBER(MATCH(YEAR(orderHistory[invoice_date]),$D$15,0)),MATCH(ROW(orderHistory[customer]),ROW(orderHistory[customer])),""),ROWS($A$15:A58)+$B$3))),IF($D$15="",INDEX(orderHistory[order_type],SMALL(IF(ISNUMBER(MATCH(orderHistory[order_type],$D$13,0)),MATCH(ROW(orderHistory[customer]),ROW(orderHistory[customer])),""),ROWS($A$15:A58)+$B$3)),INDEX(orderHistory[order_type],SMALL(IF(ISNUMBER(MATCH(orderHistory[order_type],$D$13,0)*MATCH(YEAR(orderHistory[invoice_date]),$D$15,0)),MATCH(ROW(orderHistory[customer]),ROW(orderHistory[customer])),""),ROWS($A$15:A58)+$B$3)))),IF($D$13="",IF($D$15="",INDEX(orderHistory[order_type],SMALL(IF(ISNUMBER(MATCH(orderHistory[status],$D$11,0)),MATCH(ROW(orderHistory[customer]),ROW(orderHistory[customer])),""),ROWS($A$15:A58)+$B$3)),INDEX(orderHistory[order_type],SMALL(IF(ISNUMBER(MATCH(orderHistory[status],$D$11,0)*MATCH(YEAR(orderHistory[invoice_date]),$D$15,0)),MATCH(ROW(orderHistory[customer]),ROW(orderHistory[customer])),""),ROWS($A$15:A58)+$B$3))),IF($D$15="",INDEX(orderHistory[order_type],SMALL(IF(ISNUMBER(MATCH(orderHistory[status],$D$11,0)*MATCH(orderHistory[order_type],$D$13,0)),MATCH(ROW(orderHistory[customer]),ROW(orderHistory[customer])),""),ROWS($A$15:A58)+$B$3)),INDEX(orderHistory[order_typ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type],SMALL(IF(ISNUMBER(MATCH(orderHistory[customer],$D$9,0)),MATCH(ROW(orderHistory[customer]),ROW(orderHistory[customer])),""),ROWS($A$15:A58)+$B$3)),INDEX(orderHistory[order_type],SMALL(IF(ISNUMBER(MATCH(orderHistory[customer],$D$9,0)*MATCH(YEAR(orderHistory[invoice_date]),$D$15,0)),MATCH(ROW(orderHistory[customer]),ROW(orderHistory[customer])),""),ROWS($A$15:A58)+$B$3))),IF($D$15="",INDEX(orderHistory[order_type],SMALL(IF(ISNUMBER(MATCH(orderHistory[customer],$D$9,0)*MATCH(orderHistory[order_type],$D$13,0)),MATCH(ROW(orderHistory[customer]),ROW(orderHistory[customer])),""),ROWS($A$15:A58)+$B$3)),INDEX(orderHistory[order_typ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YEAR(orderHistory[invoice_date]),$D$15,0)),MATCH(ROW(orderHistory[customer]),ROW(orderHistory[customer])),""),ROWS($A$15:A58)+$B$3))),IF($D$15="",INDEX(orderHistory[order_type],SMALL(IF(ISNUMBER(MATCH(orderHistory[customer],$D$9,0)*MATCH(orderHistory[status],$D$11,0)*MATCH(orderHistory[order_type],$D$13,0)),MATCH(ROW(orderHistory[customer]),ROW(orderHistory[customer])),""),ROWS($A$15:A58)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O53" s="455" t="str">
        <f t="array" ref="O53">IFERROR(IF($D$9="",IF($D$11="",IF($D$13="",IF($D$15="",INDEX(orderHistory[order_date],SMALL(MATCH(ROW(orderHistory[customer]),ROW(orderHistory[customer])),ROWS($A$15:A58)+$B$3)),INDEX(orderHistory[order_date],SMALL(IF(ISNUMBER(MATCH(YEAR(orderHistory[invoice_date]),$D$15,0)),MATCH(ROW(orderHistory[customer]),ROW(orderHistory[customer])),""),ROWS($A$15:A58)+$B$3))),IF($D$15="",INDEX(orderHistory[order_date],SMALL(IF(ISNUMBER(MATCH(orderHistory[order_type],$D$13,0)),MATCH(ROW(orderHistory[customer]),ROW(orderHistory[customer])),""),ROWS($A$15:A58)+$B$3)),INDEX(orderHistory[order_date],SMALL(IF(ISNUMBER(MATCH(orderHistory[order_type],$D$13,0)*MATCH(YEAR(orderHistory[invoice_date]),$D$15,0)),MATCH(ROW(orderHistory[customer]),ROW(orderHistory[customer])),""),ROWS($A$15:A58)+$B$3)))),IF($D$13="",IF($D$15="",INDEX(orderHistory[order_date],SMALL(IF(ISNUMBER(MATCH(orderHistory[status],$D$11,0)),MATCH(ROW(orderHistory[customer]),ROW(orderHistory[customer])),""),ROWS($A$15:A58)+$B$3)),INDEX(orderHistory[order_date],SMALL(IF(ISNUMBER(MATCH(orderHistory[status],$D$11,0)*MATCH(YEAR(orderHistory[invoice_date]),$D$15,0)),MATCH(ROW(orderHistory[customer]),ROW(orderHistory[customer])),""),ROWS($A$15:A58)+$B$3))),IF($D$15="",INDEX(orderHistory[order_date],SMALL(IF(ISNUMBER(MATCH(orderHistory[status],$D$11,0)*MATCH(orderHistory[order_type],$D$13,0)),MATCH(ROW(orderHistory[customer]),ROW(orderHistory[customer])),""),ROWS($A$15:A58)+$B$3)),INDEX(orderHistory[order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date],SMALL(IF(ISNUMBER(MATCH(orderHistory[customer],$D$9,0)),MATCH(ROW(orderHistory[customer]),ROW(orderHistory[customer])),""),ROWS($A$15:A58)+$B$3)),INDEX(orderHistory[order_date],SMALL(IF(ISNUMBER(MATCH(orderHistory[customer],$D$9,0)*MATCH(YEAR(orderHistory[invoice_date]),$D$15,0)),MATCH(ROW(orderHistory[customer]),ROW(orderHistory[customer])),""),ROWS($A$15:A58)+$B$3))),IF($D$15="",INDEX(orderHistory[order_date],SMALL(IF(ISNUMBER(MATCH(orderHistory[customer],$D$9,0)*MATCH(orderHistory[order_type],$D$13,0)),MATCH(ROW(orderHistory[customer]),ROW(orderHistory[customer])),""),ROWS($A$15:A58)+$B$3)),INDEX(orderHistory[order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YEAR(orderHistory[invoice_date]),$D$15,0)),MATCH(ROW(orderHistory[customer]),ROW(orderHistory[customer])),""),ROWS($A$15:A58)+$B$3))),IF($D$15="",INDEX(orderHistory[order_date],SMALL(IF(ISNUMBER(MATCH(orderHistory[customer],$D$9,0)*MATCH(orderHistory[status],$D$11,0)*MATCH(orderHistory[order_type],$D$13,0)),MATCH(ROW(orderHistory[customer]),ROW(orderHistory[customer])),""),ROWS($A$15:A58)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P53" s="456" t="str">
        <f t="array" ref="P53">IFERROR(IF($D$9="",IF($D$11="",IF($D$13="",IF($D$15="",INDEX(orderHistory[invoice_no],SMALL(MATCH(ROW(orderHistory[customer]),ROW(orderHistory[customer])),ROWS($A$15:A58)+$B$3)),INDEX(orderHistory[invoice_no],SMALL(IF(ISNUMBER(MATCH(YEAR(orderHistory[invoice_date]),$D$15,0)),MATCH(ROW(orderHistory[customer]),ROW(orderHistory[customer])),""),ROWS($A$15:A58)+$B$3))),IF($D$15="",INDEX(orderHistory[invoice_no],SMALL(IF(ISNUMBER(MATCH(orderHistory[order_type],$D$13,0)),MATCH(ROW(orderHistory[customer]),ROW(orderHistory[customer])),""),ROWS($A$15:A58)+$B$3)),INDEX(orderHistory[invoice_no],SMALL(IF(ISNUMBER(MATCH(orderHistory[order_type],$D$13,0)*MATCH(YEAR(orderHistory[invoice_date]),$D$15,0)),MATCH(ROW(orderHistory[customer]),ROW(orderHistory[customer])),""),ROWS($A$15:A58)+$B$3)))),IF($D$13="",IF($D$15="",INDEX(orderHistory[invoice_no],SMALL(IF(ISNUMBER(MATCH(orderHistory[status],$D$11,0)),MATCH(ROW(orderHistory[customer]),ROW(orderHistory[customer])),""),ROWS($A$15:A58)+$B$3)),INDEX(orderHistory[invoice_no],SMALL(IF(ISNUMBER(MATCH(orderHistory[status],$D$11,0)*MATCH(YEAR(orderHistory[invoice_date]),$D$15,0)),MATCH(ROW(orderHistory[customer]),ROW(orderHistory[customer])),""),ROWS($A$15:A58)+$B$3))),IF($D$15="",INDEX(orderHistory[invoice_no],SMALL(IF(ISNUMBER(MATCH(orderHistory[status],$D$11,0)*MATCH(orderHistory[order_type],$D$13,0)),MATCH(ROW(orderHistory[customer]),ROW(orderHistory[customer])),""),ROWS($A$15:A58)+$B$3)),INDEX(orderHistory[invoice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no],SMALL(IF(ISNUMBER(MATCH(orderHistory[customer],$D$9,0)),MATCH(ROW(orderHistory[customer]),ROW(orderHistory[customer])),""),ROWS($A$15:A58)+$B$3)),INDEX(orderHistory[invoice_no],SMALL(IF(ISNUMBER(MATCH(orderHistory[customer],$D$9,0)*MATCH(YEAR(orderHistory[invoice_date]),$D$15,0)),MATCH(ROW(orderHistory[customer]),ROW(orderHistory[customer])),""),ROWS($A$15:A58)+$B$3))),IF($D$15="",INDEX(orderHistory[invoice_no],SMALL(IF(ISNUMBER(MATCH(orderHistory[customer],$D$9,0)*MATCH(orderHistory[order_type],$D$13,0)),MATCH(ROW(orderHistory[customer]),ROW(orderHistory[customer])),""),ROWS($A$15:A58)+$B$3)),INDEX(orderHistory[invoice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YEAR(orderHistory[invoice_date]),$D$15,0)),MATCH(ROW(orderHistory[customer]),ROW(orderHistory[customer])),""),ROWS($A$15:A58)+$B$3))),IF($D$15="",INDEX(orderHistory[invoice_no],SMALL(IF(ISNUMBER(MATCH(orderHistory[customer],$D$9,0)*MATCH(orderHistory[status],$D$11,0)*MATCH(orderHistory[order_type],$D$13,0)),MATCH(ROW(orderHistory[customer]),ROW(orderHistory[customer])),""),ROWS($A$15:A58)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Q53" s="457" t="str">
        <f t="array" ref="Q53">IFERROR(IF($D$9="",IF($D$11="",IF($D$13="",IF($D$15="",INDEX(orderHistory[invoice_date],SMALL(MATCH(ROW(orderHistory[customer]),ROW(orderHistory[customer])),ROWS($A$15:A58)+$B$3)),INDEX(orderHistory[invoice_date],SMALL(IF(ISNUMBER(MATCH(YEAR(orderHistory[invoice_date]),$D$15,0)),MATCH(ROW(orderHistory[customer]),ROW(orderHistory[customer])),""),ROWS($A$15:A58)+$B$3))),IF($D$15="",INDEX(orderHistory[invoice_date],SMALL(IF(ISNUMBER(MATCH(orderHistory[order_type],$D$13,0)),MATCH(ROW(orderHistory[customer]),ROW(orderHistory[customer])),""),ROWS($A$15:A58)+$B$3)),INDEX(orderHistory[invoice_date],SMALL(IF(ISNUMBER(MATCH(orderHistory[order_type],$D$13,0)*MATCH(YEAR(orderHistory[invoice_date]),$D$15,0)),MATCH(ROW(orderHistory[customer]),ROW(orderHistory[customer])),""),ROWS($A$15:A58)+$B$3)))),IF($D$13="",IF($D$15="",INDEX(orderHistory[invoice_date],SMALL(IF(ISNUMBER(MATCH(orderHistory[status],$D$11,0)),MATCH(ROW(orderHistory[customer]),ROW(orderHistory[customer])),""),ROWS($A$15:A58)+$B$3)),INDEX(orderHistory[invoice_date],SMALL(IF(ISNUMBER(MATCH(orderHistory[status],$D$11,0)*MATCH(YEAR(orderHistory[invoice_date]),$D$15,0)),MATCH(ROW(orderHistory[customer]),ROW(orderHistory[customer])),""),ROWS($A$15:A58)+$B$3))),IF($D$15="",INDEX(orderHistory[invoice_date],SMALL(IF(ISNUMBER(MATCH(orderHistory[status],$D$11,0)*MATCH(orderHistory[order_type],$D$13,0)),MATCH(ROW(orderHistory[customer]),ROW(orderHistory[customer])),""),ROWS($A$15:A58)+$B$3)),INDEX(orderHistory[invoice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date],SMALL(IF(ISNUMBER(MATCH(orderHistory[customer],$D$9,0)),MATCH(ROW(orderHistory[customer]),ROW(orderHistory[customer])),""),ROWS($A$15:A58)+$B$3)),INDEX(orderHistory[invoice_date],SMALL(IF(ISNUMBER(MATCH(orderHistory[customer],$D$9,0)*MATCH(YEAR(orderHistory[invoice_date]),$D$15,0)),MATCH(ROW(orderHistory[customer]),ROW(orderHistory[customer])),""),ROWS($A$15:A58)+$B$3))),IF($D$15="",INDEX(orderHistory[invoice_date],SMALL(IF(ISNUMBER(MATCH(orderHistory[customer],$D$9,0)*MATCH(orderHistory[order_type],$D$13,0)),MATCH(ROW(orderHistory[customer]),ROW(orderHistory[customer])),""),ROWS($A$15:A58)+$B$3)),INDEX(orderHistory[invoice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YEAR(orderHistory[invoice_date]),$D$15,0)),MATCH(ROW(orderHistory[customer]),ROW(orderHistory[customer])),""),ROWS($A$15:A58)+$B$3))),IF($D$15="",INDEX(orderHistory[invoice_date],SMALL(IF(ISNUMBER(MATCH(orderHistory[customer],$D$9,0)*MATCH(orderHistory[status],$D$11,0)*MATCH(orderHistory[order_type],$D$13,0)),MATCH(ROW(orderHistory[customer]),ROW(orderHistory[customer])),""),ROWS($A$15:A58)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R53" s="458" t="str">
        <f t="array" ref="R53">IFERROR(IF($D$9="",IF($D$11="",IF($D$13="",IF($D$15="",INDEX(orderHistory[inv_amount],SMALL(MATCH(ROW(orderHistory[customer]),ROW(orderHistory[customer])),ROWS($A$15:A58)+$B$3)),INDEX(orderHistory[inv_amount],SMALL(IF(ISNUMBER(MATCH(YEAR(orderHistory[invoice_date]),$D$15,0)),MATCH(ROW(orderHistory[customer]),ROW(orderHistory[customer])),""),ROWS($A$15:A58)+$B$3))),IF($D$15="",INDEX(orderHistory[inv_amount],SMALL(IF(ISNUMBER(MATCH(orderHistory[order_type],$D$13,0)),MATCH(ROW(orderHistory[customer]),ROW(orderHistory[customer])),""),ROWS($A$15:A58)+$B$3)),INDEX(orderHistory[inv_amount],SMALL(IF(ISNUMBER(MATCH(orderHistory[order_type],$D$13,0)*MATCH(YEAR(orderHistory[invoice_date]),$D$15,0)),MATCH(ROW(orderHistory[customer]),ROW(orderHistory[customer])),""),ROWS($A$15:A58)+$B$3)))),IF($D$13="",IF($D$15="",INDEX(orderHistory[inv_amount],SMALL(IF(ISNUMBER(MATCH(orderHistory[status],$D$11,0)),MATCH(ROW(orderHistory[customer]),ROW(orderHistory[customer])),""),ROWS($A$15:A58)+$B$3)),INDEX(orderHistory[inv_amount],SMALL(IF(ISNUMBER(MATCH(orderHistory[status],$D$11,0)*MATCH(YEAR(orderHistory[invoice_date]),$D$15,0)),MATCH(ROW(orderHistory[customer]),ROW(orderHistory[customer])),""),ROWS($A$15:A58)+$B$3))),IF($D$15="",INDEX(orderHistory[inv_amount],SMALL(IF(ISNUMBER(MATCH(orderHistory[status],$D$11,0)*MATCH(orderHistory[order_type],$D$13,0)),MATCH(ROW(orderHistory[customer]),ROW(orderHistory[customer])),""),ROWS($A$15:A58)+$B$3)),INDEX(orderHistory[inv_amount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_amount],SMALL(IF(ISNUMBER(MATCH(orderHistory[customer],$D$9,0)),MATCH(ROW(orderHistory[customer]),ROW(orderHistory[customer])),""),ROWS($A$15:A58)+$B$3)),INDEX(orderHistory[inv_amount],SMALL(IF(ISNUMBER(MATCH(orderHistory[customer],$D$9,0)*MATCH(YEAR(orderHistory[invoice_date]),$D$15,0)),MATCH(ROW(orderHistory[customer]),ROW(orderHistory[customer])),""),ROWS($A$15:A58)+$B$3))),IF($D$15="",INDEX(orderHistory[inv_amount],SMALL(IF(ISNUMBER(MATCH(orderHistory[customer],$D$9,0)*MATCH(orderHistory[order_type],$D$13,0)),MATCH(ROW(orderHistory[customer]),ROW(orderHistory[customer])),""),ROWS($A$15:A58)+$B$3)),INDEX(orderHistory[inv_amount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YEAR(orderHistory[inv_amount]),$D$15,0)),MATCH(ROW(orderHistory[customer]),ROW(orderHistory[customer])),""),ROWS($A$15:A58)+$B$3))),IF($D$15="",INDEX(orderHistory[inv_amount],SMALL(IF(ISNUMBER(MATCH(orderHistory[customer],$D$9,0)*MATCH(orderHistory[status],$D$11,0)*MATCH(orderHistory[order_type],$D$13,0)),MATCH(ROW(orderHistory[customer]),ROW(orderHistory[customer])),""),ROWS($A$15:A58)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S53" s="569" t="str">
        <f t="array" ref="S53">IFERROR(IF($D$9="",IF($D$11="",IF($D$13="",IF($D$15="",INDEX(orderHistory[lock_goods],SMALL(MATCH(ROW(orderHistory[customer]),ROW(orderHistory[customer])),ROWS($A$15:A58)+$B$3)),INDEX(orderHistory[lock_goods],SMALL(IF(ISNUMBER(MATCH(YEAR(orderHistory[invoice_date]),$D$15,0)),MATCH(ROW(orderHistory[customer]),ROW(orderHistory[customer])),""),ROWS($A$15:A58)+$B$3))),IF($D$15="",INDEX(orderHistory[lock_goods],SMALL(IF(ISNUMBER(MATCH(orderHistory[order_type],$D$13,0)),MATCH(ROW(orderHistory[customer]),ROW(orderHistory[customer])),""),ROWS($A$15:A58)+$B$3)),INDEX(orderHistory[lock_goods],SMALL(IF(ISNUMBER(MATCH(orderHistory[order_type],$D$13,0)*MATCH(YEAR(orderHistory[invoice_date]),$D$15,0)),MATCH(ROW(orderHistory[customer]),ROW(orderHistory[customer])),""),ROWS($A$15:A58)+$B$3)))),IF($D$13="",IF($D$15="",INDEX(orderHistory[lock_goods],SMALL(IF(ISNUMBER(MATCH(orderHistory[status],$D$11,0)),MATCH(ROW(orderHistory[customer]),ROW(orderHistory[customer])),""),ROWS($A$15:A58)+$B$3)),INDEX(orderHistory[lock_goods],SMALL(IF(ISNUMBER(MATCH(orderHistory[status],$D$11,0)*MATCH(YEAR(orderHistory[invoice_date]),$D$15,0)),MATCH(ROW(orderHistory[customer]),ROW(orderHistory[customer])),""),ROWS($A$15:A58)+$B$3))),IF($D$15="",INDEX(orderHistory[lock_goods],SMALL(IF(ISNUMBER(MATCH(orderHistory[status],$D$11,0)*MATCH(orderHistory[order_type],$D$13,0)),MATCH(ROW(orderHistory[customer]),ROW(orderHistory[customer])),""),ROWS($A$15:A58)+$B$3)),INDEX(orderHistory[lock_good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lock_goods],SMALL(IF(ISNUMBER(MATCH(orderHistory[customer],$D$9,0)),MATCH(ROW(orderHistory[customer]),ROW(orderHistory[customer])),""),ROWS($A$15:A58)+$B$3)),INDEX(orderHistory[lock_goods],SMALL(IF(ISNUMBER(MATCH(orderHistory[customer],$D$9,0)*MATCH(YEAR(orderHistory[invoice_date]),$D$15,0)),MATCH(ROW(orderHistory[customer]),ROW(orderHistory[customer])),""),ROWS($A$15:A58)+$B$3))),IF($D$15="",INDEX(orderHistory[lock_goods],SMALL(IF(ISNUMBER(MATCH(orderHistory[customer],$D$9,0)*MATCH(orderHistory[order_type],$D$13,0)),MATCH(ROW(orderHistory[customer]),ROW(orderHistory[customer])),""),ROWS($A$15:A58)+$B$3)),INDEX(orderHistory[lock_good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lock_goods],SMALL(IF(ISNUMBER(MATCH(orderHistory[customer],$D$9,0)*MATCH(orderHistory[status],$D$11,0)),MATCH(ROW(orderHistory[customer]),ROW(orderHistory[customer])),""),ROWS($A$15:A58)+$B$3)),INDEX(orderHistory[lock_goods],SMALL(IF(ISNUMBER(MATCH(orderHistory[customer],$D$9,0)*MATCH(orderHistory[status],$D$11,0)*MATCH(YEAR(orderHistory[payed]),$D$15,0)),MATCH(ROW(orderHistory[customer]),ROW(orderHistory[customer])),""),ROWS($A$15:A58)+$B$3))),IF($D$15="",INDEX(orderHistory[lock_goods],SMALL(IF(ISNUMBER(MATCH(orderHistory[customer],$D$9,0)*MATCH(orderHistory[status],$D$11,0)*MATCH(orderHistory[order_type],$D$13,0)),MATCH(ROW(orderHistory[customer]),ROW(orderHistory[customer])),""),ROWS($A$15:A58)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T53" s="459" t="str">
        <f t="array" ref="T53">IFERROR(IF($D$9="",IF($D$11="",IF($D$13="",IF($D$15="",INDEX(orderHistory[payed],SMALL(MATCH(ROW(orderHistory[customer]),ROW(orderHistory[customer])),ROWS($A$15:A58)+$B$3)),INDEX(orderHistory[payed],SMALL(IF(ISNUMBER(MATCH(YEAR(orderHistory[invoice_date]),$D$15,0)),MATCH(ROW(orderHistory[customer]),ROW(orderHistory[customer])),""),ROWS($A$15:A58)+$B$3))),IF($D$15="",INDEX(orderHistory[payed],SMALL(IF(ISNUMBER(MATCH(orderHistory[order_type],$D$13,0)),MATCH(ROW(orderHistory[customer]),ROW(orderHistory[customer])),""),ROWS($A$15:A58)+$B$3)),INDEX(orderHistory[payed],SMALL(IF(ISNUMBER(MATCH(orderHistory[order_type],$D$13,0)*MATCH(YEAR(orderHistory[invoice_date]),$D$15,0)),MATCH(ROW(orderHistory[customer]),ROW(orderHistory[customer])),""),ROWS($A$15:A58)+$B$3)))),IF($D$13="",IF($D$15="",INDEX(orderHistory[payed],SMALL(IF(ISNUMBER(MATCH(orderHistory[status],$D$11,0)),MATCH(ROW(orderHistory[customer]),ROW(orderHistory[customer])),""),ROWS($A$15:A58)+$B$3)),INDEX(orderHistory[payed],SMALL(IF(ISNUMBER(MATCH(orderHistory[status],$D$11,0)*MATCH(YEAR(orderHistory[invoice_date]),$D$15,0)),MATCH(ROW(orderHistory[customer]),ROW(orderHistory[customer])),""),ROWS($A$15:A58)+$B$3))),IF($D$15="",INDEX(orderHistory[payed],SMALL(IF(ISNUMBER(MATCH(orderHistory[status],$D$11,0)*MATCH(orderHistory[order_type],$D$13,0)),MATCH(ROW(orderHistory[customer]),ROW(orderHistory[customer])),""),ROWS($A$15:A58)+$B$3)),INDEX(orderHistory[paye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payed],SMALL(IF(ISNUMBER(MATCH(orderHistory[customer],$D$9,0)),MATCH(ROW(orderHistory[customer]),ROW(orderHistory[customer])),""),ROWS($A$15:A58)+$B$3)),INDEX(orderHistory[payed],SMALL(IF(ISNUMBER(MATCH(orderHistory[customer],$D$9,0)*MATCH(YEAR(orderHistory[invoice_date]),$D$15,0)),MATCH(ROW(orderHistory[customer]),ROW(orderHistory[customer])),""),ROWS($A$15:A58)+$B$3))),IF($D$15="",INDEX(orderHistory[payed],SMALL(IF(ISNUMBER(MATCH(orderHistory[customer],$D$9,0)*MATCH(orderHistory[order_type],$D$13,0)),MATCH(ROW(orderHistory[customer]),ROW(orderHistory[customer])),""),ROWS($A$15:A58)+$B$3)),INDEX(orderHistory[paye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YEAR(orderHistory[payed]),$D$15,0)),MATCH(ROW(orderHistory[customer]),ROW(orderHistory[customer])),""),ROWS($A$15:A58)+$B$3))),IF($D$15="",INDEX(orderHistory[payed],SMALL(IF(ISNUMBER(MATCH(orderHistory[customer],$D$9,0)*MATCH(orderHistory[status],$D$11,0)*MATCH(orderHistory[order_type],$D$13,0)),MATCH(ROW(orderHistory[customer]),ROW(orderHistory[customer])),""),ROWS($A$15:A58)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U53" s="454" t="str">
        <f t="array" ref="U53">IFERROR(IF($D$9="",IF($D$11="",IF($D$13="",IF($D$15="",INDEX(orderHistory[shipping_method],SMALL(MATCH(ROW(orderHistory[customer]),ROW(orderHistory[customer])),ROWS($A$15:A58)+$B$3)),INDEX(orderHistory[shipping_method],SMALL(IF(ISNUMBER(MATCH(YEAR(orderHistory[invoice_date]),$D$15,0)),MATCH(ROW(orderHistory[customer]),ROW(orderHistory[customer])),""),ROWS($A$15:A58)+$B$3))),IF($D$15="",INDEX(orderHistory[shipping_method],SMALL(IF(ISNUMBER(MATCH(orderHistory[order_type],$D$13,0)),MATCH(ROW(orderHistory[customer]),ROW(orderHistory[customer])),""),ROWS($A$15:A58)+$B$3)),INDEX(orderHistory[shipping_method],SMALL(IF(ISNUMBER(MATCH(orderHistory[order_type],$D$13,0)*MATCH(YEAR(orderHistory[invoice_date]),$D$15,0)),MATCH(ROW(orderHistory[customer]),ROW(orderHistory[customer])),""),ROWS($A$15:A58)+$B$3)))),IF($D$13="",IF($D$15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YEAR(orderHistory[invoice_date]),$D$15,0)),MATCH(ROW(orderHistory[customer]),ROW(orderHistory[customer])),""),ROWS($A$15:A58)+$B$3))),IF($D$15="",INDEX(orderHistory[shipping_method],SMALL(IF(ISNUMBER(MATCH(orderHistory[status],$D$11,0)*MATCH(orderHistory[order_type],$D$13,0)),MATCH(ROW(orderHistory[customer]),ROW(orderHistory[customer])),""),ROWS($A$15:A58)+$B$3)),INDEX(orderHistory[shipping_metho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YEAR(orderHistory[invoice_date]),$D$15,0)),MATCH(ROW(orderHistory[customer]),ROW(orderHistory[customer])),""),ROWS($A$15:A58)+$B$3))),IF($D$15="",INDEX(orderHistory[shipping_method],SMALL(IF(ISNUMBER(MATCH(orderHistory[customer],$D$9,0)*MATCH(orderHistory[order_type],$D$13,0)),MATCH(ROW(orderHistory[customer]),ROW(orderHistory[customer])),""),ROWS($A$15:A58)+$B$3)),INDEX(orderHistory[shipping_metho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YEAR(orderHistory[shipping_method]),$D$15,0)),MATCH(ROW(orderHistory[customer]),ROW(orderHistory[customer])),""),ROWS($A$15:A58)+$B$3))),IF($D$15="",INDEX(orderHistory[shipping_method],SMALL(IF(ISNUMBER(MATCH(orderHistory[customer],$D$9,0)*MATCH(orderHistory[status],$D$11,0)*MATCH(orderHistory[order_type],$D$13,0)),MATCH(ROW(orderHistory[customer]),ROW(orderHistory[customer])),""),ROWS($A$15:A58)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V53" s="460" t="str">
        <f t="array" ref="V53">IFERROR(IF($D$9="",IF($D$11="",IF($D$13="",IF($D$15="",INDEX(orderHistory[status],SMALL(MATCH(ROW(orderHistory[customer]),ROW(orderHistory[customer])),ROWS($A$15:A58)+$B$3)),INDEX(orderHistory[status],SMALL(IF(ISNUMBER(MATCH(YEAR(orderHistory[invoice_date]),$D$15,0)),MATCH(ROW(orderHistory[customer]),ROW(orderHistory[customer])),""),ROWS($A$15:A58)+$B$3))),IF($D$15="",INDEX(orderHistory[status],SMALL(IF(ISNUMBER(MATCH(orderHistory[order_type],$D$13,0)),MATCH(ROW(orderHistory[customer]),ROW(orderHistory[customer])),""),ROWS($A$15:A58)+$B$3)),INDEX(orderHistory[status],SMALL(IF(ISNUMBER(MATCH(orderHistory[order_type],$D$13,0)*MATCH(YEAR(orderHistory[invoice_date]),$D$15,0)),MATCH(ROW(orderHistory[customer]),ROW(orderHistory[customer])),""),ROWS($A$15:A58)+$B$3)))),IF($D$13="",IF($D$15="",INDEX(orderHistory[status],SMALL(IF(ISNUMBER(MATCH(orderHistory[status],$D$11,0)),MATCH(ROW(orderHistory[customer]),ROW(orderHistory[customer])),""),ROWS($A$15:A58)+$B$3)),INDEX(orderHistory[status],SMALL(IF(ISNUMBER(MATCH(orderHistory[status],$D$11,0)*MATCH(YEAR(orderHistory[invoice_date]),$D$15,0)),MATCH(ROW(orderHistory[customer]),ROW(orderHistory[customer])),""),ROWS($A$15:A58)+$B$3))),IF($D$15="",INDEX(orderHistory[status],SMALL(IF(ISNUMBER(MATCH(orderHistory[status],$D$11,0)*MATCH(orderHistory[order_type],$D$13,0)),MATCH(ROW(orderHistory[customer]),ROW(orderHistory[customer])),""),ROWS($A$15:A58)+$B$3)),INDEX(orderHistory[statu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tatus],SMALL(IF(ISNUMBER(MATCH(orderHistory[customer],$D$9,0)),MATCH(ROW(orderHistory[customer]),ROW(orderHistory[customer])),""),ROWS($A$15:A58)+$B$3)),INDEX(orderHistory[status],SMALL(IF(ISNUMBER(MATCH(orderHistory[customer],$D$9,0)*MATCH(YEAR(orderHistory[invoice_date]),$D$15,0)),MATCH(ROW(orderHistory[customer]),ROW(orderHistory[customer])),""),ROWS($A$15:A58)+$B$3))),IF($D$15="",INDEX(orderHistory[status],SMALL(IF(ISNUMBER(MATCH(orderHistory[customer],$D$9,0)*MATCH(orderHistory[order_type],$D$13,0)),MATCH(ROW(orderHistory[customer]),ROW(orderHistory[customer])),""),ROWS($A$15:A58)+$B$3)),INDEX(orderHistory[statu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YEAR(orderHistory[status]),$D$15,0)),MATCH(ROW(orderHistory[customer]),ROW(orderHistory[customer])),""),ROWS($A$15:A58)+$B$3))),IF($D$15="",INDEX(orderHistory[status],SMALL(IF(ISNUMBER(MATCH(orderHistory[customer],$D$9,0)*MATCH(orderHistory[status],$D$11,0)*MATCH(orderHistory[order_type],$D$13,0)),MATCH(ROW(orderHistory[customer]),ROW(orderHistory[customer])),""),ROWS($A$15:A58)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W53" s="75"/>
      <c r="X53" s="332"/>
      <c r="AQ53" s="350"/>
      <c r="AR53" s="350" t="s">
        <v>402</v>
      </c>
      <c r="BG53" s="245"/>
      <c r="BK53" s="366"/>
      <c r="BL53" s="367"/>
      <c r="BM53" s="368"/>
      <c r="BN53" s="367"/>
      <c r="BO53" s="368"/>
      <c r="BZ53" s="495"/>
      <c r="CA53" s="477" t="str">
        <f>IF(BZ53="","",INDEX(bhpc_data[description],MATCH(BZ53,bhpc_data[sku],0)))</f>
        <v/>
      </c>
      <c r="CB53" s="478"/>
      <c r="CC53" s="479"/>
      <c r="CD53" s="494"/>
      <c r="CE53" s="481"/>
      <c r="CF53" s="482"/>
      <c r="CG53" s="483" t="str">
        <f>IFERROR(ROUNDUP(CB53/INDEX(bhpc_data[units_per_carton],MATCH(BZ53,bhpc_data[sku],0)),0),"")</f>
        <v/>
      </c>
      <c r="CH53" s="484" t="str">
        <f>IFERROR(ROUNDUP(CD53/INDEX(bhpc_data[units_per_carton],MATCH(BZ53,bhpc_data[sku],0)),0),"")</f>
        <v/>
      </c>
      <c r="CI53" s="484" t="str">
        <f>IFERROR(ROUNDUP(CF53/INDEX(bhpc_data[units_per_carton],MATCH(BZ53,bhpc_data[sku])),0),"")</f>
        <v/>
      </c>
      <c r="CJ53" s="484" t="str">
        <f>IFERROR(((CB53+CD53+CF53)/INDEX(bhpc_data[units_per_carton],MATCH(BZ53,bhpc_data[sku],0)))*INDEX(bhpc_data[net_weight],MATCH(BZ53,bhpc_data[sku],0)),"")</f>
        <v/>
      </c>
      <c r="CK53" s="484" t="str">
        <f>IFERROR(((CB53+CD53+CF53)/INDEX(bhpc_data[units_per_carton],MATCH(BZ53,bhpc_data[sku],0)))*INDEX(bhpc_data[gross_weight],MATCH(BZ53,bhpc_data[sku],0)),"")</f>
        <v/>
      </c>
      <c r="CL53" s="485" t="str">
        <f>IFERROR((CB53+CD53+CF53)/INDEX(bhpc_data[units_per_carton],MATCH(BZ53,bhpc_data[sku],0))*INDEX(bhpc_data[lenght],MATCH(BZ53,bhpc_data[sku],0))*INDEX(bhpc_data[width],MATCH(BZ53,bhpc_data[sku],0))*INDEX(bhpc_data[height],MATCH(BZ53,bhpc_data[sku],0))/1000000000,"")</f>
        <v/>
      </c>
      <c r="CM53" s="486" t="str">
        <f>IFERROR(INDEX(bhpc_data[category],MATCH(BZ53,bhpc_data[sku],0)),"")</f>
        <v/>
      </c>
      <c r="CN53" s="486" t="str">
        <f>IFERROR(INDEX(bhpc_data[size1],MATCH(BZ53,bhpc_data[sku],0)),"")</f>
        <v/>
      </c>
      <c r="CO53" s="487" t="str">
        <f>IFERROR(INDEX(bhpc_data[hs_code],MATCH(BZ53,bhpc_data[sku],0)),"")</f>
        <v/>
      </c>
      <c r="CP53" s="482"/>
      <c r="CQ53" s="488" t="str">
        <f>IFERROR(IF(BZ53="","",IF($BX$15="SALE",INDEX(inventory[COSTO UNITARIO],MATCH(BZ53,inventory[ARTICOLO],0)),IF($BX$15="SAMPLING",INDEX(inventory[COSTO UNITARIO],MATCH(BZ53,inventory[ARTICOLO],0)),""))),"")</f>
        <v/>
      </c>
      <c r="CR53" s="488" t="str">
        <f t="shared" si="5"/>
        <v/>
      </c>
      <c r="CS53" s="489" t="str">
        <f t="shared" si="6"/>
        <v/>
      </c>
      <c r="CT53" s="573" t="str">
        <f t="shared" si="7"/>
        <v/>
      </c>
      <c r="CU53" s="350"/>
      <c r="CV53" s="350"/>
      <c r="CW53" s="350"/>
      <c r="CX53" s="350"/>
      <c r="CY53" s="350"/>
      <c r="CZ53" s="350"/>
      <c r="DA53" s="350" t="str">
        <f>IFERROR(VLOOKUP(BZ53,bhpc_data[],22,FALSE),"")</f>
        <v/>
      </c>
      <c r="EE53" s="541" t="str" cm="1">
        <f t="array" ref="EE53">IFERROR(IF($EC$9="",IF($EC$11="",IF($EC$13="",INDEX(bhpc_data[sku],SMALL(MATCH(ROW(bhpc_data[sku]),ROW(bhpc_data[sku])),ROWS($A$15:A58)+$B$3)),INDEX(bhpc_data[sku],SMALL(IF(ISNUMBER(MATCH(bhpc_data[size1],$EC$13,0)),MATCH(ROW(bhpc_data[sku]),ROW(bhpc_data[sku])),""),ROWS($A$15:A58)+$B$3))),IF($EC$13="",INDEX(bhpc_data[sku],SMALL(IF(ISNUMBER(MATCH(bhpc_data[sex],$EC$11,0)),MATCH(ROW(bhpc_data[sku]),ROW(bhpc_data[sku])),""),ROWS($A$15:A58)+$B$3)),INDEX(bhpc_data[sku],SMALL(IF(ISNUMBER(MATCH(bhpc_data[sex],$EC$11,0)*MATCH(bhpc_data[size1],$EC$13,0)),MATCH(ROW(bhpc_data[sku]),ROW(bhpc_data[sku])),""),ROWS($A$15:A58)+$B$3)))),IF($EC$11="",IF($EC$13="",INDEX(bhpc_data[sku],SMALL(IF(ISNUMBER(MATCH(bhpc_data[category],$EC$9,0)),MATCH(ROW(bhpc_data[sku]),ROW(bhpc_data[sku])),""),ROWS($A$15:A58)+$B$3)),INDEX(bhpc_data[sku],SMALL(IF(ISNUMBER(MATCH(bhpc_data[category],$EC$9,0)*MATCH(bhpc_data[size1],$EC$13,0)),MATCH(ROW(bhpc_data[sku]),ROW(bhpc_data[sku])),""),ROWS($A$15:A58)+$B$3))),IF($EC$13="",INDEX(bhpc_data[sku],SMALL(IF(ISNUMBER(MATCH(bhpc_data[category],$EC$9,0)*MATCH(bhpc_data[sex],$EC$11,0)),MATCH(ROW(bhpc_data[sku]),ROW(bhpc_data[sku])),""),ROWS($A$15:A58)+$B$3)),INDEX(bhpc_data[sku],SMALL(IF(ISNUMBER(MATCH(bhpc_data[category],$EC$9,0)*MATCH(bhpc_data[sex],$EC$11,0)*MATCH(bhpc_data[size1],$EC$13,0)),MATCH(ROW(bhpc_data[sku]),ROW(bhpc_data[sku])),""),ROWS($A$15:A58)+$B$3))))),"")</f>
        <v>P05009</v>
      </c>
      <c r="EF53" s="542" t="str" cm="1">
        <f t="array" ref="EF53">IFERROR(IF($EC$9="",IF($EC$11="",IF($EC$13="",INDEX(bhpc_data[description],SMALL(MATCH(ROW(bhpc_data[sku]),ROW(bhpc_data[sku])),ROWS($A$15:A58)+$B$3)),INDEX(bhpc_data[description],SMALL(IF(ISNUMBER(MATCH(bhpc_data[size1],$EC$13,0)),MATCH(ROW(bhpc_data[sku]),ROW(bhpc_data[sku])),""),ROWS($A$15:A58)+$B$3))),IF($EC$13="",INDEX(bhpc_data[description],SMALL(IF(ISNUMBER(MATCH(bhpc_data[sex],$EC$11,0)),MATCH(ROW(bhpc_data[sku]),ROW(bhpc_data[sku])),""),ROWS($A$15:A58)+$B$3)),INDEX(bhpc_data[description],SMALL(IF(ISNUMBER(MATCH(bhpc_data[sex],$EC$11,0)*MATCH(bhpc_data[size1],$EC$13,0)),MATCH(ROW(bhpc_data[sku]),ROW(bhpc_data[sku])),""),ROWS($A$15:A58)+$B$3)))),IF($EC$11="",IF($EC$13="",INDEX(bhpc_data[description],SMALL(IF(ISNUMBER(MATCH(bhpc_data[category],$EC$9,0)),MATCH(ROW(bhpc_data[sku]),ROW(bhpc_data[sku])),""),ROWS($A$15:A58)+$B$3)),INDEX(bhpc_data[description],SMALL(IF(ISNUMBER(MATCH(bhpc_data[category],$EC$9,0)*MATCH(bhpc_data[size1],$EC$13,0)),MATCH(ROW(bhpc_data[sku]),ROW(bhpc_data[sku])),""),ROWS($A$15:A58)+$B$3))),IF($EC$13="",INDEX(bhpc_data[description],SMALL(IF(ISNUMBER(MATCH(bhpc_data[category],$EC$9,0)*MATCH(bhpc_data[sex],$EC$11,0)),MATCH(ROW(bhpc_data[sku]),ROW(bhpc_data[sku])),""),ROWS($A$15:A58)+$B$3)),INDEX(bhpc_data[description],SMALL(IF(ISNUMBER(MATCH(bhpc_data[category],$EC$9,0)*MATCH(bhpc_data[sex],$EC$11,0)*MATCH(bhpc_data[size1],$EC$13,0)),MATCH(ROW(bhpc_data[sku]),ROW(bhpc_data[sku])),""),ROWS($A$15:A58)+$B$3))))),"")</f>
        <v>BHPC SPORT MEN 9 EDT 50ML</v>
      </c>
      <c r="EG53" s="543">
        <f>IFERROR(IF('BHPC MANAGER'!$EE53="","",INDEX(inventory[ESISTENZA],MATCH('BHPC MANAGER'!$EE53,inventory[ARTICOLO],0))),0)</f>
        <v>0</v>
      </c>
      <c r="EH53" s="544">
        <v>10210</v>
      </c>
      <c r="EI53" s="544">
        <f t="shared" si="3"/>
        <v>10210</v>
      </c>
      <c r="EJ53" s="545">
        <v>0</v>
      </c>
      <c r="EK53" s="546">
        <f t="shared" si="4"/>
        <v>10210</v>
      </c>
      <c r="EO53" s="245" t="str">
        <f t="array" ref="EO53">IFERROR(INDEX(orderHistory[order_no],SMALL(IF(ISNUMBER(MATCH(orderHistory[status],$EO$7,0)),MATCH(ROW(orderHistory[order_no]),ROW(orderHistory[order_no])),""),ROWS($A$15:A58))),"")</f>
        <v/>
      </c>
    </row>
    <row r="54" spans="10:145" ht="15" customHeight="1" x14ac:dyDescent="0.35">
      <c r="J54" s="332"/>
      <c r="K54" s="332"/>
      <c r="L54" s="452" t="str">
        <f t="array" ref="L54">IFERROR(IF($D$9="",IF($D$11="",IF($D$13="",IF($D$15="",INDEX(orderHistory[customer],SMALL(MATCH(ROW(orderHistory[customer]),ROW(orderHistory[customer])),ROWS($A$15:A59)+$B$3)),INDEX(orderHistory[customer],SMALL(IF(ISNUMBER(MATCH(YEAR(orderHistory[invoice_date]),$D$15,0)),MATCH(ROW(orderHistory[customer]),ROW(orderHistory[customer])),""),ROWS($A$15:A59)+$B$3))),IF($D$15="",INDEX(orderHistory[customer],SMALL(IF(ISNUMBER(MATCH(orderHistory[order_type],$D$13,0)),MATCH(ROW(orderHistory[customer]),ROW(orderHistory[customer])),""),ROWS($A$15:A59)+$B$3)),INDEX(orderHistory[customer],SMALL(IF(ISNUMBER(MATCH(orderHistory[order_type],$D$13,0)*MATCH(YEAR(orderHistory[invoice_date]),$D$15,0)),MATCH(ROW(orderHistory[customer]),ROW(orderHistory[customer])),""),ROWS($A$15:A59)+$B$3)))),IF($D$13="",IF($D$15="",INDEX(orderHistory[customer],SMALL(IF(ISNUMBER(MATCH(orderHistory[status],$D$11,0)),MATCH(ROW(orderHistory[customer]),ROW(orderHistory[customer])),""),ROWS($A$15:A59)+$B$3)),INDEX(orderHistory[customer],SMALL(IF(ISNUMBER(MATCH(orderHistory[status],$D$11,0)*MATCH(YEAR(orderHistory[invoice_date]),$D$15,0)),MATCH(ROW(orderHistory[customer]),ROW(orderHistory[customer])),""),ROWS($A$15:A59)+$B$3))),IF($D$15="",INDEX(orderHistory[customer],SMALL(IF(ISNUMBER(MATCH(orderHistory[status],$D$11,0)*MATCH(orderHistory[order_type],$D$13,0)),MATCH(ROW(orderHistory[customer]),ROW(orderHistory[customer])),""),ROWS($A$15:A59)+$B$3)),INDEX(orderHistory[customer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customer],SMALL(IF(ISNUMBER(MATCH(orderHistory[customer],$D$9,0)),MATCH(ROW(orderHistory[customer]),ROW(orderHistory[customer])),""),ROWS($A$15:A59)+$B$3)),INDEX(orderHistory[customer],SMALL(IF(ISNUMBER(MATCH(orderHistory[customer],$D$9,0)*MATCH(YEAR(orderHistory[invoice_date]),$D$15,0)),MATCH(ROW(orderHistory[customer]),ROW(orderHistory[customer])),""),ROWS($A$15:A59)+$B$3))),IF($D$15="",INDEX(orderHistory[customer],SMALL(IF(ISNUMBER(MATCH(orderHistory[customer],$D$9,0)*MATCH(orderHistory[order_type],$D$13,0)),MATCH(ROW(orderHistory[customer]),ROW(orderHistory[customer])),""),ROWS($A$15:A59)+$B$3)),INDEX(orderHistory[customer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YEAR(orderHistory[invoice_date]),$D$15,0)),MATCH(ROW(orderHistory[customer]),ROW(orderHistory[customer])),""),ROWS($A$15:A59)+$B$3))),IF($D$15="",INDEX(orderHistory[customer],SMALL(IF(ISNUMBER(MATCH(orderHistory[customer],$D$9,0)*MATCH(orderHistory[status],$D$11,0)*MATCH(orderHistory[order_type],$D$13,0)),MATCH(ROW(orderHistory[customer]),ROW(orderHistory[customer])),""),ROWS($A$15:A59)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M54" s="453" t="str">
        <f t="array" ref="M54">IFERROR(IF($D$9="",IF($D$11="",IF($D$13="",IF($D$15="",INDEX(orderHistory[order_no],SMALL(MATCH(ROW(orderHistory[customer]),ROW(orderHistory[customer])),ROWS($A$15:A59)+$B$3)),INDEX(orderHistory[order_no],SMALL(IF(ISNUMBER(MATCH(YEAR(orderHistory[invoice_date]),$D$15,0)),MATCH(ROW(orderHistory[customer]),ROW(orderHistory[customer])),""),ROWS($A$15:A59)+$B$3))),IF($D$15="",INDEX(orderHistory[order_no],SMALL(IF(ISNUMBER(MATCH(orderHistory[order_type],$D$13,0)),MATCH(ROW(orderHistory[customer]),ROW(orderHistory[customer])),""),ROWS($A$15:A59)+$B$3)),INDEX(orderHistory[order_no],SMALL(IF(ISNUMBER(MATCH(orderHistory[order_type],$D$13,0)*MATCH(YEAR(orderHistory[invoice_date]),$D$15,0)),MATCH(ROW(orderHistory[customer]),ROW(orderHistory[customer])),""),ROWS($A$15:A59)+$B$3)))),IF($D$13="",IF($D$15="",INDEX(orderHistory[order_no],SMALL(IF(ISNUMBER(MATCH(orderHistory[status],$D$11,0)),MATCH(ROW(orderHistory[customer]),ROW(orderHistory[customer])),""),ROWS($A$15:A59)+$B$3)),INDEX(orderHistory[order_no],SMALL(IF(ISNUMBER(MATCH(orderHistory[status],$D$11,0)*MATCH(YEAR(orderHistory[invoice_date]),$D$15,0)),MATCH(ROW(orderHistory[customer]),ROW(orderHistory[customer])),""),ROWS($A$15:A59)+$B$3))),IF($D$15="",INDEX(orderHistory[order_no],SMALL(IF(ISNUMBER(MATCH(orderHistory[status],$D$11,0)*MATCH(orderHistory[order_type],$D$13,0)),MATCH(ROW(orderHistory[customer]),ROW(orderHistory[customer])),""),ROWS($A$15:A59)+$B$3)),INDEX(orderHistory[order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no],SMALL(IF(ISNUMBER(MATCH(orderHistory[customer],$D$9,0)),MATCH(ROW(orderHistory[customer]),ROW(orderHistory[customer])),""),ROWS($A$15:A59)+$B$3)),INDEX(orderHistory[order_no],SMALL(IF(ISNUMBER(MATCH(orderHistory[customer],$D$9,0)*MATCH(YEAR(orderHistory[invoice_date]),$D$15,0)),MATCH(ROW(orderHistory[customer]),ROW(orderHistory[customer])),""),ROWS($A$15:A59)+$B$3))),IF($D$15="",INDEX(orderHistory[order_no],SMALL(IF(ISNUMBER(MATCH(orderHistory[customer],$D$9,0)*MATCH(orderHistory[order_type],$D$13,0)),MATCH(ROW(orderHistory[customer]),ROW(orderHistory[customer])),""),ROWS($A$15:A59)+$B$3)),INDEX(orderHistory[order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YEAR(orderHistory[invoice_date]),$D$15,0)),MATCH(ROW(orderHistory[customer]),ROW(orderHistory[customer])),""),ROWS($A$15:A59)+$B$3))),IF($D$15="",INDEX(orderHistory[order_no],SMALL(IF(ISNUMBER(MATCH(orderHistory[customer],$D$9,0)*MATCH(orderHistory[status],$D$11,0)*MATCH(orderHistory[order_type],$D$13,0)),MATCH(ROW(orderHistory[customer]),ROW(orderHistory[customer])),""),ROWS($A$15:A59)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N54" s="454" t="str">
        <f t="array" ref="N54">IFERROR(IF($D$9="",IF($D$11="",IF($D$13="",IF($D$15="",INDEX(orderHistory[order_type],SMALL(MATCH(ROW(orderHistory[customer]),ROW(orderHistory[customer])),ROWS($A$15:A59)+$B$3)),INDEX(orderHistory[order_type],SMALL(IF(ISNUMBER(MATCH(YEAR(orderHistory[invoice_date]),$D$15,0)),MATCH(ROW(orderHistory[customer]),ROW(orderHistory[customer])),""),ROWS($A$15:A59)+$B$3))),IF($D$15="",INDEX(orderHistory[order_type],SMALL(IF(ISNUMBER(MATCH(orderHistory[order_type],$D$13,0)),MATCH(ROW(orderHistory[customer]),ROW(orderHistory[customer])),""),ROWS($A$15:A59)+$B$3)),INDEX(orderHistory[order_type],SMALL(IF(ISNUMBER(MATCH(orderHistory[order_type],$D$13,0)*MATCH(YEAR(orderHistory[invoice_date]),$D$15,0)),MATCH(ROW(orderHistory[customer]),ROW(orderHistory[customer])),""),ROWS($A$15:A59)+$B$3)))),IF($D$13="",IF($D$15="",INDEX(orderHistory[order_type],SMALL(IF(ISNUMBER(MATCH(orderHistory[status],$D$11,0)),MATCH(ROW(orderHistory[customer]),ROW(orderHistory[customer])),""),ROWS($A$15:A59)+$B$3)),INDEX(orderHistory[order_type],SMALL(IF(ISNUMBER(MATCH(orderHistory[status],$D$11,0)*MATCH(YEAR(orderHistory[invoice_date]),$D$15,0)),MATCH(ROW(orderHistory[customer]),ROW(orderHistory[customer])),""),ROWS($A$15:A59)+$B$3))),IF($D$15="",INDEX(orderHistory[order_type],SMALL(IF(ISNUMBER(MATCH(orderHistory[status],$D$11,0)*MATCH(orderHistory[order_type],$D$13,0)),MATCH(ROW(orderHistory[customer]),ROW(orderHistory[customer])),""),ROWS($A$15:A59)+$B$3)),INDEX(orderHistory[order_typ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type],SMALL(IF(ISNUMBER(MATCH(orderHistory[customer],$D$9,0)),MATCH(ROW(orderHistory[customer]),ROW(orderHistory[customer])),""),ROWS($A$15:A59)+$B$3)),INDEX(orderHistory[order_type],SMALL(IF(ISNUMBER(MATCH(orderHistory[customer],$D$9,0)*MATCH(YEAR(orderHistory[invoice_date]),$D$15,0)),MATCH(ROW(orderHistory[customer]),ROW(orderHistory[customer])),""),ROWS($A$15:A59)+$B$3))),IF($D$15="",INDEX(orderHistory[order_type],SMALL(IF(ISNUMBER(MATCH(orderHistory[customer],$D$9,0)*MATCH(orderHistory[order_type],$D$13,0)),MATCH(ROW(orderHistory[customer]),ROW(orderHistory[customer])),""),ROWS($A$15:A59)+$B$3)),INDEX(orderHistory[order_typ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YEAR(orderHistory[invoice_date]),$D$15,0)),MATCH(ROW(orderHistory[customer]),ROW(orderHistory[customer])),""),ROWS($A$15:A59)+$B$3))),IF($D$15="",INDEX(orderHistory[order_type],SMALL(IF(ISNUMBER(MATCH(orderHistory[customer],$D$9,0)*MATCH(orderHistory[status],$D$11,0)*MATCH(orderHistory[order_type],$D$13,0)),MATCH(ROW(orderHistory[customer]),ROW(orderHistory[customer])),""),ROWS($A$15:A59)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O54" s="455" t="str">
        <f t="array" ref="O54">IFERROR(IF($D$9="",IF($D$11="",IF($D$13="",IF($D$15="",INDEX(orderHistory[order_date],SMALL(MATCH(ROW(orderHistory[customer]),ROW(orderHistory[customer])),ROWS($A$15:A59)+$B$3)),INDEX(orderHistory[order_date],SMALL(IF(ISNUMBER(MATCH(YEAR(orderHistory[invoice_date]),$D$15,0)),MATCH(ROW(orderHistory[customer]),ROW(orderHistory[customer])),""),ROWS($A$15:A59)+$B$3))),IF($D$15="",INDEX(orderHistory[order_date],SMALL(IF(ISNUMBER(MATCH(orderHistory[order_type],$D$13,0)),MATCH(ROW(orderHistory[customer]),ROW(orderHistory[customer])),""),ROWS($A$15:A59)+$B$3)),INDEX(orderHistory[order_date],SMALL(IF(ISNUMBER(MATCH(orderHistory[order_type],$D$13,0)*MATCH(YEAR(orderHistory[invoice_date]),$D$15,0)),MATCH(ROW(orderHistory[customer]),ROW(orderHistory[customer])),""),ROWS($A$15:A59)+$B$3)))),IF($D$13="",IF($D$15="",INDEX(orderHistory[order_date],SMALL(IF(ISNUMBER(MATCH(orderHistory[status],$D$11,0)),MATCH(ROW(orderHistory[customer]),ROW(orderHistory[customer])),""),ROWS($A$15:A59)+$B$3)),INDEX(orderHistory[order_date],SMALL(IF(ISNUMBER(MATCH(orderHistory[status],$D$11,0)*MATCH(YEAR(orderHistory[invoice_date]),$D$15,0)),MATCH(ROW(orderHistory[customer]),ROW(orderHistory[customer])),""),ROWS($A$15:A59)+$B$3))),IF($D$15="",INDEX(orderHistory[order_date],SMALL(IF(ISNUMBER(MATCH(orderHistory[status],$D$11,0)*MATCH(orderHistory[order_type],$D$13,0)),MATCH(ROW(orderHistory[customer]),ROW(orderHistory[customer])),""),ROWS($A$15:A59)+$B$3)),INDEX(orderHistory[order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date],SMALL(IF(ISNUMBER(MATCH(orderHistory[customer],$D$9,0)),MATCH(ROW(orderHistory[customer]),ROW(orderHistory[customer])),""),ROWS($A$15:A59)+$B$3)),INDEX(orderHistory[order_date],SMALL(IF(ISNUMBER(MATCH(orderHistory[customer],$D$9,0)*MATCH(YEAR(orderHistory[invoice_date]),$D$15,0)),MATCH(ROW(orderHistory[customer]),ROW(orderHistory[customer])),""),ROWS($A$15:A59)+$B$3))),IF($D$15="",INDEX(orderHistory[order_date],SMALL(IF(ISNUMBER(MATCH(orderHistory[customer],$D$9,0)*MATCH(orderHistory[order_type],$D$13,0)),MATCH(ROW(orderHistory[customer]),ROW(orderHistory[customer])),""),ROWS($A$15:A59)+$B$3)),INDEX(orderHistory[order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YEAR(orderHistory[invoice_date]),$D$15,0)),MATCH(ROW(orderHistory[customer]),ROW(orderHistory[customer])),""),ROWS($A$15:A59)+$B$3))),IF($D$15="",INDEX(orderHistory[order_date],SMALL(IF(ISNUMBER(MATCH(orderHistory[customer],$D$9,0)*MATCH(orderHistory[status],$D$11,0)*MATCH(orderHistory[order_type],$D$13,0)),MATCH(ROW(orderHistory[customer]),ROW(orderHistory[customer])),""),ROWS($A$15:A59)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P54" s="456" t="str">
        <f t="array" ref="P54">IFERROR(IF($D$9="",IF($D$11="",IF($D$13="",IF($D$15="",INDEX(orderHistory[invoice_no],SMALL(MATCH(ROW(orderHistory[customer]),ROW(orderHistory[customer])),ROWS($A$15:A59)+$B$3)),INDEX(orderHistory[invoice_no],SMALL(IF(ISNUMBER(MATCH(YEAR(orderHistory[invoice_date]),$D$15,0)),MATCH(ROW(orderHistory[customer]),ROW(orderHistory[customer])),""),ROWS($A$15:A59)+$B$3))),IF($D$15="",INDEX(orderHistory[invoice_no],SMALL(IF(ISNUMBER(MATCH(orderHistory[order_type],$D$13,0)),MATCH(ROW(orderHistory[customer]),ROW(orderHistory[customer])),""),ROWS($A$15:A59)+$B$3)),INDEX(orderHistory[invoice_no],SMALL(IF(ISNUMBER(MATCH(orderHistory[order_type],$D$13,0)*MATCH(YEAR(orderHistory[invoice_date]),$D$15,0)),MATCH(ROW(orderHistory[customer]),ROW(orderHistory[customer])),""),ROWS($A$15:A59)+$B$3)))),IF($D$13="",IF($D$15="",INDEX(orderHistory[invoice_no],SMALL(IF(ISNUMBER(MATCH(orderHistory[status],$D$11,0)),MATCH(ROW(orderHistory[customer]),ROW(orderHistory[customer])),""),ROWS($A$15:A59)+$B$3)),INDEX(orderHistory[invoice_no],SMALL(IF(ISNUMBER(MATCH(orderHistory[status],$D$11,0)*MATCH(YEAR(orderHistory[invoice_date]),$D$15,0)),MATCH(ROW(orderHistory[customer]),ROW(orderHistory[customer])),""),ROWS($A$15:A59)+$B$3))),IF($D$15="",INDEX(orderHistory[invoice_no],SMALL(IF(ISNUMBER(MATCH(orderHistory[status],$D$11,0)*MATCH(orderHistory[order_type],$D$13,0)),MATCH(ROW(orderHistory[customer]),ROW(orderHistory[customer])),""),ROWS($A$15:A59)+$B$3)),INDEX(orderHistory[invoice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no],SMALL(IF(ISNUMBER(MATCH(orderHistory[customer],$D$9,0)),MATCH(ROW(orderHistory[customer]),ROW(orderHistory[customer])),""),ROWS($A$15:A59)+$B$3)),INDEX(orderHistory[invoice_no],SMALL(IF(ISNUMBER(MATCH(orderHistory[customer],$D$9,0)*MATCH(YEAR(orderHistory[invoice_date]),$D$15,0)),MATCH(ROW(orderHistory[customer]),ROW(orderHistory[customer])),""),ROWS($A$15:A59)+$B$3))),IF($D$15="",INDEX(orderHistory[invoice_no],SMALL(IF(ISNUMBER(MATCH(orderHistory[customer],$D$9,0)*MATCH(orderHistory[order_type],$D$13,0)),MATCH(ROW(orderHistory[customer]),ROW(orderHistory[customer])),""),ROWS($A$15:A59)+$B$3)),INDEX(orderHistory[invoice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YEAR(orderHistory[invoice_date]),$D$15,0)),MATCH(ROW(orderHistory[customer]),ROW(orderHistory[customer])),""),ROWS($A$15:A59)+$B$3))),IF($D$15="",INDEX(orderHistory[invoice_no],SMALL(IF(ISNUMBER(MATCH(orderHistory[customer],$D$9,0)*MATCH(orderHistory[status],$D$11,0)*MATCH(orderHistory[order_type],$D$13,0)),MATCH(ROW(orderHistory[customer]),ROW(orderHistory[customer])),""),ROWS($A$15:A59)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Q54" s="457" t="str">
        <f t="array" ref="Q54">IFERROR(IF($D$9="",IF($D$11="",IF($D$13="",IF($D$15="",INDEX(orderHistory[invoice_date],SMALL(MATCH(ROW(orderHistory[customer]),ROW(orderHistory[customer])),ROWS($A$15:A59)+$B$3)),INDEX(orderHistory[invoice_date],SMALL(IF(ISNUMBER(MATCH(YEAR(orderHistory[invoice_date]),$D$15,0)),MATCH(ROW(orderHistory[customer]),ROW(orderHistory[customer])),""),ROWS($A$15:A59)+$B$3))),IF($D$15="",INDEX(orderHistory[invoice_date],SMALL(IF(ISNUMBER(MATCH(orderHistory[order_type],$D$13,0)),MATCH(ROW(orderHistory[customer]),ROW(orderHistory[customer])),""),ROWS($A$15:A59)+$B$3)),INDEX(orderHistory[invoice_date],SMALL(IF(ISNUMBER(MATCH(orderHistory[order_type],$D$13,0)*MATCH(YEAR(orderHistory[invoice_date]),$D$15,0)),MATCH(ROW(orderHistory[customer]),ROW(orderHistory[customer])),""),ROWS($A$15:A59)+$B$3)))),IF($D$13="",IF($D$15="",INDEX(orderHistory[invoice_date],SMALL(IF(ISNUMBER(MATCH(orderHistory[status],$D$11,0)),MATCH(ROW(orderHistory[customer]),ROW(orderHistory[customer])),""),ROWS($A$15:A59)+$B$3)),INDEX(orderHistory[invoice_date],SMALL(IF(ISNUMBER(MATCH(orderHistory[status],$D$11,0)*MATCH(YEAR(orderHistory[invoice_date]),$D$15,0)),MATCH(ROW(orderHistory[customer]),ROW(orderHistory[customer])),""),ROWS($A$15:A59)+$B$3))),IF($D$15="",INDEX(orderHistory[invoice_date],SMALL(IF(ISNUMBER(MATCH(orderHistory[status],$D$11,0)*MATCH(orderHistory[order_type],$D$13,0)),MATCH(ROW(orderHistory[customer]),ROW(orderHistory[customer])),""),ROWS($A$15:A59)+$B$3)),INDEX(orderHistory[invoice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date],SMALL(IF(ISNUMBER(MATCH(orderHistory[customer],$D$9,0)),MATCH(ROW(orderHistory[customer]),ROW(orderHistory[customer])),""),ROWS($A$15:A59)+$B$3)),INDEX(orderHistory[invoice_date],SMALL(IF(ISNUMBER(MATCH(orderHistory[customer],$D$9,0)*MATCH(YEAR(orderHistory[invoice_date]),$D$15,0)),MATCH(ROW(orderHistory[customer]),ROW(orderHistory[customer])),""),ROWS($A$15:A59)+$B$3))),IF($D$15="",INDEX(orderHistory[invoice_date],SMALL(IF(ISNUMBER(MATCH(orderHistory[customer],$D$9,0)*MATCH(orderHistory[order_type],$D$13,0)),MATCH(ROW(orderHistory[customer]),ROW(orderHistory[customer])),""),ROWS($A$15:A59)+$B$3)),INDEX(orderHistory[invoice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YEAR(orderHistory[invoice_date]),$D$15,0)),MATCH(ROW(orderHistory[customer]),ROW(orderHistory[customer])),""),ROWS($A$15:A59)+$B$3))),IF($D$15="",INDEX(orderHistory[invoice_date],SMALL(IF(ISNUMBER(MATCH(orderHistory[customer],$D$9,0)*MATCH(orderHistory[status],$D$11,0)*MATCH(orderHistory[order_type],$D$13,0)),MATCH(ROW(orderHistory[customer]),ROW(orderHistory[customer])),""),ROWS($A$15:A59)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R54" s="458" t="str">
        <f t="array" ref="R54">IFERROR(IF($D$9="",IF($D$11="",IF($D$13="",IF($D$15="",INDEX(orderHistory[inv_amount],SMALL(MATCH(ROW(orderHistory[customer]),ROW(orderHistory[customer])),ROWS($A$15:A59)+$B$3)),INDEX(orderHistory[inv_amount],SMALL(IF(ISNUMBER(MATCH(YEAR(orderHistory[invoice_date]),$D$15,0)),MATCH(ROW(orderHistory[customer]),ROW(orderHistory[customer])),""),ROWS($A$15:A59)+$B$3))),IF($D$15="",INDEX(orderHistory[inv_amount],SMALL(IF(ISNUMBER(MATCH(orderHistory[order_type],$D$13,0)),MATCH(ROW(orderHistory[customer]),ROW(orderHistory[customer])),""),ROWS($A$15:A59)+$B$3)),INDEX(orderHistory[inv_amount],SMALL(IF(ISNUMBER(MATCH(orderHistory[order_type],$D$13,0)*MATCH(YEAR(orderHistory[invoice_date]),$D$15,0)),MATCH(ROW(orderHistory[customer]),ROW(orderHistory[customer])),""),ROWS($A$15:A59)+$B$3)))),IF($D$13="",IF($D$15="",INDEX(orderHistory[inv_amount],SMALL(IF(ISNUMBER(MATCH(orderHistory[status],$D$11,0)),MATCH(ROW(orderHistory[customer]),ROW(orderHistory[customer])),""),ROWS($A$15:A59)+$B$3)),INDEX(orderHistory[inv_amount],SMALL(IF(ISNUMBER(MATCH(orderHistory[status],$D$11,0)*MATCH(YEAR(orderHistory[invoice_date]),$D$15,0)),MATCH(ROW(orderHistory[customer]),ROW(orderHistory[customer])),""),ROWS($A$15:A59)+$B$3))),IF($D$15="",INDEX(orderHistory[inv_amount],SMALL(IF(ISNUMBER(MATCH(orderHistory[status],$D$11,0)*MATCH(orderHistory[order_type],$D$13,0)),MATCH(ROW(orderHistory[customer]),ROW(orderHistory[customer])),""),ROWS($A$15:A59)+$B$3)),INDEX(orderHistory[inv_amount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_amount],SMALL(IF(ISNUMBER(MATCH(orderHistory[customer],$D$9,0)),MATCH(ROW(orderHistory[customer]),ROW(orderHistory[customer])),""),ROWS($A$15:A59)+$B$3)),INDEX(orderHistory[inv_amount],SMALL(IF(ISNUMBER(MATCH(orderHistory[customer],$D$9,0)*MATCH(YEAR(orderHistory[invoice_date]),$D$15,0)),MATCH(ROW(orderHistory[customer]),ROW(orderHistory[customer])),""),ROWS($A$15:A59)+$B$3))),IF($D$15="",INDEX(orderHistory[inv_amount],SMALL(IF(ISNUMBER(MATCH(orderHistory[customer],$D$9,0)*MATCH(orderHistory[order_type],$D$13,0)),MATCH(ROW(orderHistory[customer]),ROW(orderHistory[customer])),""),ROWS($A$15:A59)+$B$3)),INDEX(orderHistory[inv_amount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YEAR(orderHistory[inv_amount]),$D$15,0)),MATCH(ROW(orderHistory[customer]),ROW(orderHistory[customer])),""),ROWS($A$15:A59)+$B$3))),IF($D$15="",INDEX(orderHistory[inv_amount],SMALL(IF(ISNUMBER(MATCH(orderHistory[customer],$D$9,0)*MATCH(orderHistory[status],$D$11,0)*MATCH(orderHistory[order_type],$D$13,0)),MATCH(ROW(orderHistory[customer]),ROW(orderHistory[customer])),""),ROWS($A$15:A59)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S54" s="569" t="str">
        <f t="array" ref="S54">IFERROR(IF($D$9="",IF($D$11="",IF($D$13="",IF($D$15="",INDEX(orderHistory[lock_goods],SMALL(MATCH(ROW(orderHistory[customer]),ROW(orderHistory[customer])),ROWS($A$15:A59)+$B$3)),INDEX(orderHistory[lock_goods],SMALL(IF(ISNUMBER(MATCH(YEAR(orderHistory[invoice_date]),$D$15,0)),MATCH(ROW(orderHistory[customer]),ROW(orderHistory[customer])),""),ROWS($A$15:A59)+$B$3))),IF($D$15="",INDEX(orderHistory[lock_goods],SMALL(IF(ISNUMBER(MATCH(orderHistory[order_type],$D$13,0)),MATCH(ROW(orderHistory[customer]),ROW(orderHistory[customer])),""),ROWS($A$15:A59)+$B$3)),INDEX(orderHistory[lock_goods],SMALL(IF(ISNUMBER(MATCH(orderHistory[order_type],$D$13,0)*MATCH(YEAR(orderHistory[invoice_date]),$D$15,0)),MATCH(ROW(orderHistory[customer]),ROW(orderHistory[customer])),""),ROWS($A$15:A59)+$B$3)))),IF($D$13="",IF($D$15="",INDEX(orderHistory[lock_goods],SMALL(IF(ISNUMBER(MATCH(orderHistory[status],$D$11,0)),MATCH(ROW(orderHistory[customer]),ROW(orderHistory[customer])),""),ROWS($A$15:A59)+$B$3)),INDEX(orderHistory[lock_goods],SMALL(IF(ISNUMBER(MATCH(orderHistory[status],$D$11,0)*MATCH(YEAR(orderHistory[invoice_date]),$D$15,0)),MATCH(ROW(orderHistory[customer]),ROW(orderHistory[customer])),""),ROWS($A$15:A59)+$B$3))),IF($D$15="",INDEX(orderHistory[lock_goods],SMALL(IF(ISNUMBER(MATCH(orderHistory[status],$D$11,0)*MATCH(orderHistory[order_type],$D$13,0)),MATCH(ROW(orderHistory[customer]),ROW(orderHistory[customer])),""),ROWS($A$15:A59)+$B$3)),INDEX(orderHistory[lock_good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lock_goods],SMALL(IF(ISNUMBER(MATCH(orderHistory[customer],$D$9,0)),MATCH(ROW(orderHistory[customer]),ROW(orderHistory[customer])),""),ROWS($A$15:A59)+$B$3)),INDEX(orderHistory[lock_goods],SMALL(IF(ISNUMBER(MATCH(orderHistory[customer],$D$9,0)*MATCH(YEAR(orderHistory[invoice_date]),$D$15,0)),MATCH(ROW(orderHistory[customer]),ROW(orderHistory[customer])),""),ROWS($A$15:A59)+$B$3))),IF($D$15="",INDEX(orderHistory[lock_goods],SMALL(IF(ISNUMBER(MATCH(orderHistory[customer],$D$9,0)*MATCH(orderHistory[order_type],$D$13,0)),MATCH(ROW(orderHistory[customer]),ROW(orderHistory[customer])),""),ROWS($A$15:A59)+$B$3)),INDEX(orderHistory[lock_good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lock_goods],SMALL(IF(ISNUMBER(MATCH(orderHistory[customer],$D$9,0)*MATCH(orderHistory[status],$D$11,0)),MATCH(ROW(orderHistory[customer]),ROW(orderHistory[customer])),""),ROWS($A$15:A59)+$B$3)),INDEX(orderHistory[lock_goods],SMALL(IF(ISNUMBER(MATCH(orderHistory[customer],$D$9,0)*MATCH(orderHistory[status],$D$11,0)*MATCH(YEAR(orderHistory[payed]),$D$15,0)),MATCH(ROW(orderHistory[customer]),ROW(orderHistory[customer])),""),ROWS($A$15:A59)+$B$3))),IF($D$15="",INDEX(orderHistory[lock_goods],SMALL(IF(ISNUMBER(MATCH(orderHistory[customer],$D$9,0)*MATCH(orderHistory[status],$D$11,0)*MATCH(orderHistory[order_type],$D$13,0)),MATCH(ROW(orderHistory[customer]),ROW(orderHistory[customer])),""),ROWS($A$15:A59)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T54" s="459" t="str">
        <f t="array" ref="T54">IFERROR(IF($D$9="",IF($D$11="",IF($D$13="",IF($D$15="",INDEX(orderHistory[payed],SMALL(MATCH(ROW(orderHistory[customer]),ROW(orderHistory[customer])),ROWS($A$15:A59)+$B$3)),INDEX(orderHistory[payed],SMALL(IF(ISNUMBER(MATCH(YEAR(orderHistory[invoice_date]),$D$15,0)),MATCH(ROW(orderHistory[customer]),ROW(orderHistory[customer])),""),ROWS($A$15:A59)+$B$3))),IF($D$15="",INDEX(orderHistory[payed],SMALL(IF(ISNUMBER(MATCH(orderHistory[order_type],$D$13,0)),MATCH(ROW(orderHistory[customer]),ROW(orderHistory[customer])),""),ROWS($A$15:A59)+$B$3)),INDEX(orderHistory[payed],SMALL(IF(ISNUMBER(MATCH(orderHistory[order_type],$D$13,0)*MATCH(YEAR(orderHistory[invoice_date]),$D$15,0)),MATCH(ROW(orderHistory[customer]),ROW(orderHistory[customer])),""),ROWS($A$15:A59)+$B$3)))),IF($D$13="",IF($D$15="",INDEX(orderHistory[payed],SMALL(IF(ISNUMBER(MATCH(orderHistory[status],$D$11,0)),MATCH(ROW(orderHistory[customer]),ROW(orderHistory[customer])),""),ROWS($A$15:A59)+$B$3)),INDEX(orderHistory[payed],SMALL(IF(ISNUMBER(MATCH(orderHistory[status],$D$11,0)*MATCH(YEAR(orderHistory[invoice_date]),$D$15,0)),MATCH(ROW(orderHistory[customer]),ROW(orderHistory[customer])),""),ROWS($A$15:A59)+$B$3))),IF($D$15="",INDEX(orderHistory[payed],SMALL(IF(ISNUMBER(MATCH(orderHistory[status],$D$11,0)*MATCH(orderHistory[order_type],$D$13,0)),MATCH(ROW(orderHistory[customer]),ROW(orderHistory[customer])),""),ROWS($A$15:A59)+$B$3)),INDEX(orderHistory[paye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payed],SMALL(IF(ISNUMBER(MATCH(orderHistory[customer],$D$9,0)),MATCH(ROW(orderHistory[customer]),ROW(orderHistory[customer])),""),ROWS($A$15:A59)+$B$3)),INDEX(orderHistory[payed],SMALL(IF(ISNUMBER(MATCH(orderHistory[customer],$D$9,0)*MATCH(YEAR(orderHistory[invoice_date]),$D$15,0)),MATCH(ROW(orderHistory[customer]),ROW(orderHistory[customer])),""),ROWS($A$15:A59)+$B$3))),IF($D$15="",INDEX(orderHistory[payed],SMALL(IF(ISNUMBER(MATCH(orderHistory[customer],$D$9,0)*MATCH(orderHistory[order_type],$D$13,0)),MATCH(ROW(orderHistory[customer]),ROW(orderHistory[customer])),""),ROWS($A$15:A59)+$B$3)),INDEX(orderHistory[paye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YEAR(orderHistory[payed]),$D$15,0)),MATCH(ROW(orderHistory[customer]),ROW(orderHistory[customer])),""),ROWS($A$15:A59)+$B$3))),IF($D$15="",INDEX(orderHistory[payed],SMALL(IF(ISNUMBER(MATCH(orderHistory[customer],$D$9,0)*MATCH(orderHistory[status],$D$11,0)*MATCH(orderHistory[order_type],$D$13,0)),MATCH(ROW(orderHistory[customer]),ROW(orderHistory[customer])),""),ROWS($A$15:A59)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U54" s="454" t="str">
        <f t="array" ref="U54">IFERROR(IF($D$9="",IF($D$11="",IF($D$13="",IF($D$15="",INDEX(orderHistory[shipping_method],SMALL(MATCH(ROW(orderHistory[customer]),ROW(orderHistory[customer])),ROWS($A$15:A59)+$B$3)),INDEX(orderHistory[shipping_method],SMALL(IF(ISNUMBER(MATCH(YEAR(orderHistory[invoice_date]),$D$15,0)),MATCH(ROW(orderHistory[customer]),ROW(orderHistory[customer])),""),ROWS($A$15:A59)+$B$3))),IF($D$15="",INDEX(orderHistory[shipping_method],SMALL(IF(ISNUMBER(MATCH(orderHistory[order_type],$D$13,0)),MATCH(ROW(orderHistory[customer]),ROW(orderHistory[customer])),""),ROWS($A$15:A59)+$B$3)),INDEX(orderHistory[shipping_method],SMALL(IF(ISNUMBER(MATCH(orderHistory[order_type],$D$13,0)*MATCH(YEAR(orderHistory[invoice_date]),$D$15,0)),MATCH(ROW(orderHistory[customer]),ROW(orderHistory[customer])),""),ROWS($A$15:A59)+$B$3)))),IF($D$13="",IF($D$15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YEAR(orderHistory[invoice_date]),$D$15,0)),MATCH(ROW(orderHistory[customer]),ROW(orderHistory[customer])),""),ROWS($A$15:A59)+$B$3))),IF($D$15="",INDEX(orderHistory[shipping_method],SMALL(IF(ISNUMBER(MATCH(orderHistory[status],$D$11,0)*MATCH(orderHistory[order_type],$D$13,0)),MATCH(ROW(orderHistory[customer]),ROW(orderHistory[customer])),""),ROWS($A$15:A59)+$B$3)),INDEX(orderHistory[shipping_metho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YEAR(orderHistory[invoice_date]),$D$15,0)),MATCH(ROW(orderHistory[customer]),ROW(orderHistory[customer])),""),ROWS($A$15:A59)+$B$3))),IF($D$15="",INDEX(orderHistory[shipping_method],SMALL(IF(ISNUMBER(MATCH(orderHistory[customer],$D$9,0)*MATCH(orderHistory[order_type],$D$13,0)),MATCH(ROW(orderHistory[customer]),ROW(orderHistory[customer])),""),ROWS($A$15:A59)+$B$3)),INDEX(orderHistory[shipping_metho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YEAR(orderHistory[shipping_method]),$D$15,0)),MATCH(ROW(orderHistory[customer]),ROW(orderHistory[customer])),""),ROWS($A$15:A59)+$B$3))),IF($D$15="",INDEX(orderHistory[shipping_method],SMALL(IF(ISNUMBER(MATCH(orderHistory[customer],$D$9,0)*MATCH(orderHistory[status],$D$11,0)*MATCH(orderHistory[order_type],$D$13,0)),MATCH(ROW(orderHistory[customer]),ROW(orderHistory[customer])),""),ROWS($A$15:A59)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V54" s="460" t="str">
        <f t="array" ref="V54">IFERROR(IF($D$9="",IF($D$11="",IF($D$13="",IF($D$15="",INDEX(orderHistory[status],SMALL(MATCH(ROW(orderHistory[customer]),ROW(orderHistory[customer])),ROWS($A$15:A59)+$B$3)),INDEX(orderHistory[status],SMALL(IF(ISNUMBER(MATCH(YEAR(orderHistory[invoice_date]),$D$15,0)),MATCH(ROW(orderHistory[customer]),ROW(orderHistory[customer])),""),ROWS($A$15:A59)+$B$3))),IF($D$15="",INDEX(orderHistory[status],SMALL(IF(ISNUMBER(MATCH(orderHistory[order_type],$D$13,0)),MATCH(ROW(orderHistory[customer]),ROW(orderHistory[customer])),""),ROWS($A$15:A59)+$B$3)),INDEX(orderHistory[status],SMALL(IF(ISNUMBER(MATCH(orderHistory[order_type],$D$13,0)*MATCH(YEAR(orderHistory[invoice_date]),$D$15,0)),MATCH(ROW(orderHistory[customer]),ROW(orderHistory[customer])),""),ROWS($A$15:A59)+$B$3)))),IF($D$13="",IF($D$15="",INDEX(orderHistory[status],SMALL(IF(ISNUMBER(MATCH(orderHistory[status],$D$11,0)),MATCH(ROW(orderHistory[customer]),ROW(orderHistory[customer])),""),ROWS($A$15:A59)+$B$3)),INDEX(orderHistory[status],SMALL(IF(ISNUMBER(MATCH(orderHistory[status],$D$11,0)*MATCH(YEAR(orderHistory[invoice_date]),$D$15,0)),MATCH(ROW(orderHistory[customer]),ROW(orderHistory[customer])),""),ROWS($A$15:A59)+$B$3))),IF($D$15="",INDEX(orderHistory[status],SMALL(IF(ISNUMBER(MATCH(orderHistory[status],$D$11,0)*MATCH(orderHistory[order_type],$D$13,0)),MATCH(ROW(orderHistory[customer]),ROW(orderHistory[customer])),""),ROWS($A$15:A59)+$B$3)),INDEX(orderHistory[statu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tatus],SMALL(IF(ISNUMBER(MATCH(orderHistory[customer],$D$9,0)),MATCH(ROW(orderHistory[customer]),ROW(orderHistory[customer])),""),ROWS($A$15:A59)+$B$3)),INDEX(orderHistory[status],SMALL(IF(ISNUMBER(MATCH(orderHistory[customer],$D$9,0)*MATCH(YEAR(orderHistory[invoice_date]),$D$15,0)),MATCH(ROW(orderHistory[customer]),ROW(orderHistory[customer])),""),ROWS($A$15:A59)+$B$3))),IF($D$15="",INDEX(orderHistory[status],SMALL(IF(ISNUMBER(MATCH(orderHistory[customer],$D$9,0)*MATCH(orderHistory[order_type],$D$13,0)),MATCH(ROW(orderHistory[customer]),ROW(orderHistory[customer])),""),ROWS($A$15:A59)+$B$3)),INDEX(orderHistory[statu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YEAR(orderHistory[status]),$D$15,0)),MATCH(ROW(orderHistory[customer]),ROW(orderHistory[customer])),""),ROWS($A$15:A59)+$B$3))),IF($D$15="",INDEX(orderHistory[status],SMALL(IF(ISNUMBER(MATCH(orderHistory[customer],$D$9,0)*MATCH(orderHistory[status],$D$11,0)*MATCH(orderHistory[order_type],$D$13,0)),MATCH(ROW(orderHistory[customer]),ROW(orderHistory[customer])),""),ROWS($A$15:A59)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W54" s="75"/>
      <c r="X54" s="332"/>
      <c r="AQ54" s="350"/>
      <c r="AR54" s="350" t="s">
        <v>608</v>
      </c>
      <c r="BG54" s="245"/>
      <c r="BK54" s="366"/>
      <c r="BL54" s="367"/>
      <c r="BM54" s="368"/>
      <c r="BN54" s="367"/>
      <c r="BO54" s="368"/>
      <c r="BZ54" s="497"/>
      <c r="CA54" s="477" t="str">
        <f>IF(BZ54="","",INDEX(bhpc_data[description],MATCH(BZ54,bhpc_data[sku],0)))</f>
        <v/>
      </c>
      <c r="CB54" s="480"/>
      <c r="CC54" s="479"/>
      <c r="CD54" s="494"/>
      <c r="CE54" s="481"/>
      <c r="CF54" s="482"/>
      <c r="CG54" s="483" t="str">
        <f>IFERROR(ROUNDUP(CB54/INDEX(bhpc_data[units_per_carton],MATCH(BZ54,bhpc_data[sku],0)),0),"")</f>
        <v/>
      </c>
      <c r="CH54" s="484" t="str">
        <f>IFERROR(ROUNDUP(CD54/INDEX(bhpc_data[units_per_carton],MATCH(BZ54,bhpc_data[sku],0)),0),"")</f>
        <v/>
      </c>
      <c r="CI54" s="484" t="str">
        <f>IFERROR(ROUNDUP(CF54/INDEX(bhpc_data[units_per_carton],MATCH(BZ54,bhpc_data[sku])),0),"")</f>
        <v/>
      </c>
      <c r="CJ54" s="484" t="str">
        <f>IFERROR(((CB54+CD54+CF54)/INDEX(bhpc_data[units_per_carton],MATCH(BZ54,bhpc_data[sku],0)))*INDEX(bhpc_data[net_weight],MATCH(BZ54,bhpc_data[sku],0)),"")</f>
        <v/>
      </c>
      <c r="CK54" s="484" t="str">
        <f>IFERROR(((CB54+CD54+CF54)/INDEX(bhpc_data[units_per_carton],MATCH(BZ54,bhpc_data[sku],0)))*INDEX(bhpc_data[gross_weight],MATCH(BZ54,bhpc_data[sku],0)),"")</f>
        <v/>
      </c>
      <c r="CL54" s="485" t="str">
        <f>IFERROR((CB54+CD54+CF54)/INDEX(bhpc_data[units_per_carton],MATCH(BZ54,bhpc_data[sku],0))*INDEX(bhpc_data[lenght],MATCH(BZ54,bhpc_data[sku],0))*INDEX(bhpc_data[width],MATCH(BZ54,bhpc_data[sku],0))*INDEX(bhpc_data[height],MATCH(BZ54,bhpc_data[sku],0))/1000000000,"")</f>
        <v/>
      </c>
      <c r="CM54" s="486" t="str">
        <f>IFERROR(INDEX(bhpc_data[category],MATCH(BZ54,bhpc_data[sku],0)),"")</f>
        <v/>
      </c>
      <c r="CN54" s="486" t="str">
        <f>IFERROR(INDEX(bhpc_data[size1],MATCH(BZ54,bhpc_data[sku],0)),"")</f>
        <v/>
      </c>
      <c r="CO54" s="487" t="str">
        <f>IFERROR(INDEX(bhpc_data[hs_code],MATCH(BZ54,bhpc_data[sku],0)),"")</f>
        <v/>
      </c>
      <c r="CP54" s="482"/>
      <c r="CQ54" s="488" t="str">
        <f>IFERROR(IF(BZ54="","",IF($BX$15="SALE",INDEX(inventory[COSTO UNITARIO],MATCH(BZ54,inventory[ARTICOLO],0)),IF($BX$15="SAMPLING",INDEX(inventory[COSTO UNITARIO],MATCH(BZ54,inventory[ARTICOLO],0)),""))),"")</f>
        <v/>
      </c>
      <c r="CR54" s="488" t="str">
        <f t="shared" si="5"/>
        <v/>
      </c>
      <c r="CS54" s="489" t="str">
        <f t="shared" si="6"/>
        <v/>
      </c>
      <c r="CT54" s="573" t="str">
        <f t="shared" si="7"/>
        <v/>
      </c>
      <c r="CU54" s="350"/>
      <c r="CV54" s="350"/>
      <c r="CW54" s="350"/>
      <c r="CX54" s="350"/>
      <c r="CY54" s="350"/>
      <c r="CZ54" s="350"/>
      <c r="DA54" s="350" t="str">
        <f>IFERROR(VLOOKUP(BZ54,bhpc_data[],22,FALSE),"")</f>
        <v/>
      </c>
      <c r="EE54" s="547" t="str" cm="1">
        <f t="array" ref="EE54">IFERROR(IF($EC$9="",IF($EC$11="",IF($EC$13="",INDEX(bhpc_data[sku],SMALL(MATCH(ROW(bhpc_data[sku]),ROW(bhpc_data[sku])),ROWS($A$15:A59)+$B$3)),INDEX(bhpc_data[sku],SMALL(IF(ISNUMBER(MATCH(bhpc_data[size1],$EC$13,0)),MATCH(ROW(bhpc_data[sku]),ROW(bhpc_data[sku])),""),ROWS($A$15:A59)+$B$3))),IF($EC$13="",INDEX(bhpc_data[sku],SMALL(IF(ISNUMBER(MATCH(bhpc_data[sex],$EC$11,0)),MATCH(ROW(bhpc_data[sku]),ROW(bhpc_data[sku])),""),ROWS($A$15:A59)+$B$3)),INDEX(bhpc_data[sku],SMALL(IF(ISNUMBER(MATCH(bhpc_data[sex],$EC$11,0)*MATCH(bhpc_data[size1],$EC$13,0)),MATCH(ROW(bhpc_data[sku]),ROW(bhpc_data[sku])),""),ROWS($A$15:A59)+$B$3)))),IF($EC$11="",IF($EC$13="",INDEX(bhpc_data[sku],SMALL(IF(ISNUMBER(MATCH(bhpc_data[category],$EC$9,0)),MATCH(ROW(bhpc_data[sku]),ROW(bhpc_data[sku])),""),ROWS($A$15:A59)+$B$3)),INDEX(bhpc_data[sku],SMALL(IF(ISNUMBER(MATCH(bhpc_data[category],$EC$9,0)*MATCH(bhpc_data[size1],$EC$13,0)),MATCH(ROW(bhpc_data[sku]),ROW(bhpc_data[sku])),""),ROWS($A$15:A59)+$B$3))),IF($EC$13="",INDEX(bhpc_data[sku],SMALL(IF(ISNUMBER(MATCH(bhpc_data[category],$EC$9,0)*MATCH(bhpc_data[sex],$EC$11,0)),MATCH(ROW(bhpc_data[sku]),ROW(bhpc_data[sku])),""),ROWS($A$15:A59)+$B$3)),INDEX(bhpc_data[sku],SMALL(IF(ISNUMBER(MATCH(bhpc_data[category],$EC$9,0)*MATCH(bhpc_data[sex],$EC$11,0)*MATCH(bhpc_data[size1],$EC$13,0)),MATCH(ROW(bhpc_data[sku]),ROW(bhpc_data[sku])),""),ROWS($A$15:A59)+$B$3))))),"")</f>
        <v>P05010</v>
      </c>
      <c r="EF54" s="548" t="str" cm="1">
        <f t="array" ref="EF54">IFERROR(IF($EC$9="",IF($EC$11="",IF($EC$13="",INDEX(bhpc_data[description],SMALL(MATCH(ROW(bhpc_data[sku]),ROW(bhpc_data[sku])),ROWS($A$15:A59)+$B$3)),INDEX(bhpc_data[description],SMALL(IF(ISNUMBER(MATCH(bhpc_data[size1],$EC$13,0)),MATCH(ROW(bhpc_data[sku]),ROW(bhpc_data[sku])),""),ROWS($A$15:A59)+$B$3))),IF($EC$13="",INDEX(bhpc_data[description],SMALL(IF(ISNUMBER(MATCH(bhpc_data[sex],$EC$11,0)),MATCH(ROW(bhpc_data[sku]),ROW(bhpc_data[sku])),""),ROWS($A$15:A59)+$B$3)),INDEX(bhpc_data[description],SMALL(IF(ISNUMBER(MATCH(bhpc_data[sex],$EC$11,0)*MATCH(bhpc_data[size1],$EC$13,0)),MATCH(ROW(bhpc_data[sku]),ROW(bhpc_data[sku])),""),ROWS($A$15:A59)+$B$3)))),IF($EC$11="",IF($EC$13="",INDEX(bhpc_data[description],SMALL(IF(ISNUMBER(MATCH(bhpc_data[category],$EC$9,0)),MATCH(ROW(bhpc_data[sku]),ROW(bhpc_data[sku])),""),ROWS($A$15:A59)+$B$3)),INDEX(bhpc_data[description],SMALL(IF(ISNUMBER(MATCH(bhpc_data[category],$EC$9,0)*MATCH(bhpc_data[size1],$EC$13,0)),MATCH(ROW(bhpc_data[sku]),ROW(bhpc_data[sku])),""),ROWS($A$15:A59)+$B$3))),IF($EC$13="",INDEX(bhpc_data[description],SMALL(IF(ISNUMBER(MATCH(bhpc_data[category],$EC$9,0)*MATCH(bhpc_data[sex],$EC$11,0)),MATCH(ROW(bhpc_data[sku]),ROW(bhpc_data[sku])),""),ROWS($A$15:A59)+$B$3)),INDEX(bhpc_data[description],SMALL(IF(ISNUMBER(MATCH(bhpc_data[category],$EC$9,0)*MATCH(bhpc_data[sex],$EC$11,0)*MATCH(bhpc_data[size1],$EC$13,0)),MATCH(ROW(bhpc_data[sku]),ROW(bhpc_data[sku])),""),ROWS($A$15:A59)+$B$3))))),"")</f>
        <v>BHPC SPORT MEN 8 EDT 50ML</v>
      </c>
      <c r="EG54" s="549">
        <f>IFERROR(IF('BHPC MANAGER'!$EE54="","",INDEX(inventory[ESISTENZA],MATCH('BHPC MANAGER'!$EE54,inventory[ARTICOLO],0))),0)</f>
        <v>0</v>
      </c>
      <c r="EH54" s="550">
        <v>4352</v>
      </c>
      <c r="EI54" s="550">
        <f t="shared" si="3"/>
        <v>4352</v>
      </c>
      <c r="EJ54" s="551">
        <v>0</v>
      </c>
      <c r="EK54" s="552">
        <f t="shared" si="4"/>
        <v>4352</v>
      </c>
      <c r="EO54" s="245" t="str">
        <f t="array" ref="EO54">IFERROR(INDEX(orderHistory[order_no],SMALL(IF(ISNUMBER(MATCH(orderHistory[status],$EO$7,0)),MATCH(ROW(orderHistory[order_no]),ROW(orderHistory[order_no])),""),ROWS($A$15:A59))),"")</f>
        <v/>
      </c>
    </row>
    <row r="55" spans="10:145" ht="15" customHeight="1" x14ac:dyDescent="0.35">
      <c r="J55" s="332"/>
      <c r="K55" s="332"/>
      <c r="L55" s="452" t="str">
        <f t="array" ref="L55">IFERROR(IF($D$9="",IF($D$11="",IF($D$13="",IF($D$15="",INDEX(orderHistory[customer],SMALL(MATCH(ROW(orderHistory[customer]),ROW(orderHistory[customer])),ROWS($A$15:A60)+$B$3)),INDEX(orderHistory[customer],SMALL(IF(ISNUMBER(MATCH(YEAR(orderHistory[invoice_date]),$D$15,0)),MATCH(ROW(orderHistory[customer]),ROW(orderHistory[customer])),""),ROWS($A$15:A60)+$B$3))),IF($D$15="",INDEX(orderHistory[customer],SMALL(IF(ISNUMBER(MATCH(orderHistory[order_type],$D$13,0)),MATCH(ROW(orderHistory[customer]),ROW(orderHistory[customer])),""),ROWS($A$15:A60)+$B$3)),INDEX(orderHistory[customer],SMALL(IF(ISNUMBER(MATCH(orderHistory[order_type],$D$13,0)*MATCH(YEAR(orderHistory[invoice_date]),$D$15,0)),MATCH(ROW(orderHistory[customer]),ROW(orderHistory[customer])),""),ROWS($A$15:A60)+$B$3)))),IF($D$13="",IF($D$15="",INDEX(orderHistory[customer],SMALL(IF(ISNUMBER(MATCH(orderHistory[status],$D$11,0)),MATCH(ROW(orderHistory[customer]),ROW(orderHistory[customer])),""),ROWS($A$15:A60)+$B$3)),INDEX(orderHistory[customer],SMALL(IF(ISNUMBER(MATCH(orderHistory[status],$D$11,0)*MATCH(YEAR(orderHistory[invoice_date]),$D$15,0)),MATCH(ROW(orderHistory[customer]),ROW(orderHistory[customer])),""),ROWS($A$15:A60)+$B$3))),IF($D$15="",INDEX(orderHistory[customer],SMALL(IF(ISNUMBER(MATCH(orderHistory[status],$D$11,0)*MATCH(orderHistory[order_type],$D$13,0)),MATCH(ROW(orderHistory[customer]),ROW(orderHistory[customer])),""),ROWS($A$15:A60)+$B$3)),INDEX(orderHistory[customer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customer],SMALL(IF(ISNUMBER(MATCH(orderHistory[customer],$D$9,0)),MATCH(ROW(orderHistory[customer]),ROW(orderHistory[customer])),""),ROWS($A$15:A60)+$B$3)),INDEX(orderHistory[customer],SMALL(IF(ISNUMBER(MATCH(orderHistory[customer],$D$9,0)*MATCH(YEAR(orderHistory[invoice_date]),$D$15,0)),MATCH(ROW(orderHistory[customer]),ROW(orderHistory[customer])),""),ROWS($A$15:A60)+$B$3))),IF($D$15="",INDEX(orderHistory[customer],SMALL(IF(ISNUMBER(MATCH(orderHistory[customer],$D$9,0)*MATCH(orderHistory[order_type],$D$13,0)),MATCH(ROW(orderHistory[customer]),ROW(orderHistory[customer])),""),ROWS($A$15:A60)+$B$3)),INDEX(orderHistory[customer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YEAR(orderHistory[invoice_date]),$D$15,0)),MATCH(ROW(orderHistory[customer]),ROW(orderHistory[customer])),""),ROWS($A$15:A60)+$B$3))),IF($D$15="",INDEX(orderHistory[customer],SMALL(IF(ISNUMBER(MATCH(orderHistory[customer],$D$9,0)*MATCH(orderHistory[status],$D$11,0)*MATCH(orderHistory[order_type],$D$13,0)),MATCH(ROW(orderHistory[customer]),ROW(orderHistory[customer])),""),ROWS($A$15:A60)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M55" s="453" t="str">
        <f t="array" ref="M55">IFERROR(IF($D$9="",IF($D$11="",IF($D$13="",IF($D$15="",INDEX(orderHistory[order_no],SMALL(MATCH(ROW(orderHistory[customer]),ROW(orderHistory[customer])),ROWS($A$15:A60)+$B$3)),INDEX(orderHistory[order_no],SMALL(IF(ISNUMBER(MATCH(YEAR(orderHistory[invoice_date]),$D$15,0)),MATCH(ROW(orderHistory[customer]),ROW(orderHistory[customer])),""),ROWS($A$15:A60)+$B$3))),IF($D$15="",INDEX(orderHistory[order_no],SMALL(IF(ISNUMBER(MATCH(orderHistory[order_type],$D$13,0)),MATCH(ROW(orderHistory[customer]),ROW(orderHistory[customer])),""),ROWS($A$15:A60)+$B$3)),INDEX(orderHistory[order_no],SMALL(IF(ISNUMBER(MATCH(orderHistory[order_type],$D$13,0)*MATCH(YEAR(orderHistory[invoice_date]),$D$15,0)),MATCH(ROW(orderHistory[customer]),ROW(orderHistory[customer])),""),ROWS($A$15:A60)+$B$3)))),IF($D$13="",IF($D$15="",INDEX(orderHistory[order_no],SMALL(IF(ISNUMBER(MATCH(orderHistory[status],$D$11,0)),MATCH(ROW(orderHistory[customer]),ROW(orderHistory[customer])),""),ROWS($A$15:A60)+$B$3)),INDEX(orderHistory[order_no],SMALL(IF(ISNUMBER(MATCH(orderHistory[status],$D$11,0)*MATCH(YEAR(orderHistory[invoice_date]),$D$15,0)),MATCH(ROW(orderHistory[customer]),ROW(orderHistory[customer])),""),ROWS($A$15:A60)+$B$3))),IF($D$15="",INDEX(orderHistory[order_no],SMALL(IF(ISNUMBER(MATCH(orderHistory[status],$D$11,0)*MATCH(orderHistory[order_type],$D$13,0)),MATCH(ROW(orderHistory[customer]),ROW(orderHistory[customer])),""),ROWS($A$15:A60)+$B$3)),INDEX(orderHistory[order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no],SMALL(IF(ISNUMBER(MATCH(orderHistory[customer],$D$9,0)),MATCH(ROW(orderHistory[customer]),ROW(orderHistory[customer])),""),ROWS($A$15:A60)+$B$3)),INDEX(orderHistory[order_no],SMALL(IF(ISNUMBER(MATCH(orderHistory[customer],$D$9,0)*MATCH(YEAR(orderHistory[invoice_date]),$D$15,0)),MATCH(ROW(orderHistory[customer]),ROW(orderHistory[customer])),""),ROWS($A$15:A60)+$B$3))),IF($D$15="",INDEX(orderHistory[order_no],SMALL(IF(ISNUMBER(MATCH(orderHistory[customer],$D$9,0)*MATCH(orderHistory[order_type],$D$13,0)),MATCH(ROW(orderHistory[customer]),ROW(orderHistory[customer])),""),ROWS($A$15:A60)+$B$3)),INDEX(orderHistory[order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YEAR(orderHistory[invoice_date]),$D$15,0)),MATCH(ROW(orderHistory[customer]),ROW(orderHistory[customer])),""),ROWS($A$15:A60)+$B$3))),IF($D$15="",INDEX(orderHistory[order_no],SMALL(IF(ISNUMBER(MATCH(orderHistory[customer],$D$9,0)*MATCH(orderHistory[status],$D$11,0)*MATCH(orderHistory[order_type],$D$13,0)),MATCH(ROW(orderHistory[customer]),ROW(orderHistory[customer])),""),ROWS($A$15:A60)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N55" s="454" t="str">
        <f t="array" ref="N55">IFERROR(IF($D$9="",IF($D$11="",IF($D$13="",IF($D$15="",INDEX(orderHistory[order_type],SMALL(MATCH(ROW(orderHistory[customer]),ROW(orderHistory[customer])),ROWS($A$15:A60)+$B$3)),INDEX(orderHistory[order_type],SMALL(IF(ISNUMBER(MATCH(YEAR(orderHistory[invoice_date]),$D$15,0)),MATCH(ROW(orderHistory[customer]),ROW(orderHistory[customer])),""),ROWS($A$15:A60)+$B$3))),IF($D$15="",INDEX(orderHistory[order_type],SMALL(IF(ISNUMBER(MATCH(orderHistory[order_type],$D$13,0)),MATCH(ROW(orderHistory[customer]),ROW(orderHistory[customer])),""),ROWS($A$15:A60)+$B$3)),INDEX(orderHistory[order_type],SMALL(IF(ISNUMBER(MATCH(orderHistory[order_type],$D$13,0)*MATCH(YEAR(orderHistory[invoice_date]),$D$15,0)),MATCH(ROW(orderHistory[customer]),ROW(orderHistory[customer])),""),ROWS($A$15:A60)+$B$3)))),IF($D$13="",IF($D$15="",INDEX(orderHistory[order_type],SMALL(IF(ISNUMBER(MATCH(orderHistory[status],$D$11,0)),MATCH(ROW(orderHistory[customer]),ROW(orderHistory[customer])),""),ROWS($A$15:A60)+$B$3)),INDEX(orderHistory[order_type],SMALL(IF(ISNUMBER(MATCH(orderHistory[status],$D$11,0)*MATCH(YEAR(orderHistory[invoice_date]),$D$15,0)),MATCH(ROW(orderHistory[customer]),ROW(orderHistory[customer])),""),ROWS($A$15:A60)+$B$3))),IF($D$15="",INDEX(orderHistory[order_type],SMALL(IF(ISNUMBER(MATCH(orderHistory[status],$D$11,0)*MATCH(orderHistory[order_type],$D$13,0)),MATCH(ROW(orderHistory[customer]),ROW(orderHistory[customer])),""),ROWS($A$15:A60)+$B$3)),INDEX(orderHistory[order_typ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type],SMALL(IF(ISNUMBER(MATCH(orderHistory[customer],$D$9,0)),MATCH(ROW(orderHistory[customer]),ROW(orderHistory[customer])),""),ROWS($A$15:A60)+$B$3)),INDEX(orderHistory[order_type],SMALL(IF(ISNUMBER(MATCH(orderHistory[customer],$D$9,0)*MATCH(YEAR(orderHistory[invoice_date]),$D$15,0)),MATCH(ROW(orderHistory[customer]),ROW(orderHistory[customer])),""),ROWS($A$15:A60)+$B$3))),IF($D$15="",INDEX(orderHistory[order_type],SMALL(IF(ISNUMBER(MATCH(orderHistory[customer],$D$9,0)*MATCH(orderHistory[order_type],$D$13,0)),MATCH(ROW(orderHistory[customer]),ROW(orderHistory[customer])),""),ROWS($A$15:A60)+$B$3)),INDEX(orderHistory[order_typ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YEAR(orderHistory[invoice_date]),$D$15,0)),MATCH(ROW(orderHistory[customer]),ROW(orderHistory[customer])),""),ROWS($A$15:A60)+$B$3))),IF($D$15="",INDEX(orderHistory[order_type],SMALL(IF(ISNUMBER(MATCH(orderHistory[customer],$D$9,0)*MATCH(orderHistory[status],$D$11,0)*MATCH(orderHistory[order_type],$D$13,0)),MATCH(ROW(orderHistory[customer]),ROW(orderHistory[customer])),""),ROWS($A$15:A60)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O55" s="455" t="str">
        <f t="array" ref="O55">IFERROR(IF($D$9="",IF($D$11="",IF($D$13="",IF($D$15="",INDEX(orderHistory[order_date],SMALL(MATCH(ROW(orderHistory[customer]),ROW(orderHistory[customer])),ROWS($A$15:A60)+$B$3)),INDEX(orderHistory[order_date],SMALL(IF(ISNUMBER(MATCH(YEAR(orderHistory[invoice_date]),$D$15,0)),MATCH(ROW(orderHistory[customer]),ROW(orderHistory[customer])),""),ROWS($A$15:A60)+$B$3))),IF($D$15="",INDEX(orderHistory[order_date],SMALL(IF(ISNUMBER(MATCH(orderHistory[order_type],$D$13,0)),MATCH(ROW(orderHistory[customer]),ROW(orderHistory[customer])),""),ROWS($A$15:A60)+$B$3)),INDEX(orderHistory[order_date],SMALL(IF(ISNUMBER(MATCH(orderHistory[order_type],$D$13,0)*MATCH(YEAR(orderHistory[invoice_date]),$D$15,0)),MATCH(ROW(orderHistory[customer]),ROW(orderHistory[customer])),""),ROWS($A$15:A60)+$B$3)))),IF($D$13="",IF($D$15="",INDEX(orderHistory[order_date],SMALL(IF(ISNUMBER(MATCH(orderHistory[status],$D$11,0)),MATCH(ROW(orderHistory[customer]),ROW(orderHistory[customer])),""),ROWS($A$15:A60)+$B$3)),INDEX(orderHistory[order_date],SMALL(IF(ISNUMBER(MATCH(orderHistory[status],$D$11,0)*MATCH(YEAR(orderHistory[invoice_date]),$D$15,0)),MATCH(ROW(orderHistory[customer]),ROW(orderHistory[customer])),""),ROWS($A$15:A60)+$B$3))),IF($D$15="",INDEX(orderHistory[order_date],SMALL(IF(ISNUMBER(MATCH(orderHistory[status],$D$11,0)*MATCH(orderHistory[order_type],$D$13,0)),MATCH(ROW(orderHistory[customer]),ROW(orderHistory[customer])),""),ROWS($A$15:A60)+$B$3)),INDEX(orderHistory[order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date],SMALL(IF(ISNUMBER(MATCH(orderHistory[customer],$D$9,0)),MATCH(ROW(orderHistory[customer]),ROW(orderHistory[customer])),""),ROWS($A$15:A60)+$B$3)),INDEX(orderHistory[order_date],SMALL(IF(ISNUMBER(MATCH(orderHistory[customer],$D$9,0)*MATCH(YEAR(orderHistory[invoice_date]),$D$15,0)),MATCH(ROW(orderHistory[customer]),ROW(orderHistory[customer])),""),ROWS($A$15:A60)+$B$3))),IF($D$15="",INDEX(orderHistory[order_date],SMALL(IF(ISNUMBER(MATCH(orderHistory[customer],$D$9,0)*MATCH(orderHistory[order_type],$D$13,0)),MATCH(ROW(orderHistory[customer]),ROW(orderHistory[customer])),""),ROWS($A$15:A60)+$B$3)),INDEX(orderHistory[order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YEAR(orderHistory[invoice_date]),$D$15,0)),MATCH(ROW(orderHistory[customer]),ROW(orderHistory[customer])),""),ROWS($A$15:A60)+$B$3))),IF($D$15="",INDEX(orderHistory[order_date],SMALL(IF(ISNUMBER(MATCH(orderHistory[customer],$D$9,0)*MATCH(orderHistory[status],$D$11,0)*MATCH(orderHistory[order_type],$D$13,0)),MATCH(ROW(orderHistory[customer]),ROW(orderHistory[customer])),""),ROWS($A$15:A60)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P55" s="456" t="str">
        <f t="array" ref="P55">IFERROR(IF($D$9="",IF($D$11="",IF($D$13="",IF($D$15="",INDEX(orderHistory[invoice_no],SMALL(MATCH(ROW(orderHistory[customer]),ROW(orderHistory[customer])),ROWS($A$15:A60)+$B$3)),INDEX(orderHistory[invoice_no],SMALL(IF(ISNUMBER(MATCH(YEAR(orderHistory[invoice_date]),$D$15,0)),MATCH(ROW(orderHistory[customer]),ROW(orderHistory[customer])),""),ROWS($A$15:A60)+$B$3))),IF($D$15="",INDEX(orderHistory[invoice_no],SMALL(IF(ISNUMBER(MATCH(orderHistory[order_type],$D$13,0)),MATCH(ROW(orderHistory[customer]),ROW(orderHistory[customer])),""),ROWS($A$15:A60)+$B$3)),INDEX(orderHistory[invoice_no],SMALL(IF(ISNUMBER(MATCH(orderHistory[order_type],$D$13,0)*MATCH(YEAR(orderHistory[invoice_date]),$D$15,0)),MATCH(ROW(orderHistory[customer]),ROW(orderHistory[customer])),""),ROWS($A$15:A60)+$B$3)))),IF($D$13="",IF($D$15="",INDEX(orderHistory[invoice_no],SMALL(IF(ISNUMBER(MATCH(orderHistory[status],$D$11,0)),MATCH(ROW(orderHistory[customer]),ROW(orderHistory[customer])),""),ROWS($A$15:A60)+$B$3)),INDEX(orderHistory[invoice_no],SMALL(IF(ISNUMBER(MATCH(orderHistory[status],$D$11,0)*MATCH(YEAR(orderHistory[invoice_date]),$D$15,0)),MATCH(ROW(orderHistory[customer]),ROW(orderHistory[customer])),""),ROWS($A$15:A60)+$B$3))),IF($D$15="",INDEX(orderHistory[invoice_no],SMALL(IF(ISNUMBER(MATCH(orderHistory[status],$D$11,0)*MATCH(orderHistory[order_type],$D$13,0)),MATCH(ROW(orderHistory[customer]),ROW(orderHistory[customer])),""),ROWS($A$15:A60)+$B$3)),INDEX(orderHistory[invoice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no],SMALL(IF(ISNUMBER(MATCH(orderHistory[customer],$D$9,0)),MATCH(ROW(orderHistory[customer]),ROW(orderHistory[customer])),""),ROWS($A$15:A60)+$B$3)),INDEX(orderHistory[invoice_no],SMALL(IF(ISNUMBER(MATCH(orderHistory[customer],$D$9,0)*MATCH(YEAR(orderHistory[invoice_date]),$D$15,0)),MATCH(ROW(orderHistory[customer]),ROW(orderHistory[customer])),""),ROWS($A$15:A60)+$B$3))),IF($D$15="",INDEX(orderHistory[invoice_no],SMALL(IF(ISNUMBER(MATCH(orderHistory[customer],$D$9,0)*MATCH(orderHistory[order_type],$D$13,0)),MATCH(ROW(orderHistory[customer]),ROW(orderHistory[customer])),""),ROWS($A$15:A60)+$B$3)),INDEX(orderHistory[invoice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YEAR(orderHistory[invoice_date]),$D$15,0)),MATCH(ROW(orderHistory[customer]),ROW(orderHistory[customer])),""),ROWS($A$15:A60)+$B$3))),IF($D$15="",INDEX(orderHistory[invoice_no],SMALL(IF(ISNUMBER(MATCH(orderHistory[customer],$D$9,0)*MATCH(orderHistory[status],$D$11,0)*MATCH(orderHistory[order_type],$D$13,0)),MATCH(ROW(orderHistory[customer]),ROW(orderHistory[customer])),""),ROWS($A$15:A60)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Q55" s="457" t="str">
        <f t="array" ref="Q55">IFERROR(IF($D$9="",IF($D$11="",IF($D$13="",IF($D$15="",INDEX(orderHistory[invoice_date],SMALL(MATCH(ROW(orderHistory[customer]),ROW(orderHistory[customer])),ROWS($A$15:A60)+$B$3)),INDEX(orderHistory[invoice_date],SMALL(IF(ISNUMBER(MATCH(YEAR(orderHistory[invoice_date]),$D$15,0)),MATCH(ROW(orderHistory[customer]),ROW(orderHistory[customer])),""),ROWS($A$15:A60)+$B$3))),IF($D$15="",INDEX(orderHistory[invoice_date],SMALL(IF(ISNUMBER(MATCH(orderHistory[order_type],$D$13,0)),MATCH(ROW(orderHistory[customer]),ROW(orderHistory[customer])),""),ROWS($A$15:A60)+$B$3)),INDEX(orderHistory[invoice_date],SMALL(IF(ISNUMBER(MATCH(orderHistory[order_type],$D$13,0)*MATCH(YEAR(orderHistory[invoice_date]),$D$15,0)),MATCH(ROW(orderHistory[customer]),ROW(orderHistory[customer])),""),ROWS($A$15:A60)+$B$3)))),IF($D$13="",IF($D$15="",INDEX(orderHistory[invoice_date],SMALL(IF(ISNUMBER(MATCH(orderHistory[status],$D$11,0)),MATCH(ROW(orderHistory[customer]),ROW(orderHistory[customer])),""),ROWS($A$15:A60)+$B$3)),INDEX(orderHistory[invoice_date],SMALL(IF(ISNUMBER(MATCH(orderHistory[status],$D$11,0)*MATCH(YEAR(orderHistory[invoice_date]),$D$15,0)),MATCH(ROW(orderHistory[customer]),ROW(orderHistory[customer])),""),ROWS($A$15:A60)+$B$3))),IF($D$15="",INDEX(orderHistory[invoice_date],SMALL(IF(ISNUMBER(MATCH(orderHistory[status],$D$11,0)*MATCH(orderHistory[order_type],$D$13,0)),MATCH(ROW(orderHistory[customer]),ROW(orderHistory[customer])),""),ROWS($A$15:A60)+$B$3)),INDEX(orderHistory[invoice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date],SMALL(IF(ISNUMBER(MATCH(orderHistory[customer],$D$9,0)),MATCH(ROW(orderHistory[customer]),ROW(orderHistory[customer])),""),ROWS($A$15:A60)+$B$3)),INDEX(orderHistory[invoice_date],SMALL(IF(ISNUMBER(MATCH(orderHistory[customer],$D$9,0)*MATCH(YEAR(orderHistory[invoice_date]),$D$15,0)),MATCH(ROW(orderHistory[customer]),ROW(orderHistory[customer])),""),ROWS($A$15:A60)+$B$3))),IF($D$15="",INDEX(orderHistory[invoice_date],SMALL(IF(ISNUMBER(MATCH(orderHistory[customer],$D$9,0)*MATCH(orderHistory[order_type],$D$13,0)),MATCH(ROW(orderHistory[customer]),ROW(orderHistory[customer])),""),ROWS($A$15:A60)+$B$3)),INDEX(orderHistory[invoice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YEAR(orderHistory[invoice_date]),$D$15,0)),MATCH(ROW(orderHistory[customer]),ROW(orderHistory[customer])),""),ROWS($A$15:A60)+$B$3))),IF($D$15="",INDEX(orderHistory[invoice_date],SMALL(IF(ISNUMBER(MATCH(orderHistory[customer],$D$9,0)*MATCH(orderHistory[status],$D$11,0)*MATCH(orderHistory[order_type],$D$13,0)),MATCH(ROW(orderHistory[customer]),ROW(orderHistory[customer])),""),ROWS($A$15:A60)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R55" s="458" t="str">
        <f t="array" ref="R55">IFERROR(IF($D$9="",IF($D$11="",IF($D$13="",IF($D$15="",INDEX(orderHistory[inv_amount],SMALL(MATCH(ROW(orderHistory[customer]),ROW(orderHistory[customer])),ROWS($A$15:A60)+$B$3)),INDEX(orderHistory[inv_amount],SMALL(IF(ISNUMBER(MATCH(YEAR(orderHistory[invoice_date]),$D$15,0)),MATCH(ROW(orderHistory[customer]),ROW(orderHistory[customer])),""),ROWS($A$15:A60)+$B$3))),IF($D$15="",INDEX(orderHistory[inv_amount],SMALL(IF(ISNUMBER(MATCH(orderHistory[order_type],$D$13,0)),MATCH(ROW(orderHistory[customer]),ROW(orderHistory[customer])),""),ROWS($A$15:A60)+$B$3)),INDEX(orderHistory[inv_amount],SMALL(IF(ISNUMBER(MATCH(orderHistory[order_type],$D$13,0)*MATCH(YEAR(orderHistory[invoice_date]),$D$15,0)),MATCH(ROW(orderHistory[customer]),ROW(orderHistory[customer])),""),ROWS($A$15:A60)+$B$3)))),IF($D$13="",IF($D$15="",INDEX(orderHistory[inv_amount],SMALL(IF(ISNUMBER(MATCH(orderHistory[status],$D$11,0)),MATCH(ROW(orderHistory[customer]),ROW(orderHistory[customer])),""),ROWS($A$15:A60)+$B$3)),INDEX(orderHistory[inv_amount],SMALL(IF(ISNUMBER(MATCH(orderHistory[status],$D$11,0)*MATCH(YEAR(orderHistory[invoice_date]),$D$15,0)),MATCH(ROW(orderHistory[customer]),ROW(orderHistory[customer])),""),ROWS($A$15:A60)+$B$3))),IF($D$15="",INDEX(orderHistory[inv_amount],SMALL(IF(ISNUMBER(MATCH(orderHistory[status],$D$11,0)*MATCH(orderHistory[order_type],$D$13,0)),MATCH(ROW(orderHistory[customer]),ROW(orderHistory[customer])),""),ROWS($A$15:A60)+$B$3)),INDEX(orderHistory[inv_amount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_amount],SMALL(IF(ISNUMBER(MATCH(orderHistory[customer],$D$9,0)),MATCH(ROW(orderHistory[customer]),ROW(orderHistory[customer])),""),ROWS($A$15:A60)+$B$3)),INDEX(orderHistory[inv_amount],SMALL(IF(ISNUMBER(MATCH(orderHistory[customer],$D$9,0)*MATCH(YEAR(orderHistory[invoice_date]),$D$15,0)),MATCH(ROW(orderHistory[customer]),ROW(orderHistory[customer])),""),ROWS($A$15:A60)+$B$3))),IF($D$15="",INDEX(orderHistory[inv_amount],SMALL(IF(ISNUMBER(MATCH(orderHistory[customer],$D$9,0)*MATCH(orderHistory[order_type],$D$13,0)),MATCH(ROW(orderHistory[customer]),ROW(orderHistory[customer])),""),ROWS($A$15:A60)+$B$3)),INDEX(orderHistory[inv_amount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YEAR(orderHistory[inv_amount]),$D$15,0)),MATCH(ROW(orderHistory[customer]),ROW(orderHistory[customer])),""),ROWS($A$15:A60)+$B$3))),IF($D$15="",INDEX(orderHistory[inv_amount],SMALL(IF(ISNUMBER(MATCH(orderHistory[customer],$D$9,0)*MATCH(orderHistory[status],$D$11,0)*MATCH(orderHistory[order_type],$D$13,0)),MATCH(ROW(orderHistory[customer]),ROW(orderHistory[customer])),""),ROWS($A$15:A60)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S55" s="569" t="str">
        <f t="array" ref="S55">IFERROR(IF($D$9="",IF($D$11="",IF($D$13="",IF($D$15="",INDEX(orderHistory[lock_goods],SMALL(MATCH(ROW(orderHistory[customer]),ROW(orderHistory[customer])),ROWS($A$15:A60)+$B$3)),INDEX(orderHistory[lock_goods],SMALL(IF(ISNUMBER(MATCH(YEAR(orderHistory[invoice_date]),$D$15,0)),MATCH(ROW(orderHistory[customer]),ROW(orderHistory[customer])),""),ROWS($A$15:A60)+$B$3))),IF($D$15="",INDEX(orderHistory[lock_goods],SMALL(IF(ISNUMBER(MATCH(orderHistory[order_type],$D$13,0)),MATCH(ROW(orderHistory[customer]),ROW(orderHistory[customer])),""),ROWS($A$15:A60)+$B$3)),INDEX(orderHistory[lock_goods],SMALL(IF(ISNUMBER(MATCH(orderHistory[order_type],$D$13,0)*MATCH(YEAR(orderHistory[invoice_date]),$D$15,0)),MATCH(ROW(orderHistory[customer]),ROW(orderHistory[customer])),""),ROWS($A$15:A60)+$B$3)))),IF($D$13="",IF($D$15="",INDEX(orderHistory[lock_goods],SMALL(IF(ISNUMBER(MATCH(orderHistory[status],$D$11,0)),MATCH(ROW(orderHistory[customer]),ROW(orderHistory[customer])),""),ROWS($A$15:A60)+$B$3)),INDEX(orderHistory[lock_goods],SMALL(IF(ISNUMBER(MATCH(orderHistory[status],$D$11,0)*MATCH(YEAR(orderHistory[invoice_date]),$D$15,0)),MATCH(ROW(orderHistory[customer]),ROW(orderHistory[customer])),""),ROWS($A$15:A60)+$B$3))),IF($D$15="",INDEX(orderHistory[lock_goods],SMALL(IF(ISNUMBER(MATCH(orderHistory[status],$D$11,0)*MATCH(orderHistory[order_type],$D$13,0)),MATCH(ROW(orderHistory[customer]),ROW(orderHistory[customer])),""),ROWS($A$15:A60)+$B$3)),INDEX(orderHistory[lock_good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lock_goods],SMALL(IF(ISNUMBER(MATCH(orderHistory[customer],$D$9,0)),MATCH(ROW(orderHistory[customer]),ROW(orderHistory[customer])),""),ROWS($A$15:A60)+$B$3)),INDEX(orderHistory[lock_goods],SMALL(IF(ISNUMBER(MATCH(orderHistory[customer],$D$9,0)*MATCH(YEAR(orderHistory[invoice_date]),$D$15,0)),MATCH(ROW(orderHistory[customer]),ROW(orderHistory[customer])),""),ROWS($A$15:A60)+$B$3))),IF($D$15="",INDEX(orderHistory[lock_goods],SMALL(IF(ISNUMBER(MATCH(orderHistory[customer],$D$9,0)*MATCH(orderHistory[order_type],$D$13,0)),MATCH(ROW(orderHistory[customer]),ROW(orderHistory[customer])),""),ROWS($A$15:A60)+$B$3)),INDEX(orderHistory[lock_good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lock_goods],SMALL(IF(ISNUMBER(MATCH(orderHistory[customer],$D$9,0)*MATCH(orderHistory[status],$D$11,0)),MATCH(ROW(orderHistory[customer]),ROW(orderHistory[customer])),""),ROWS($A$15:A60)+$B$3)),INDEX(orderHistory[lock_goods],SMALL(IF(ISNUMBER(MATCH(orderHistory[customer],$D$9,0)*MATCH(orderHistory[status],$D$11,0)*MATCH(YEAR(orderHistory[payed]),$D$15,0)),MATCH(ROW(orderHistory[customer]),ROW(orderHistory[customer])),""),ROWS($A$15:A60)+$B$3))),IF($D$15="",INDEX(orderHistory[lock_goods],SMALL(IF(ISNUMBER(MATCH(orderHistory[customer],$D$9,0)*MATCH(orderHistory[status],$D$11,0)*MATCH(orderHistory[order_type],$D$13,0)),MATCH(ROW(orderHistory[customer]),ROW(orderHistory[customer])),""),ROWS($A$15:A60)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T55" s="459" t="str">
        <f t="array" ref="T55">IFERROR(IF($D$9="",IF($D$11="",IF($D$13="",IF($D$15="",INDEX(orderHistory[payed],SMALL(MATCH(ROW(orderHistory[customer]),ROW(orderHistory[customer])),ROWS($A$15:A60)+$B$3)),INDEX(orderHistory[payed],SMALL(IF(ISNUMBER(MATCH(YEAR(orderHistory[invoice_date]),$D$15,0)),MATCH(ROW(orderHistory[customer]),ROW(orderHistory[customer])),""),ROWS($A$15:A60)+$B$3))),IF($D$15="",INDEX(orderHistory[payed],SMALL(IF(ISNUMBER(MATCH(orderHistory[order_type],$D$13,0)),MATCH(ROW(orderHistory[customer]),ROW(orderHistory[customer])),""),ROWS($A$15:A60)+$B$3)),INDEX(orderHistory[payed],SMALL(IF(ISNUMBER(MATCH(orderHistory[order_type],$D$13,0)*MATCH(YEAR(orderHistory[invoice_date]),$D$15,0)),MATCH(ROW(orderHistory[customer]),ROW(orderHistory[customer])),""),ROWS($A$15:A60)+$B$3)))),IF($D$13="",IF($D$15="",INDEX(orderHistory[payed],SMALL(IF(ISNUMBER(MATCH(orderHistory[status],$D$11,0)),MATCH(ROW(orderHistory[customer]),ROW(orderHistory[customer])),""),ROWS($A$15:A60)+$B$3)),INDEX(orderHistory[payed],SMALL(IF(ISNUMBER(MATCH(orderHistory[status],$D$11,0)*MATCH(YEAR(orderHistory[invoice_date]),$D$15,0)),MATCH(ROW(orderHistory[customer]),ROW(orderHistory[customer])),""),ROWS($A$15:A60)+$B$3))),IF($D$15="",INDEX(orderHistory[payed],SMALL(IF(ISNUMBER(MATCH(orderHistory[status],$D$11,0)*MATCH(orderHistory[order_type],$D$13,0)),MATCH(ROW(orderHistory[customer]),ROW(orderHistory[customer])),""),ROWS($A$15:A60)+$B$3)),INDEX(orderHistory[paye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payed],SMALL(IF(ISNUMBER(MATCH(orderHistory[customer],$D$9,0)),MATCH(ROW(orderHistory[customer]),ROW(orderHistory[customer])),""),ROWS($A$15:A60)+$B$3)),INDEX(orderHistory[payed],SMALL(IF(ISNUMBER(MATCH(orderHistory[customer],$D$9,0)*MATCH(YEAR(orderHistory[invoice_date]),$D$15,0)),MATCH(ROW(orderHistory[customer]),ROW(orderHistory[customer])),""),ROWS($A$15:A60)+$B$3))),IF($D$15="",INDEX(orderHistory[payed],SMALL(IF(ISNUMBER(MATCH(orderHistory[customer],$D$9,0)*MATCH(orderHistory[order_type],$D$13,0)),MATCH(ROW(orderHistory[customer]),ROW(orderHistory[customer])),""),ROWS($A$15:A60)+$B$3)),INDEX(orderHistory[paye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YEAR(orderHistory[payed]),$D$15,0)),MATCH(ROW(orderHistory[customer]),ROW(orderHistory[customer])),""),ROWS($A$15:A60)+$B$3))),IF($D$15="",INDEX(orderHistory[payed],SMALL(IF(ISNUMBER(MATCH(orderHistory[customer],$D$9,0)*MATCH(orderHistory[status],$D$11,0)*MATCH(orderHistory[order_type],$D$13,0)),MATCH(ROW(orderHistory[customer]),ROW(orderHistory[customer])),""),ROWS($A$15:A60)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U55" s="454" t="str">
        <f t="array" ref="U55">IFERROR(IF($D$9="",IF($D$11="",IF($D$13="",IF($D$15="",INDEX(orderHistory[shipping_method],SMALL(MATCH(ROW(orderHistory[customer]),ROW(orderHistory[customer])),ROWS($A$15:A60)+$B$3)),INDEX(orderHistory[shipping_method],SMALL(IF(ISNUMBER(MATCH(YEAR(orderHistory[invoice_date]),$D$15,0)),MATCH(ROW(orderHistory[customer]),ROW(orderHistory[customer])),""),ROWS($A$15:A60)+$B$3))),IF($D$15="",INDEX(orderHistory[shipping_method],SMALL(IF(ISNUMBER(MATCH(orderHistory[order_type],$D$13,0)),MATCH(ROW(orderHistory[customer]),ROW(orderHistory[customer])),""),ROWS($A$15:A60)+$B$3)),INDEX(orderHistory[shipping_method],SMALL(IF(ISNUMBER(MATCH(orderHistory[order_type],$D$13,0)*MATCH(YEAR(orderHistory[invoice_date]),$D$15,0)),MATCH(ROW(orderHistory[customer]),ROW(orderHistory[customer])),""),ROWS($A$15:A60)+$B$3)))),IF($D$13="",IF($D$15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YEAR(orderHistory[invoice_date]),$D$15,0)),MATCH(ROW(orderHistory[customer]),ROW(orderHistory[customer])),""),ROWS($A$15:A60)+$B$3))),IF($D$15="",INDEX(orderHistory[shipping_method],SMALL(IF(ISNUMBER(MATCH(orderHistory[status],$D$11,0)*MATCH(orderHistory[order_type],$D$13,0)),MATCH(ROW(orderHistory[customer]),ROW(orderHistory[customer])),""),ROWS($A$15:A60)+$B$3)),INDEX(orderHistory[shipping_metho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YEAR(orderHistory[invoice_date]),$D$15,0)),MATCH(ROW(orderHistory[customer]),ROW(orderHistory[customer])),""),ROWS($A$15:A60)+$B$3))),IF($D$15="",INDEX(orderHistory[shipping_method],SMALL(IF(ISNUMBER(MATCH(orderHistory[customer],$D$9,0)*MATCH(orderHistory[order_type],$D$13,0)),MATCH(ROW(orderHistory[customer]),ROW(orderHistory[customer])),""),ROWS($A$15:A60)+$B$3)),INDEX(orderHistory[shipping_metho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YEAR(orderHistory[shipping_method]),$D$15,0)),MATCH(ROW(orderHistory[customer]),ROW(orderHistory[customer])),""),ROWS($A$15:A60)+$B$3))),IF($D$15="",INDEX(orderHistory[shipping_method],SMALL(IF(ISNUMBER(MATCH(orderHistory[customer],$D$9,0)*MATCH(orderHistory[status],$D$11,0)*MATCH(orderHistory[order_type],$D$13,0)),MATCH(ROW(orderHistory[customer]),ROW(orderHistory[customer])),""),ROWS($A$15:A60)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V55" s="460" t="str">
        <f t="array" ref="V55">IFERROR(IF($D$9="",IF($D$11="",IF($D$13="",IF($D$15="",INDEX(orderHistory[status],SMALL(MATCH(ROW(orderHistory[customer]),ROW(orderHistory[customer])),ROWS($A$15:A60)+$B$3)),INDEX(orderHistory[status],SMALL(IF(ISNUMBER(MATCH(YEAR(orderHistory[invoice_date]),$D$15,0)),MATCH(ROW(orderHistory[customer]),ROW(orderHistory[customer])),""),ROWS($A$15:A60)+$B$3))),IF($D$15="",INDEX(orderHistory[status],SMALL(IF(ISNUMBER(MATCH(orderHistory[order_type],$D$13,0)),MATCH(ROW(orderHistory[customer]),ROW(orderHistory[customer])),""),ROWS($A$15:A60)+$B$3)),INDEX(orderHistory[status],SMALL(IF(ISNUMBER(MATCH(orderHistory[order_type],$D$13,0)*MATCH(YEAR(orderHistory[invoice_date]),$D$15,0)),MATCH(ROW(orderHistory[customer]),ROW(orderHistory[customer])),""),ROWS($A$15:A60)+$B$3)))),IF($D$13="",IF($D$15="",INDEX(orderHistory[status],SMALL(IF(ISNUMBER(MATCH(orderHistory[status],$D$11,0)),MATCH(ROW(orderHistory[customer]),ROW(orderHistory[customer])),""),ROWS($A$15:A60)+$B$3)),INDEX(orderHistory[status],SMALL(IF(ISNUMBER(MATCH(orderHistory[status],$D$11,0)*MATCH(YEAR(orderHistory[invoice_date]),$D$15,0)),MATCH(ROW(orderHistory[customer]),ROW(orderHistory[customer])),""),ROWS($A$15:A60)+$B$3))),IF($D$15="",INDEX(orderHistory[status],SMALL(IF(ISNUMBER(MATCH(orderHistory[status],$D$11,0)*MATCH(orderHistory[order_type],$D$13,0)),MATCH(ROW(orderHistory[customer]),ROW(orderHistory[customer])),""),ROWS($A$15:A60)+$B$3)),INDEX(orderHistory[statu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tatus],SMALL(IF(ISNUMBER(MATCH(orderHistory[customer],$D$9,0)),MATCH(ROW(orderHistory[customer]),ROW(orderHistory[customer])),""),ROWS($A$15:A60)+$B$3)),INDEX(orderHistory[status],SMALL(IF(ISNUMBER(MATCH(orderHistory[customer],$D$9,0)*MATCH(YEAR(orderHistory[invoice_date]),$D$15,0)),MATCH(ROW(orderHistory[customer]),ROW(orderHistory[customer])),""),ROWS($A$15:A60)+$B$3))),IF($D$15="",INDEX(orderHistory[status],SMALL(IF(ISNUMBER(MATCH(orderHistory[customer],$D$9,0)*MATCH(orderHistory[order_type],$D$13,0)),MATCH(ROW(orderHistory[customer]),ROW(orderHistory[customer])),""),ROWS($A$15:A60)+$B$3)),INDEX(orderHistory[statu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YEAR(orderHistory[status]),$D$15,0)),MATCH(ROW(orderHistory[customer]),ROW(orderHistory[customer])),""),ROWS($A$15:A60)+$B$3))),IF($D$15="",INDEX(orderHistory[status],SMALL(IF(ISNUMBER(MATCH(orderHistory[customer],$D$9,0)*MATCH(orderHistory[status],$D$11,0)*MATCH(orderHistory[order_type],$D$13,0)),MATCH(ROW(orderHistory[customer]),ROW(orderHistory[customer])),""),ROWS($A$15:A60)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W55" s="75"/>
      <c r="X55" s="332"/>
      <c r="AQ55" s="350"/>
      <c r="AR55" s="350" t="s">
        <v>401</v>
      </c>
      <c r="BG55" s="245"/>
      <c r="BK55" s="366"/>
      <c r="BL55" s="367"/>
      <c r="BM55" s="368"/>
      <c r="BN55" s="367"/>
      <c r="BO55" s="368"/>
      <c r="BZ55" s="497"/>
      <c r="CA55" s="477" t="str">
        <f>IF(BZ55="","",INDEX(bhpc_data[description],MATCH(BZ55,bhpc_data[sku],0)))</f>
        <v/>
      </c>
      <c r="CB55" s="480"/>
      <c r="CC55" s="479"/>
      <c r="CD55" s="494"/>
      <c r="CE55" s="481"/>
      <c r="CF55" s="482"/>
      <c r="CG55" s="483" t="str">
        <f>IFERROR(ROUNDUP(CB55/INDEX(bhpc_data[units_per_carton],MATCH(BZ55,bhpc_data[sku],0)),0),"")</f>
        <v/>
      </c>
      <c r="CH55" s="484" t="str">
        <f>IFERROR(ROUNDUP(CD55/INDEX(bhpc_data[units_per_carton],MATCH(BZ55,bhpc_data[sku],0)),0),"")</f>
        <v/>
      </c>
      <c r="CI55" s="484" t="str">
        <f>IFERROR(ROUNDUP(CF55/INDEX(bhpc_data[units_per_carton],MATCH(BZ55,bhpc_data[sku])),0),"")</f>
        <v/>
      </c>
      <c r="CJ55" s="484" t="str">
        <f>IFERROR(((CB55+CD55+CF55)/INDEX(bhpc_data[units_per_carton],MATCH(BZ55,bhpc_data[sku],0)))*INDEX(bhpc_data[net_weight],MATCH(BZ55,bhpc_data[sku],0)),"")</f>
        <v/>
      </c>
      <c r="CK55" s="484" t="str">
        <f>IFERROR(((CB55+CD55+CF55)/INDEX(bhpc_data[units_per_carton],MATCH(BZ55,bhpc_data[sku],0)))*INDEX(bhpc_data[gross_weight],MATCH(BZ55,bhpc_data[sku],0)),"")</f>
        <v/>
      </c>
      <c r="CL55" s="485" t="str">
        <f>IFERROR((CB55+CD55+CF55)/INDEX(bhpc_data[units_per_carton],MATCH(BZ55,bhpc_data[sku],0))*INDEX(bhpc_data[lenght],MATCH(BZ55,bhpc_data[sku],0))*INDEX(bhpc_data[width],MATCH(BZ55,bhpc_data[sku],0))*INDEX(bhpc_data[height],MATCH(BZ55,bhpc_data[sku],0))/1000000000,"")</f>
        <v/>
      </c>
      <c r="CM55" s="486" t="str">
        <f>IFERROR(INDEX(bhpc_data[category],MATCH(BZ55,bhpc_data[sku],0)),"")</f>
        <v/>
      </c>
      <c r="CN55" s="486" t="str">
        <f>IFERROR(INDEX(bhpc_data[size1],MATCH(BZ55,bhpc_data[sku],0)),"")</f>
        <v/>
      </c>
      <c r="CO55" s="487" t="str">
        <f>IFERROR(INDEX(bhpc_data[hs_code],MATCH(BZ55,bhpc_data[sku],0)),"")</f>
        <v/>
      </c>
      <c r="CP55" s="482"/>
      <c r="CQ55" s="488" t="str">
        <f>IFERROR(IF(BZ55="","",IF($BX$15="SALE",INDEX(inventory[COSTO UNITARIO],MATCH(BZ55,inventory[ARTICOLO],0)),IF($BX$15="SAMPLING",INDEX(inventory[COSTO UNITARIO],MATCH(BZ55,inventory[ARTICOLO],0)),""))),"")</f>
        <v/>
      </c>
      <c r="CR55" s="488" t="str">
        <f t="shared" si="5"/>
        <v/>
      </c>
      <c r="CS55" s="489" t="str">
        <f t="shared" si="6"/>
        <v/>
      </c>
      <c r="CT55" s="573" t="str">
        <f t="shared" si="7"/>
        <v/>
      </c>
      <c r="CU55" s="350"/>
      <c r="CV55" s="350"/>
      <c r="CW55" s="350"/>
      <c r="CX55" s="350"/>
      <c r="CY55" s="350"/>
      <c r="CZ55" s="350"/>
      <c r="DA55" s="350" t="str">
        <f>IFERROR(VLOOKUP(BZ55,bhpc_data[],22,FALSE),"")</f>
        <v/>
      </c>
      <c r="EE55" s="541" t="str" cm="1">
        <f t="array" ref="EE55">IFERROR(IF($EC$9="",IF($EC$11="",IF($EC$13="",INDEX(bhpc_data[sku],SMALL(MATCH(ROW(bhpc_data[sku]),ROW(bhpc_data[sku])),ROWS($A$15:A60)+$B$3)),INDEX(bhpc_data[sku],SMALL(IF(ISNUMBER(MATCH(bhpc_data[size1],$EC$13,0)),MATCH(ROW(bhpc_data[sku]),ROW(bhpc_data[sku])),""),ROWS($A$15:A60)+$B$3))),IF($EC$13="",INDEX(bhpc_data[sku],SMALL(IF(ISNUMBER(MATCH(bhpc_data[sex],$EC$11,0)),MATCH(ROW(bhpc_data[sku]),ROW(bhpc_data[sku])),""),ROWS($A$15:A60)+$B$3)),INDEX(bhpc_data[sku],SMALL(IF(ISNUMBER(MATCH(bhpc_data[sex],$EC$11,0)*MATCH(bhpc_data[size1],$EC$13,0)),MATCH(ROW(bhpc_data[sku]),ROW(bhpc_data[sku])),""),ROWS($A$15:A60)+$B$3)))),IF($EC$11="",IF($EC$13="",INDEX(bhpc_data[sku],SMALL(IF(ISNUMBER(MATCH(bhpc_data[category],$EC$9,0)),MATCH(ROW(bhpc_data[sku]),ROW(bhpc_data[sku])),""),ROWS($A$15:A60)+$B$3)),INDEX(bhpc_data[sku],SMALL(IF(ISNUMBER(MATCH(bhpc_data[category],$EC$9,0)*MATCH(bhpc_data[size1],$EC$13,0)),MATCH(ROW(bhpc_data[sku]),ROW(bhpc_data[sku])),""),ROWS($A$15:A60)+$B$3))),IF($EC$13="",INDEX(bhpc_data[sku],SMALL(IF(ISNUMBER(MATCH(bhpc_data[category],$EC$9,0)*MATCH(bhpc_data[sex],$EC$11,0)),MATCH(ROW(bhpc_data[sku]),ROW(bhpc_data[sku])),""),ROWS($A$15:A60)+$B$3)),INDEX(bhpc_data[sku],SMALL(IF(ISNUMBER(MATCH(bhpc_data[category],$EC$9,0)*MATCH(bhpc_data[sex],$EC$11,0)*MATCH(bhpc_data[size1],$EC$13,0)),MATCH(ROW(bhpc_data[sku]),ROW(bhpc_data[sku])),""),ROWS($A$15:A60)+$B$3))))),"")</f>
        <v>P05011</v>
      </c>
      <c r="EF55" s="542" t="str" cm="1">
        <f t="array" ref="EF55">IFERROR(IF($EC$9="",IF($EC$11="",IF($EC$13="",INDEX(bhpc_data[description],SMALL(MATCH(ROW(bhpc_data[sku]),ROW(bhpc_data[sku])),ROWS($A$15:A60)+$B$3)),INDEX(bhpc_data[description],SMALL(IF(ISNUMBER(MATCH(bhpc_data[size1],$EC$13,0)),MATCH(ROW(bhpc_data[sku]),ROW(bhpc_data[sku])),""),ROWS($A$15:A60)+$B$3))),IF($EC$13="",INDEX(bhpc_data[description],SMALL(IF(ISNUMBER(MATCH(bhpc_data[sex],$EC$11,0)),MATCH(ROW(bhpc_data[sku]),ROW(bhpc_data[sku])),""),ROWS($A$15:A60)+$B$3)),INDEX(bhpc_data[description],SMALL(IF(ISNUMBER(MATCH(bhpc_data[sex],$EC$11,0)*MATCH(bhpc_data[size1],$EC$13,0)),MATCH(ROW(bhpc_data[sku]),ROW(bhpc_data[sku])),""),ROWS($A$15:A60)+$B$3)))),IF($EC$11="",IF($EC$13="",INDEX(bhpc_data[description],SMALL(IF(ISNUMBER(MATCH(bhpc_data[category],$EC$9,0)),MATCH(ROW(bhpc_data[sku]),ROW(bhpc_data[sku])),""),ROWS($A$15:A60)+$B$3)),INDEX(bhpc_data[description],SMALL(IF(ISNUMBER(MATCH(bhpc_data[category],$EC$9,0)*MATCH(bhpc_data[size1],$EC$13,0)),MATCH(ROW(bhpc_data[sku]),ROW(bhpc_data[sku])),""),ROWS($A$15:A60)+$B$3))),IF($EC$13="",INDEX(bhpc_data[description],SMALL(IF(ISNUMBER(MATCH(bhpc_data[category],$EC$9,0)*MATCH(bhpc_data[sex],$EC$11,0)),MATCH(ROW(bhpc_data[sku]),ROW(bhpc_data[sku])),""),ROWS($A$15:A60)+$B$3)),INDEX(bhpc_data[description],SMALL(IF(ISNUMBER(MATCH(bhpc_data[category],$EC$9,0)*MATCH(bhpc_data[sex],$EC$11,0)*MATCH(bhpc_data[size1],$EC$13,0)),MATCH(ROW(bhpc_data[sku]),ROW(bhpc_data[sku])),""),ROWS($A$15:A60)+$B$3))))),"")</f>
        <v>BHPC SPORT MEN 2 EDT 50ML</v>
      </c>
      <c r="EG55" s="543">
        <f>IFERROR(IF('BHPC MANAGER'!$EE55="","",INDEX(inventory[ESISTENZA],MATCH('BHPC MANAGER'!$EE55,inventory[ARTICOLO],0))),0)</f>
        <v>0</v>
      </c>
      <c r="EH55" s="544">
        <v>8960</v>
      </c>
      <c r="EI55" s="544">
        <f t="shared" si="3"/>
        <v>8960</v>
      </c>
      <c r="EJ55" s="545">
        <v>0</v>
      </c>
      <c r="EK55" s="546">
        <f t="shared" si="4"/>
        <v>8960</v>
      </c>
      <c r="EO55" s="245" t="str">
        <f t="array" ref="EO55">IFERROR(INDEX(orderHistory[order_no],SMALL(IF(ISNUMBER(MATCH(orderHistory[status],$EO$7,0)),MATCH(ROW(orderHistory[order_no]),ROW(orderHistory[order_no])),""),ROWS($A$15:A60))),"")</f>
        <v/>
      </c>
    </row>
    <row r="56" spans="10:145" ht="15" customHeight="1" x14ac:dyDescent="0.35">
      <c r="L56" s="452" t="str">
        <f t="array" ref="L56">IFERROR(IF($D$9="",IF($D$11="",IF($D$13="",IF($D$15="",INDEX(orderHistory[customer],SMALL(MATCH(ROW(orderHistory[customer]),ROW(orderHistory[customer])),ROWS($A$15:A61)+$B$3)),INDEX(orderHistory[customer],SMALL(IF(ISNUMBER(MATCH(YEAR(orderHistory[invoice_date]),$D$15,0)),MATCH(ROW(orderHistory[customer]),ROW(orderHistory[customer])),""),ROWS($A$15:A61)+$B$3))),IF($D$15="",INDEX(orderHistory[customer],SMALL(IF(ISNUMBER(MATCH(orderHistory[order_type],$D$13,0)),MATCH(ROW(orderHistory[customer]),ROW(orderHistory[customer])),""),ROWS($A$15:A61)+$B$3)),INDEX(orderHistory[customer],SMALL(IF(ISNUMBER(MATCH(orderHistory[order_type],$D$13,0)*MATCH(YEAR(orderHistory[invoice_date]),$D$15,0)),MATCH(ROW(orderHistory[customer]),ROW(orderHistory[customer])),""),ROWS($A$15:A61)+$B$3)))),IF($D$13="",IF($D$15="",INDEX(orderHistory[customer],SMALL(IF(ISNUMBER(MATCH(orderHistory[status],$D$11,0)),MATCH(ROW(orderHistory[customer]),ROW(orderHistory[customer])),""),ROWS($A$15:A61)+$B$3)),INDEX(orderHistory[customer],SMALL(IF(ISNUMBER(MATCH(orderHistory[status],$D$11,0)*MATCH(YEAR(orderHistory[invoice_date]),$D$15,0)),MATCH(ROW(orderHistory[customer]),ROW(orderHistory[customer])),""),ROWS($A$15:A61)+$B$3))),IF($D$15="",INDEX(orderHistory[customer],SMALL(IF(ISNUMBER(MATCH(orderHistory[status],$D$11,0)*MATCH(orderHistory[order_type],$D$13,0)),MATCH(ROW(orderHistory[customer]),ROW(orderHistory[customer])),""),ROWS($A$15:A61)+$B$3)),INDEX(orderHistory[customer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customer],SMALL(IF(ISNUMBER(MATCH(orderHistory[customer],$D$9,0)),MATCH(ROW(orderHistory[customer]),ROW(orderHistory[customer])),""),ROWS($A$15:A61)+$B$3)),INDEX(orderHistory[customer],SMALL(IF(ISNUMBER(MATCH(orderHistory[customer],$D$9,0)*MATCH(YEAR(orderHistory[invoice_date]),$D$15,0)),MATCH(ROW(orderHistory[customer]),ROW(orderHistory[customer])),""),ROWS($A$15:A61)+$B$3))),IF($D$15="",INDEX(orderHistory[customer],SMALL(IF(ISNUMBER(MATCH(orderHistory[customer],$D$9,0)*MATCH(orderHistory[order_type],$D$13,0)),MATCH(ROW(orderHistory[customer]),ROW(orderHistory[customer])),""),ROWS($A$15:A61)+$B$3)),INDEX(orderHistory[customer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YEAR(orderHistory[invoice_date]),$D$15,0)),MATCH(ROW(orderHistory[customer]),ROW(orderHistory[customer])),""),ROWS($A$15:A61)+$B$3))),IF($D$15="",INDEX(orderHistory[customer],SMALL(IF(ISNUMBER(MATCH(orderHistory[customer],$D$9,0)*MATCH(orderHistory[status],$D$11,0)*MATCH(orderHistory[order_type],$D$13,0)),MATCH(ROW(orderHistory[customer]),ROW(orderHistory[customer])),""),ROWS($A$15:A61)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M56" s="453" t="str">
        <f t="array" ref="M56">IFERROR(IF($D$9="",IF($D$11="",IF($D$13="",IF($D$15="",INDEX(orderHistory[order_no],SMALL(MATCH(ROW(orderHistory[customer]),ROW(orderHistory[customer])),ROWS($A$15:A61)+$B$3)),INDEX(orderHistory[order_no],SMALL(IF(ISNUMBER(MATCH(YEAR(orderHistory[invoice_date]),$D$15,0)),MATCH(ROW(orderHistory[customer]),ROW(orderHistory[customer])),""),ROWS($A$15:A61)+$B$3))),IF($D$15="",INDEX(orderHistory[order_no],SMALL(IF(ISNUMBER(MATCH(orderHistory[order_type],$D$13,0)),MATCH(ROW(orderHistory[customer]),ROW(orderHistory[customer])),""),ROWS($A$15:A61)+$B$3)),INDEX(orderHistory[order_no],SMALL(IF(ISNUMBER(MATCH(orderHistory[order_type],$D$13,0)*MATCH(YEAR(orderHistory[invoice_date]),$D$15,0)),MATCH(ROW(orderHistory[customer]),ROW(orderHistory[customer])),""),ROWS($A$15:A61)+$B$3)))),IF($D$13="",IF($D$15="",INDEX(orderHistory[order_no],SMALL(IF(ISNUMBER(MATCH(orderHistory[status],$D$11,0)),MATCH(ROW(orderHistory[customer]),ROW(orderHistory[customer])),""),ROWS($A$15:A61)+$B$3)),INDEX(orderHistory[order_no],SMALL(IF(ISNUMBER(MATCH(orderHistory[status],$D$11,0)*MATCH(YEAR(orderHistory[invoice_date]),$D$15,0)),MATCH(ROW(orderHistory[customer]),ROW(orderHistory[customer])),""),ROWS($A$15:A61)+$B$3))),IF($D$15="",INDEX(orderHistory[order_no],SMALL(IF(ISNUMBER(MATCH(orderHistory[status],$D$11,0)*MATCH(orderHistory[order_type],$D$13,0)),MATCH(ROW(orderHistory[customer]),ROW(orderHistory[customer])),""),ROWS($A$15:A61)+$B$3)),INDEX(orderHistory[order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no],SMALL(IF(ISNUMBER(MATCH(orderHistory[customer],$D$9,0)),MATCH(ROW(orderHistory[customer]),ROW(orderHistory[customer])),""),ROWS($A$15:A61)+$B$3)),INDEX(orderHistory[order_no],SMALL(IF(ISNUMBER(MATCH(orderHistory[customer],$D$9,0)*MATCH(YEAR(orderHistory[invoice_date]),$D$15,0)),MATCH(ROW(orderHistory[customer]),ROW(orderHistory[customer])),""),ROWS($A$15:A61)+$B$3))),IF($D$15="",INDEX(orderHistory[order_no],SMALL(IF(ISNUMBER(MATCH(orderHistory[customer],$D$9,0)*MATCH(orderHistory[order_type],$D$13,0)),MATCH(ROW(orderHistory[customer]),ROW(orderHistory[customer])),""),ROWS($A$15:A61)+$B$3)),INDEX(orderHistory[order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YEAR(orderHistory[invoice_date]),$D$15,0)),MATCH(ROW(orderHistory[customer]),ROW(orderHistory[customer])),""),ROWS($A$15:A61)+$B$3))),IF($D$15="",INDEX(orderHistory[order_no],SMALL(IF(ISNUMBER(MATCH(orderHistory[customer],$D$9,0)*MATCH(orderHistory[status],$D$11,0)*MATCH(orderHistory[order_type],$D$13,0)),MATCH(ROW(orderHistory[customer]),ROW(orderHistory[customer])),""),ROWS($A$15:A61)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N56" s="454" t="str">
        <f t="array" ref="N56">IFERROR(IF($D$9="",IF($D$11="",IF($D$13="",IF($D$15="",INDEX(orderHistory[order_type],SMALL(MATCH(ROW(orderHistory[customer]),ROW(orderHistory[customer])),ROWS($A$15:A61)+$B$3)),INDEX(orderHistory[order_type],SMALL(IF(ISNUMBER(MATCH(YEAR(orderHistory[invoice_date]),$D$15,0)),MATCH(ROW(orderHistory[customer]),ROW(orderHistory[customer])),""),ROWS($A$15:A61)+$B$3))),IF($D$15="",INDEX(orderHistory[order_type],SMALL(IF(ISNUMBER(MATCH(orderHistory[order_type],$D$13,0)),MATCH(ROW(orderHistory[customer]),ROW(orderHistory[customer])),""),ROWS($A$15:A61)+$B$3)),INDEX(orderHistory[order_type],SMALL(IF(ISNUMBER(MATCH(orderHistory[order_type],$D$13,0)*MATCH(YEAR(orderHistory[invoice_date]),$D$15,0)),MATCH(ROW(orderHistory[customer]),ROW(orderHistory[customer])),""),ROWS($A$15:A61)+$B$3)))),IF($D$13="",IF($D$15="",INDEX(orderHistory[order_type],SMALL(IF(ISNUMBER(MATCH(orderHistory[status],$D$11,0)),MATCH(ROW(orderHistory[customer]),ROW(orderHistory[customer])),""),ROWS($A$15:A61)+$B$3)),INDEX(orderHistory[order_type],SMALL(IF(ISNUMBER(MATCH(orderHistory[status],$D$11,0)*MATCH(YEAR(orderHistory[invoice_date]),$D$15,0)),MATCH(ROW(orderHistory[customer]),ROW(orderHistory[customer])),""),ROWS($A$15:A61)+$B$3))),IF($D$15="",INDEX(orderHistory[order_type],SMALL(IF(ISNUMBER(MATCH(orderHistory[status],$D$11,0)*MATCH(orderHistory[order_type],$D$13,0)),MATCH(ROW(orderHistory[customer]),ROW(orderHistory[customer])),""),ROWS($A$15:A61)+$B$3)),INDEX(orderHistory[order_typ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type],SMALL(IF(ISNUMBER(MATCH(orderHistory[customer],$D$9,0)),MATCH(ROW(orderHistory[customer]),ROW(orderHistory[customer])),""),ROWS($A$15:A61)+$B$3)),INDEX(orderHistory[order_type],SMALL(IF(ISNUMBER(MATCH(orderHistory[customer],$D$9,0)*MATCH(YEAR(orderHistory[invoice_date]),$D$15,0)),MATCH(ROW(orderHistory[customer]),ROW(orderHistory[customer])),""),ROWS($A$15:A61)+$B$3))),IF($D$15="",INDEX(orderHistory[order_type],SMALL(IF(ISNUMBER(MATCH(orderHistory[customer],$D$9,0)*MATCH(orderHistory[order_type],$D$13,0)),MATCH(ROW(orderHistory[customer]),ROW(orderHistory[customer])),""),ROWS($A$15:A61)+$B$3)),INDEX(orderHistory[order_typ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YEAR(orderHistory[invoice_date]),$D$15,0)),MATCH(ROW(orderHistory[customer]),ROW(orderHistory[customer])),""),ROWS($A$15:A61)+$B$3))),IF($D$15="",INDEX(orderHistory[order_type],SMALL(IF(ISNUMBER(MATCH(orderHistory[customer],$D$9,0)*MATCH(orderHistory[status],$D$11,0)*MATCH(orderHistory[order_type],$D$13,0)),MATCH(ROW(orderHistory[customer]),ROW(orderHistory[customer])),""),ROWS($A$15:A61)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O56" s="455" t="str">
        <f t="array" ref="O56">IFERROR(IF($D$9="",IF($D$11="",IF($D$13="",IF($D$15="",INDEX(orderHistory[order_date],SMALL(MATCH(ROW(orderHistory[customer]),ROW(orderHistory[customer])),ROWS($A$15:A61)+$B$3)),INDEX(orderHistory[order_date],SMALL(IF(ISNUMBER(MATCH(YEAR(orderHistory[invoice_date]),$D$15,0)),MATCH(ROW(orderHistory[customer]),ROW(orderHistory[customer])),""),ROWS($A$15:A61)+$B$3))),IF($D$15="",INDEX(orderHistory[order_date],SMALL(IF(ISNUMBER(MATCH(orderHistory[order_type],$D$13,0)),MATCH(ROW(orderHistory[customer]),ROW(orderHistory[customer])),""),ROWS($A$15:A61)+$B$3)),INDEX(orderHistory[order_date],SMALL(IF(ISNUMBER(MATCH(orderHistory[order_type],$D$13,0)*MATCH(YEAR(orderHistory[invoice_date]),$D$15,0)),MATCH(ROW(orderHistory[customer]),ROW(orderHistory[customer])),""),ROWS($A$15:A61)+$B$3)))),IF($D$13="",IF($D$15="",INDEX(orderHistory[order_date],SMALL(IF(ISNUMBER(MATCH(orderHistory[status],$D$11,0)),MATCH(ROW(orderHistory[customer]),ROW(orderHistory[customer])),""),ROWS($A$15:A61)+$B$3)),INDEX(orderHistory[order_date],SMALL(IF(ISNUMBER(MATCH(orderHistory[status],$D$11,0)*MATCH(YEAR(orderHistory[invoice_date]),$D$15,0)),MATCH(ROW(orderHistory[customer]),ROW(orderHistory[customer])),""),ROWS($A$15:A61)+$B$3))),IF($D$15="",INDEX(orderHistory[order_date],SMALL(IF(ISNUMBER(MATCH(orderHistory[status],$D$11,0)*MATCH(orderHistory[order_type],$D$13,0)),MATCH(ROW(orderHistory[customer]),ROW(orderHistory[customer])),""),ROWS($A$15:A61)+$B$3)),INDEX(orderHistory[order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date],SMALL(IF(ISNUMBER(MATCH(orderHistory[customer],$D$9,0)),MATCH(ROW(orderHistory[customer]),ROW(orderHistory[customer])),""),ROWS($A$15:A61)+$B$3)),INDEX(orderHistory[order_date],SMALL(IF(ISNUMBER(MATCH(orderHistory[customer],$D$9,0)*MATCH(YEAR(orderHistory[invoice_date]),$D$15,0)),MATCH(ROW(orderHistory[customer]),ROW(orderHistory[customer])),""),ROWS($A$15:A61)+$B$3))),IF($D$15="",INDEX(orderHistory[order_date],SMALL(IF(ISNUMBER(MATCH(orderHistory[customer],$D$9,0)*MATCH(orderHistory[order_type],$D$13,0)),MATCH(ROW(orderHistory[customer]),ROW(orderHistory[customer])),""),ROWS($A$15:A61)+$B$3)),INDEX(orderHistory[order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YEAR(orderHistory[invoice_date]),$D$15,0)),MATCH(ROW(orderHistory[customer]),ROW(orderHistory[customer])),""),ROWS($A$15:A61)+$B$3))),IF($D$15="",INDEX(orderHistory[order_date],SMALL(IF(ISNUMBER(MATCH(orderHistory[customer],$D$9,0)*MATCH(orderHistory[status],$D$11,0)*MATCH(orderHistory[order_type],$D$13,0)),MATCH(ROW(orderHistory[customer]),ROW(orderHistory[customer])),""),ROWS($A$15:A61)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P56" s="456" t="str">
        <f t="array" ref="P56">IFERROR(IF($D$9="",IF($D$11="",IF($D$13="",IF($D$15="",INDEX(orderHistory[invoice_no],SMALL(MATCH(ROW(orderHistory[customer]),ROW(orderHistory[customer])),ROWS($A$15:A61)+$B$3)),INDEX(orderHistory[invoice_no],SMALL(IF(ISNUMBER(MATCH(YEAR(orderHistory[invoice_date]),$D$15,0)),MATCH(ROW(orderHistory[customer]),ROW(orderHistory[customer])),""),ROWS($A$15:A61)+$B$3))),IF($D$15="",INDEX(orderHistory[invoice_no],SMALL(IF(ISNUMBER(MATCH(orderHistory[order_type],$D$13,0)),MATCH(ROW(orderHistory[customer]),ROW(orderHistory[customer])),""),ROWS($A$15:A61)+$B$3)),INDEX(orderHistory[invoice_no],SMALL(IF(ISNUMBER(MATCH(orderHistory[order_type],$D$13,0)*MATCH(YEAR(orderHistory[invoice_date]),$D$15,0)),MATCH(ROW(orderHistory[customer]),ROW(orderHistory[customer])),""),ROWS($A$15:A61)+$B$3)))),IF($D$13="",IF($D$15="",INDEX(orderHistory[invoice_no],SMALL(IF(ISNUMBER(MATCH(orderHistory[status],$D$11,0)),MATCH(ROW(orderHistory[customer]),ROW(orderHistory[customer])),""),ROWS($A$15:A61)+$B$3)),INDEX(orderHistory[invoice_no],SMALL(IF(ISNUMBER(MATCH(orderHistory[status],$D$11,0)*MATCH(YEAR(orderHistory[invoice_date]),$D$15,0)),MATCH(ROW(orderHistory[customer]),ROW(orderHistory[customer])),""),ROWS($A$15:A61)+$B$3))),IF($D$15="",INDEX(orderHistory[invoice_no],SMALL(IF(ISNUMBER(MATCH(orderHistory[status],$D$11,0)*MATCH(orderHistory[order_type],$D$13,0)),MATCH(ROW(orderHistory[customer]),ROW(orderHistory[customer])),""),ROWS($A$15:A61)+$B$3)),INDEX(orderHistory[invoice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no],SMALL(IF(ISNUMBER(MATCH(orderHistory[customer],$D$9,0)),MATCH(ROW(orderHistory[customer]),ROW(orderHistory[customer])),""),ROWS($A$15:A61)+$B$3)),INDEX(orderHistory[invoice_no],SMALL(IF(ISNUMBER(MATCH(orderHistory[customer],$D$9,0)*MATCH(YEAR(orderHistory[invoice_date]),$D$15,0)),MATCH(ROW(orderHistory[customer]),ROW(orderHistory[customer])),""),ROWS($A$15:A61)+$B$3))),IF($D$15="",INDEX(orderHistory[invoice_no],SMALL(IF(ISNUMBER(MATCH(orderHistory[customer],$D$9,0)*MATCH(orderHistory[order_type],$D$13,0)),MATCH(ROW(orderHistory[customer]),ROW(orderHistory[customer])),""),ROWS($A$15:A61)+$B$3)),INDEX(orderHistory[invoice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YEAR(orderHistory[invoice_date]),$D$15,0)),MATCH(ROW(orderHistory[customer]),ROW(orderHistory[customer])),""),ROWS($A$15:A61)+$B$3))),IF($D$15="",INDEX(orderHistory[invoice_no],SMALL(IF(ISNUMBER(MATCH(orderHistory[customer],$D$9,0)*MATCH(orderHistory[status],$D$11,0)*MATCH(orderHistory[order_type],$D$13,0)),MATCH(ROW(orderHistory[customer]),ROW(orderHistory[customer])),""),ROWS($A$15:A61)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Q56" s="457" t="str">
        <f t="array" ref="Q56">IFERROR(IF($D$9="",IF($D$11="",IF($D$13="",IF($D$15="",INDEX(orderHistory[invoice_date],SMALL(MATCH(ROW(orderHistory[customer]),ROW(orderHistory[customer])),ROWS($A$15:A61)+$B$3)),INDEX(orderHistory[invoice_date],SMALL(IF(ISNUMBER(MATCH(YEAR(orderHistory[invoice_date]),$D$15,0)),MATCH(ROW(orderHistory[customer]),ROW(orderHistory[customer])),""),ROWS($A$15:A61)+$B$3))),IF($D$15="",INDEX(orderHistory[invoice_date],SMALL(IF(ISNUMBER(MATCH(orderHistory[order_type],$D$13,0)),MATCH(ROW(orderHistory[customer]),ROW(orderHistory[customer])),""),ROWS($A$15:A61)+$B$3)),INDEX(orderHistory[invoice_date],SMALL(IF(ISNUMBER(MATCH(orderHistory[order_type],$D$13,0)*MATCH(YEAR(orderHistory[invoice_date]),$D$15,0)),MATCH(ROW(orderHistory[customer]),ROW(orderHistory[customer])),""),ROWS($A$15:A61)+$B$3)))),IF($D$13="",IF($D$15="",INDEX(orderHistory[invoice_date],SMALL(IF(ISNUMBER(MATCH(orderHistory[status],$D$11,0)),MATCH(ROW(orderHistory[customer]),ROW(orderHistory[customer])),""),ROWS($A$15:A61)+$B$3)),INDEX(orderHistory[invoice_date],SMALL(IF(ISNUMBER(MATCH(orderHistory[status],$D$11,0)*MATCH(YEAR(orderHistory[invoice_date]),$D$15,0)),MATCH(ROW(orderHistory[customer]),ROW(orderHistory[customer])),""),ROWS($A$15:A61)+$B$3))),IF($D$15="",INDEX(orderHistory[invoice_date],SMALL(IF(ISNUMBER(MATCH(orderHistory[status],$D$11,0)*MATCH(orderHistory[order_type],$D$13,0)),MATCH(ROW(orderHistory[customer]),ROW(orderHistory[customer])),""),ROWS($A$15:A61)+$B$3)),INDEX(orderHistory[invoice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date],SMALL(IF(ISNUMBER(MATCH(orderHistory[customer],$D$9,0)),MATCH(ROW(orderHistory[customer]),ROW(orderHistory[customer])),""),ROWS($A$15:A61)+$B$3)),INDEX(orderHistory[invoice_date],SMALL(IF(ISNUMBER(MATCH(orderHistory[customer],$D$9,0)*MATCH(YEAR(orderHistory[invoice_date]),$D$15,0)),MATCH(ROW(orderHistory[customer]),ROW(orderHistory[customer])),""),ROWS($A$15:A61)+$B$3))),IF($D$15="",INDEX(orderHistory[invoice_date],SMALL(IF(ISNUMBER(MATCH(orderHistory[customer],$D$9,0)*MATCH(orderHistory[order_type],$D$13,0)),MATCH(ROW(orderHistory[customer]),ROW(orderHistory[customer])),""),ROWS($A$15:A61)+$B$3)),INDEX(orderHistory[invoice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YEAR(orderHistory[invoice_date]),$D$15,0)),MATCH(ROW(orderHistory[customer]),ROW(orderHistory[customer])),""),ROWS($A$15:A61)+$B$3))),IF($D$15="",INDEX(orderHistory[invoice_date],SMALL(IF(ISNUMBER(MATCH(orderHistory[customer],$D$9,0)*MATCH(orderHistory[status],$D$11,0)*MATCH(orderHistory[order_type],$D$13,0)),MATCH(ROW(orderHistory[customer]),ROW(orderHistory[customer])),""),ROWS($A$15:A61)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R56" s="458" t="str">
        <f t="array" ref="R56">IFERROR(IF($D$9="",IF($D$11="",IF($D$13="",IF($D$15="",INDEX(orderHistory[inv_amount],SMALL(MATCH(ROW(orderHistory[customer]),ROW(orderHistory[customer])),ROWS($A$15:A61)+$B$3)),INDEX(orderHistory[inv_amount],SMALL(IF(ISNUMBER(MATCH(YEAR(orderHistory[invoice_date]),$D$15,0)),MATCH(ROW(orderHistory[customer]),ROW(orderHistory[customer])),""),ROWS($A$15:A61)+$B$3))),IF($D$15="",INDEX(orderHistory[inv_amount],SMALL(IF(ISNUMBER(MATCH(orderHistory[order_type],$D$13,0)),MATCH(ROW(orderHistory[customer]),ROW(orderHistory[customer])),""),ROWS($A$15:A61)+$B$3)),INDEX(orderHistory[inv_amount],SMALL(IF(ISNUMBER(MATCH(orderHistory[order_type],$D$13,0)*MATCH(YEAR(orderHistory[invoice_date]),$D$15,0)),MATCH(ROW(orderHistory[customer]),ROW(orderHistory[customer])),""),ROWS($A$15:A61)+$B$3)))),IF($D$13="",IF($D$15="",INDEX(orderHistory[inv_amount],SMALL(IF(ISNUMBER(MATCH(orderHistory[status],$D$11,0)),MATCH(ROW(orderHistory[customer]),ROW(orderHistory[customer])),""),ROWS($A$15:A61)+$B$3)),INDEX(orderHistory[inv_amount],SMALL(IF(ISNUMBER(MATCH(orderHistory[status],$D$11,0)*MATCH(YEAR(orderHistory[invoice_date]),$D$15,0)),MATCH(ROW(orderHistory[customer]),ROW(orderHistory[customer])),""),ROWS($A$15:A61)+$B$3))),IF($D$15="",INDEX(orderHistory[inv_amount],SMALL(IF(ISNUMBER(MATCH(orderHistory[status],$D$11,0)*MATCH(orderHistory[order_type],$D$13,0)),MATCH(ROW(orderHistory[customer]),ROW(orderHistory[customer])),""),ROWS($A$15:A61)+$B$3)),INDEX(orderHistory[inv_amount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_amount],SMALL(IF(ISNUMBER(MATCH(orderHistory[customer],$D$9,0)),MATCH(ROW(orderHistory[customer]),ROW(orderHistory[customer])),""),ROWS($A$15:A61)+$B$3)),INDEX(orderHistory[inv_amount],SMALL(IF(ISNUMBER(MATCH(orderHistory[customer],$D$9,0)*MATCH(YEAR(orderHistory[invoice_date]),$D$15,0)),MATCH(ROW(orderHistory[customer]),ROW(orderHistory[customer])),""),ROWS($A$15:A61)+$B$3))),IF($D$15="",INDEX(orderHistory[inv_amount],SMALL(IF(ISNUMBER(MATCH(orderHistory[customer],$D$9,0)*MATCH(orderHistory[order_type],$D$13,0)),MATCH(ROW(orderHistory[customer]),ROW(orderHistory[customer])),""),ROWS($A$15:A61)+$B$3)),INDEX(orderHistory[inv_amount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YEAR(orderHistory[inv_amount]),$D$15,0)),MATCH(ROW(orderHistory[customer]),ROW(orderHistory[customer])),""),ROWS($A$15:A61)+$B$3))),IF($D$15="",INDEX(orderHistory[inv_amount],SMALL(IF(ISNUMBER(MATCH(orderHistory[customer],$D$9,0)*MATCH(orderHistory[status],$D$11,0)*MATCH(orderHistory[order_type],$D$13,0)),MATCH(ROW(orderHistory[customer]),ROW(orderHistory[customer])),""),ROWS($A$15:A61)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S56" s="569" t="str">
        <f t="array" ref="S56">IFERROR(IF($D$9="",IF($D$11="",IF($D$13="",IF($D$15="",INDEX(orderHistory[lock_goods],SMALL(MATCH(ROW(orderHistory[customer]),ROW(orderHistory[customer])),ROWS($A$15:A61)+$B$3)),INDEX(orderHistory[lock_goods],SMALL(IF(ISNUMBER(MATCH(YEAR(orderHistory[invoice_date]),$D$15,0)),MATCH(ROW(orderHistory[customer]),ROW(orderHistory[customer])),""),ROWS($A$15:A61)+$B$3))),IF($D$15="",INDEX(orderHistory[lock_goods],SMALL(IF(ISNUMBER(MATCH(orderHistory[order_type],$D$13,0)),MATCH(ROW(orderHistory[customer]),ROW(orderHistory[customer])),""),ROWS($A$15:A61)+$B$3)),INDEX(orderHistory[lock_goods],SMALL(IF(ISNUMBER(MATCH(orderHistory[order_type],$D$13,0)*MATCH(YEAR(orderHistory[invoice_date]),$D$15,0)),MATCH(ROW(orderHistory[customer]),ROW(orderHistory[customer])),""),ROWS($A$15:A61)+$B$3)))),IF($D$13="",IF($D$15="",INDEX(orderHistory[lock_goods],SMALL(IF(ISNUMBER(MATCH(orderHistory[status],$D$11,0)),MATCH(ROW(orderHistory[customer]),ROW(orderHistory[customer])),""),ROWS($A$15:A61)+$B$3)),INDEX(orderHistory[lock_goods],SMALL(IF(ISNUMBER(MATCH(orderHistory[status],$D$11,0)*MATCH(YEAR(orderHistory[invoice_date]),$D$15,0)),MATCH(ROW(orderHistory[customer]),ROW(orderHistory[customer])),""),ROWS($A$15:A61)+$B$3))),IF($D$15="",INDEX(orderHistory[lock_goods],SMALL(IF(ISNUMBER(MATCH(orderHistory[status],$D$11,0)*MATCH(orderHistory[order_type],$D$13,0)),MATCH(ROW(orderHistory[customer]),ROW(orderHistory[customer])),""),ROWS($A$15:A61)+$B$3)),INDEX(orderHistory[lock_good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lock_goods],SMALL(IF(ISNUMBER(MATCH(orderHistory[customer],$D$9,0)),MATCH(ROW(orderHistory[customer]),ROW(orderHistory[customer])),""),ROWS($A$15:A61)+$B$3)),INDEX(orderHistory[lock_goods],SMALL(IF(ISNUMBER(MATCH(orderHistory[customer],$D$9,0)*MATCH(YEAR(orderHistory[invoice_date]),$D$15,0)),MATCH(ROW(orderHistory[customer]),ROW(orderHistory[customer])),""),ROWS($A$15:A61)+$B$3))),IF($D$15="",INDEX(orderHistory[lock_goods],SMALL(IF(ISNUMBER(MATCH(orderHistory[customer],$D$9,0)*MATCH(orderHistory[order_type],$D$13,0)),MATCH(ROW(orderHistory[customer]),ROW(orderHistory[customer])),""),ROWS($A$15:A61)+$B$3)),INDEX(orderHistory[lock_good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lock_goods],SMALL(IF(ISNUMBER(MATCH(orderHistory[customer],$D$9,0)*MATCH(orderHistory[status],$D$11,0)),MATCH(ROW(orderHistory[customer]),ROW(orderHistory[customer])),""),ROWS($A$15:A61)+$B$3)),INDEX(orderHistory[lock_goods],SMALL(IF(ISNUMBER(MATCH(orderHistory[customer],$D$9,0)*MATCH(orderHistory[status],$D$11,0)*MATCH(YEAR(orderHistory[payed]),$D$15,0)),MATCH(ROW(orderHistory[customer]),ROW(orderHistory[customer])),""),ROWS($A$15:A61)+$B$3))),IF($D$15="",INDEX(orderHistory[lock_goods],SMALL(IF(ISNUMBER(MATCH(orderHistory[customer],$D$9,0)*MATCH(orderHistory[status],$D$11,0)*MATCH(orderHistory[order_type],$D$13,0)),MATCH(ROW(orderHistory[customer]),ROW(orderHistory[customer])),""),ROWS($A$15:A61)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T56" s="459" t="str">
        <f t="array" ref="T56">IFERROR(IF($D$9="",IF($D$11="",IF($D$13="",IF($D$15="",INDEX(orderHistory[payed],SMALL(MATCH(ROW(orderHistory[customer]),ROW(orderHistory[customer])),ROWS($A$15:A61)+$B$3)),INDEX(orderHistory[payed],SMALL(IF(ISNUMBER(MATCH(YEAR(orderHistory[invoice_date]),$D$15,0)),MATCH(ROW(orderHistory[customer]),ROW(orderHistory[customer])),""),ROWS($A$15:A61)+$B$3))),IF($D$15="",INDEX(orderHistory[payed],SMALL(IF(ISNUMBER(MATCH(orderHistory[order_type],$D$13,0)),MATCH(ROW(orderHistory[customer]),ROW(orderHistory[customer])),""),ROWS($A$15:A61)+$B$3)),INDEX(orderHistory[payed],SMALL(IF(ISNUMBER(MATCH(orderHistory[order_type],$D$13,0)*MATCH(YEAR(orderHistory[invoice_date]),$D$15,0)),MATCH(ROW(orderHistory[customer]),ROW(orderHistory[customer])),""),ROWS($A$15:A61)+$B$3)))),IF($D$13="",IF($D$15="",INDEX(orderHistory[payed],SMALL(IF(ISNUMBER(MATCH(orderHistory[status],$D$11,0)),MATCH(ROW(orderHistory[customer]),ROW(orderHistory[customer])),""),ROWS($A$15:A61)+$B$3)),INDEX(orderHistory[payed],SMALL(IF(ISNUMBER(MATCH(orderHistory[status],$D$11,0)*MATCH(YEAR(orderHistory[invoice_date]),$D$15,0)),MATCH(ROW(orderHistory[customer]),ROW(orderHistory[customer])),""),ROWS($A$15:A61)+$B$3))),IF($D$15="",INDEX(orderHistory[payed],SMALL(IF(ISNUMBER(MATCH(orderHistory[status],$D$11,0)*MATCH(orderHistory[order_type],$D$13,0)),MATCH(ROW(orderHistory[customer]),ROW(orderHistory[customer])),""),ROWS($A$15:A61)+$B$3)),INDEX(orderHistory[paye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payed],SMALL(IF(ISNUMBER(MATCH(orderHistory[customer],$D$9,0)),MATCH(ROW(orderHistory[customer]),ROW(orderHistory[customer])),""),ROWS($A$15:A61)+$B$3)),INDEX(orderHistory[payed],SMALL(IF(ISNUMBER(MATCH(orderHistory[customer],$D$9,0)*MATCH(YEAR(orderHistory[invoice_date]),$D$15,0)),MATCH(ROW(orderHistory[customer]),ROW(orderHistory[customer])),""),ROWS($A$15:A61)+$B$3))),IF($D$15="",INDEX(orderHistory[payed],SMALL(IF(ISNUMBER(MATCH(orderHistory[customer],$D$9,0)*MATCH(orderHistory[order_type],$D$13,0)),MATCH(ROW(orderHistory[customer]),ROW(orderHistory[customer])),""),ROWS($A$15:A61)+$B$3)),INDEX(orderHistory[paye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YEAR(orderHistory[payed]),$D$15,0)),MATCH(ROW(orderHistory[customer]),ROW(orderHistory[customer])),""),ROWS($A$15:A61)+$B$3))),IF($D$15="",INDEX(orderHistory[payed],SMALL(IF(ISNUMBER(MATCH(orderHistory[customer],$D$9,0)*MATCH(orderHistory[status],$D$11,0)*MATCH(orderHistory[order_type],$D$13,0)),MATCH(ROW(orderHistory[customer]),ROW(orderHistory[customer])),""),ROWS($A$15:A61)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U56" s="454" t="str">
        <f t="array" ref="U56">IFERROR(IF($D$9="",IF($D$11="",IF($D$13="",IF($D$15="",INDEX(orderHistory[shipping_method],SMALL(MATCH(ROW(orderHistory[customer]),ROW(orderHistory[customer])),ROWS($A$15:A61)+$B$3)),INDEX(orderHistory[shipping_method],SMALL(IF(ISNUMBER(MATCH(YEAR(orderHistory[invoice_date]),$D$15,0)),MATCH(ROW(orderHistory[customer]),ROW(orderHistory[customer])),""),ROWS($A$15:A61)+$B$3))),IF($D$15="",INDEX(orderHistory[shipping_method],SMALL(IF(ISNUMBER(MATCH(orderHistory[order_type],$D$13,0)),MATCH(ROW(orderHistory[customer]),ROW(orderHistory[customer])),""),ROWS($A$15:A61)+$B$3)),INDEX(orderHistory[shipping_method],SMALL(IF(ISNUMBER(MATCH(orderHistory[order_type],$D$13,0)*MATCH(YEAR(orderHistory[invoice_date]),$D$15,0)),MATCH(ROW(orderHistory[customer]),ROW(orderHistory[customer])),""),ROWS($A$15:A61)+$B$3)))),IF($D$13="",IF($D$15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YEAR(orderHistory[invoice_date]),$D$15,0)),MATCH(ROW(orderHistory[customer]),ROW(orderHistory[customer])),""),ROWS($A$15:A61)+$B$3))),IF($D$15="",INDEX(orderHistory[shipping_method],SMALL(IF(ISNUMBER(MATCH(orderHistory[status],$D$11,0)*MATCH(orderHistory[order_type],$D$13,0)),MATCH(ROW(orderHistory[customer]),ROW(orderHistory[customer])),""),ROWS($A$15:A61)+$B$3)),INDEX(orderHistory[shipping_metho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YEAR(orderHistory[invoice_date]),$D$15,0)),MATCH(ROW(orderHistory[customer]),ROW(orderHistory[customer])),""),ROWS($A$15:A61)+$B$3))),IF($D$15="",INDEX(orderHistory[shipping_method],SMALL(IF(ISNUMBER(MATCH(orderHistory[customer],$D$9,0)*MATCH(orderHistory[order_type],$D$13,0)),MATCH(ROW(orderHistory[customer]),ROW(orderHistory[customer])),""),ROWS($A$15:A61)+$B$3)),INDEX(orderHistory[shipping_metho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YEAR(orderHistory[shipping_method]),$D$15,0)),MATCH(ROW(orderHistory[customer]),ROW(orderHistory[customer])),""),ROWS($A$15:A61)+$B$3))),IF($D$15="",INDEX(orderHistory[shipping_method],SMALL(IF(ISNUMBER(MATCH(orderHistory[customer],$D$9,0)*MATCH(orderHistory[status],$D$11,0)*MATCH(orderHistory[order_type],$D$13,0)),MATCH(ROW(orderHistory[customer]),ROW(orderHistory[customer])),""),ROWS($A$15:A61)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V56" s="460" t="str">
        <f t="array" ref="V56">IFERROR(IF($D$9="",IF($D$11="",IF($D$13="",IF($D$15="",INDEX(orderHistory[status],SMALL(MATCH(ROW(orderHistory[customer]),ROW(orderHistory[customer])),ROWS($A$15:A61)+$B$3)),INDEX(orderHistory[status],SMALL(IF(ISNUMBER(MATCH(YEAR(orderHistory[invoice_date]),$D$15,0)),MATCH(ROW(orderHistory[customer]),ROW(orderHistory[customer])),""),ROWS($A$15:A61)+$B$3))),IF($D$15="",INDEX(orderHistory[status],SMALL(IF(ISNUMBER(MATCH(orderHistory[order_type],$D$13,0)),MATCH(ROW(orderHistory[customer]),ROW(orderHistory[customer])),""),ROWS($A$15:A61)+$B$3)),INDEX(orderHistory[status],SMALL(IF(ISNUMBER(MATCH(orderHistory[order_type],$D$13,0)*MATCH(YEAR(orderHistory[invoice_date]),$D$15,0)),MATCH(ROW(orderHistory[customer]),ROW(orderHistory[customer])),""),ROWS($A$15:A61)+$B$3)))),IF($D$13="",IF($D$15="",INDEX(orderHistory[status],SMALL(IF(ISNUMBER(MATCH(orderHistory[status],$D$11,0)),MATCH(ROW(orderHistory[customer]),ROW(orderHistory[customer])),""),ROWS($A$15:A61)+$B$3)),INDEX(orderHistory[status],SMALL(IF(ISNUMBER(MATCH(orderHistory[status],$D$11,0)*MATCH(YEAR(orderHistory[invoice_date]),$D$15,0)),MATCH(ROW(orderHistory[customer]),ROW(orderHistory[customer])),""),ROWS($A$15:A61)+$B$3))),IF($D$15="",INDEX(orderHistory[status],SMALL(IF(ISNUMBER(MATCH(orderHistory[status],$D$11,0)*MATCH(orderHistory[order_type],$D$13,0)),MATCH(ROW(orderHistory[customer]),ROW(orderHistory[customer])),""),ROWS($A$15:A61)+$B$3)),INDEX(orderHistory[statu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tatus],SMALL(IF(ISNUMBER(MATCH(orderHistory[customer],$D$9,0)),MATCH(ROW(orderHistory[customer]),ROW(orderHistory[customer])),""),ROWS($A$15:A61)+$B$3)),INDEX(orderHistory[status],SMALL(IF(ISNUMBER(MATCH(orderHistory[customer],$D$9,0)*MATCH(YEAR(orderHistory[invoice_date]),$D$15,0)),MATCH(ROW(orderHistory[customer]),ROW(orderHistory[customer])),""),ROWS($A$15:A61)+$B$3))),IF($D$15="",INDEX(orderHistory[status],SMALL(IF(ISNUMBER(MATCH(orderHistory[customer],$D$9,0)*MATCH(orderHistory[order_type],$D$13,0)),MATCH(ROW(orderHistory[customer]),ROW(orderHistory[customer])),""),ROWS($A$15:A61)+$B$3)),INDEX(orderHistory[statu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YEAR(orderHistory[status]),$D$15,0)),MATCH(ROW(orderHistory[customer]),ROW(orderHistory[customer])),""),ROWS($A$15:A61)+$B$3))),IF($D$15="",INDEX(orderHistory[status],SMALL(IF(ISNUMBER(MATCH(orderHistory[customer],$D$9,0)*MATCH(orderHistory[status],$D$11,0)*MATCH(orderHistory[order_type],$D$13,0)),MATCH(ROW(orderHistory[customer]),ROW(orderHistory[customer])),""),ROWS($A$15:A61)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W56" s="75"/>
      <c r="AQ56" s="350"/>
      <c r="AR56" s="350" t="s">
        <v>609</v>
      </c>
      <c r="BG56" s="245"/>
      <c r="BK56" s="366"/>
      <c r="BL56" s="367"/>
      <c r="BM56" s="368"/>
      <c r="BN56" s="367"/>
      <c r="BO56" s="368"/>
      <c r="BZ56" s="497"/>
      <c r="CA56" s="477" t="str">
        <f>IF(BZ56="","",INDEX(bhpc_data[description],MATCH(BZ56,bhpc_data[sku],0)))</f>
        <v/>
      </c>
      <c r="CB56" s="480"/>
      <c r="CC56" s="479"/>
      <c r="CD56" s="494"/>
      <c r="CE56" s="481"/>
      <c r="CF56" s="482"/>
      <c r="CG56" s="483" t="str">
        <f>IFERROR(ROUNDUP(CB56/INDEX(bhpc_data[units_per_carton],MATCH(BZ56,bhpc_data[sku],0)),0),"")</f>
        <v/>
      </c>
      <c r="CH56" s="484" t="str">
        <f>IFERROR(ROUNDUP(CD56/INDEX(bhpc_data[units_per_carton],MATCH(BZ56,bhpc_data[sku],0)),0),"")</f>
        <v/>
      </c>
      <c r="CI56" s="484" t="str">
        <f>IFERROR(ROUNDUP(CF56/INDEX(bhpc_data[units_per_carton],MATCH(BZ56,bhpc_data[sku])),0),"")</f>
        <v/>
      </c>
      <c r="CJ56" s="484" t="str">
        <f>IFERROR(((CB56+CD56+CF56)/INDEX(bhpc_data[units_per_carton],MATCH(BZ56,bhpc_data[sku],0)))*INDEX(bhpc_data[net_weight],MATCH(BZ56,bhpc_data[sku],0)),"")</f>
        <v/>
      </c>
      <c r="CK56" s="484" t="str">
        <f>IFERROR(((CB56+CD56+CF56)/INDEX(bhpc_data[units_per_carton],MATCH(BZ56,bhpc_data[sku],0)))*INDEX(bhpc_data[gross_weight],MATCH(BZ56,bhpc_data[sku],0)),"")</f>
        <v/>
      </c>
      <c r="CL56" s="485" t="str">
        <f>IFERROR((CB56+CD56+CF56)/INDEX(bhpc_data[units_per_carton],MATCH(BZ56,bhpc_data[sku],0))*INDEX(bhpc_data[lenght],MATCH(BZ56,bhpc_data[sku],0))*INDEX(bhpc_data[width],MATCH(BZ56,bhpc_data[sku],0))*INDEX(bhpc_data[height],MATCH(BZ56,bhpc_data[sku],0))/1000000000,"")</f>
        <v/>
      </c>
      <c r="CM56" s="486" t="str">
        <f>IFERROR(INDEX(bhpc_data[category],MATCH(BZ56,bhpc_data[sku],0)),"")</f>
        <v/>
      </c>
      <c r="CN56" s="486" t="str">
        <f>IFERROR(INDEX(bhpc_data[size1],MATCH(BZ56,bhpc_data[sku],0)),"")</f>
        <v/>
      </c>
      <c r="CO56" s="487" t="str">
        <f>IFERROR(INDEX(bhpc_data[hs_code],MATCH(BZ56,bhpc_data[sku],0)),"")</f>
        <v/>
      </c>
      <c r="CP56" s="482"/>
      <c r="CQ56" s="488" t="str">
        <f>IFERROR(IF(BZ56="","",IF($BX$15="SALE",INDEX(inventory[COSTO UNITARIO],MATCH(BZ56,inventory[ARTICOLO],0)),IF($BX$15="SAMPLING",INDEX(inventory[COSTO UNITARIO],MATCH(BZ56,inventory[ARTICOLO],0)),""))),"")</f>
        <v/>
      </c>
      <c r="CR56" s="488" t="str">
        <f t="shared" si="5"/>
        <v/>
      </c>
      <c r="CS56" s="489" t="str">
        <f t="shared" si="6"/>
        <v/>
      </c>
      <c r="CT56" s="573" t="str">
        <f t="shared" si="7"/>
        <v/>
      </c>
      <c r="CU56" s="350"/>
      <c r="CV56" s="350"/>
      <c r="CW56" s="350"/>
      <c r="CX56" s="350"/>
      <c r="CY56" s="350"/>
      <c r="CZ56" s="350"/>
      <c r="DA56" s="350" t="str">
        <f>IFERROR(VLOOKUP(BZ56,bhpc_data[],22,FALSE),"")</f>
        <v/>
      </c>
      <c r="EE56" s="547" t="str" cm="1">
        <f t="array" ref="EE56">IFERROR(IF($EC$9="",IF($EC$11="",IF($EC$13="",INDEX(bhpc_data[sku],SMALL(MATCH(ROW(bhpc_data[sku]),ROW(bhpc_data[sku])),ROWS($A$15:A61)+$B$3)),INDEX(bhpc_data[sku],SMALL(IF(ISNUMBER(MATCH(bhpc_data[size1],$EC$13,0)),MATCH(ROW(bhpc_data[sku]),ROW(bhpc_data[sku])),""),ROWS($A$15:A61)+$B$3))),IF($EC$13="",INDEX(bhpc_data[sku],SMALL(IF(ISNUMBER(MATCH(bhpc_data[sex],$EC$11,0)),MATCH(ROW(bhpc_data[sku]),ROW(bhpc_data[sku])),""),ROWS($A$15:A61)+$B$3)),INDEX(bhpc_data[sku],SMALL(IF(ISNUMBER(MATCH(bhpc_data[sex],$EC$11,0)*MATCH(bhpc_data[size1],$EC$13,0)),MATCH(ROW(bhpc_data[sku]),ROW(bhpc_data[sku])),""),ROWS($A$15:A61)+$B$3)))),IF($EC$11="",IF($EC$13="",INDEX(bhpc_data[sku],SMALL(IF(ISNUMBER(MATCH(bhpc_data[category],$EC$9,0)),MATCH(ROW(bhpc_data[sku]),ROW(bhpc_data[sku])),""),ROWS($A$15:A61)+$B$3)),INDEX(bhpc_data[sku],SMALL(IF(ISNUMBER(MATCH(bhpc_data[category],$EC$9,0)*MATCH(bhpc_data[size1],$EC$13,0)),MATCH(ROW(bhpc_data[sku]),ROW(bhpc_data[sku])),""),ROWS($A$15:A61)+$B$3))),IF($EC$13="",INDEX(bhpc_data[sku],SMALL(IF(ISNUMBER(MATCH(bhpc_data[category],$EC$9,0)*MATCH(bhpc_data[sex],$EC$11,0)),MATCH(ROW(bhpc_data[sku]),ROW(bhpc_data[sku])),""),ROWS($A$15:A61)+$B$3)),INDEX(bhpc_data[sku],SMALL(IF(ISNUMBER(MATCH(bhpc_data[category],$EC$9,0)*MATCH(bhpc_data[sex],$EC$11,0)*MATCH(bhpc_data[size1],$EC$13,0)),MATCH(ROW(bhpc_data[sku]),ROW(bhpc_data[sku])),""),ROWS($A$15:A61)+$B$3))))),"")</f>
        <v>P05024</v>
      </c>
      <c r="EF56" s="548" t="str" cm="1">
        <f t="array" ref="EF56">IFERROR(IF($EC$9="",IF($EC$11="",IF($EC$13="",INDEX(bhpc_data[description],SMALL(MATCH(ROW(bhpc_data[sku]),ROW(bhpc_data[sku])),ROWS($A$15:A61)+$B$3)),INDEX(bhpc_data[description],SMALL(IF(ISNUMBER(MATCH(bhpc_data[size1],$EC$13,0)),MATCH(ROW(bhpc_data[sku]),ROW(bhpc_data[sku])),""),ROWS($A$15:A61)+$B$3))),IF($EC$13="",INDEX(bhpc_data[description],SMALL(IF(ISNUMBER(MATCH(bhpc_data[sex],$EC$11,0)),MATCH(ROW(bhpc_data[sku]),ROW(bhpc_data[sku])),""),ROWS($A$15:A61)+$B$3)),INDEX(bhpc_data[description],SMALL(IF(ISNUMBER(MATCH(bhpc_data[sex],$EC$11,0)*MATCH(bhpc_data[size1],$EC$13,0)),MATCH(ROW(bhpc_data[sku]),ROW(bhpc_data[sku])),""),ROWS($A$15:A61)+$B$3)))),IF($EC$11="",IF($EC$13="",INDEX(bhpc_data[description],SMALL(IF(ISNUMBER(MATCH(bhpc_data[category],$EC$9,0)),MATCH(ROW(bhpc_data[sku]),ROW(bhpc_data[sku])),""),ROWS($A$15:A61)+$B$3)),INDEX(bhpc_data[description],SMALL(IF(ISNUMBER(MATCH(bhpc_data[category],$EC$9,0)*MATCH(bhpc_data[size1],$EC$13,0)),MATCH(ROW(bhpc_data[sku]),ROW(bhpc_data[sku])),""),ROWS($A$15:A61)+$B$3))),IF($EC$13="",INDEX(bhpc_data[description],SMALL(IF(ISNUMBER(MATCH(bhpc_data[category],$EC$9,0)*MATCH(bhpc_data[sex],$EC$11,0)),MATCH(ROW(bhpc_data[sku]),ROW(bhpc_data[sku])),""),ROWS($A$15:A61)+$B$3)),INDEX(bhpc_data[description],SMALL(IF(ISNUMBER(MATCH(bhpc_data[category],$EC$9,0)*MATCH(bhpc_data[sex],$EC$11,0)*MATCH(bhpc_data[size1],$EC$13,0)),MATCH(ROW(bhpc_data[sku]),ROW(bhpc_data[sku])),""),ROWS($A$15:A61)+$B$3))))),"")</f>
        <v>BHPC WOMEN 1 DEO 150ML</v>
      </c>
      <c r="EG56" s="549">
        <f>IFERROR(IF('BHPC MANAGER'!$EE56="","",INDEX(inventory[ESISTENZA],MATCH('BHPC MANAGER'!$EE56,inventory[ARTICOLO],0))),0)</f>
        <v>19537</v>
      </c>
      <c r="EH56" s="550">
        <v>3840</v>
      </c>
      <c r="EI56" s="550">
        <f t="shared" si="3"/>
        <v>23377</v>
      </c>
      <c r="EJ56" s="551">
        <v>0</v>
      </c>
      <c r="EK56" s="552">
        <f t="shared" si="4"/>
        <v>23377</v>
      </c>
      <c r="EO56" s="245" t="str">
        <f t="array" ref="EO56">IFERROR(INDEX(orderHistory[order_no],SMALL(IF(ISNUMBER(MATCH(orderHistory[status],$EO$7,0)),MATCH(ROW(orderHistory[order_no]),ROW(orderHistory[order_no])),""),ROWS($A$15:A61))),"")</f>
        <v/>
      </c>
    </row>
    <row r="57" spans="10:145" ht="15" customHeight="1" x14ac:dyDescent="0.35">
      <c r="L57" s="452" t="str">
        <f t="array" ref="L57">IFERROR(IF($D$9="",IF($D$11="",IF($D$13="",IF($D$15="",INDEX(orderHistory[customer],SMALL(MATCH(ROW(orderHistory[customer]),ROW(orderHistory[customer])),ROWS($A$15:A62)+$B$3)),INDEX(orderHistory[customer],SMALL(IF(ISNUMBER(MATCH(YEAR(orderHistory[invoice_date]),$D$15,0)),MATCH(ROW(orderHistory[customer]),ROW(orderHistory[customer])),""),ROWS($A$15:A62)+$B$3))),IF($D$15="",INDEX(orderHistory[customer],SMALL(IF(ISNUMBER(MATCH(orderHistory[order_type],$D$13,0)),MATCH(ROW(orderHistory[customer]),ROW(orderHistory[customer])),""),ROWS($A$15:A62)+$B$3)),INDEX(orderHistory[customer],SMALL(IF(ISNUMBER(MATCH(orderHistory[order_type],$D$13,0)*MATCH(YEAR(orderHistory[invoice_date]),$D$15,0)),MATCH(ROW(orderHistory[customer]),ROW(orderHistory[customer])),""),ROWS($A$15:A62)+$B$3)))),IF($D$13="",IF($D$15="",INDEX(orderHistory[customer],SMALL(IF(ISNUMBER(MATCH(orderHistory[status],$D$11,0)),MATCH(ROW(orderHistory[customer]),ROW(orderHistory[customer])),""),ROWS($A$15:A62)+$B$3)),INDEX(orderHistory[customer],SMALL(IF(ISNUMBER(MATCH(orderHistory[status],$D$11,0)*MATCH(YEAR(orderHistory[invoice_date]),$D$15,0)),MATCH(ROW(orderHistory[customer]),ROW(orderHistory[customer])),""),ROWS($A$15:A62)+$B$3))),IF($D$15="",INDEX(orderHistory[customer],SMALL(IF(ISNUMBER(MATCH(orderHistory[status],$D$11,0)*MATCH(orderHistory[order_type],$D$13,0)),MATCH(ROW(orderHistory[customer]),ROW(orderHistory[customer])),""),ROWS($A$15:A62)+$B$3)),INDEX(orderHistory[customer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customer],SMALL(IF(ISNUMBER(MATCH(orderHistory[customer],$D$9,0)),MATCH(ROW(orderHistory[customer]),ROW(orderHistory[customer])),""),ROWS($A$15:A62)+$B$3)),INDEX(orderHistory[customer],SMALL(IF(ISNUMBER(MATCH(orderHistory[customer],$D$9,0)*MATCH(YEAR(orderHistory[invoice_date]),$D$15,0)),MATCH(ROW(orderHistory[customer]),ROW(orderHistory[customer])),""),ROWS($A$15:A62)+$B$3))),IF($D$15="",INDEX(orderHistory[customer],SMALL(IF(ISNUMBER(MATCH(orderHistory[customer],$D$9,0)*MATCH(orderHistory[order_type],$D$13,0)),MATCH(ROW(orderHistory[customer]),ROW(orderHistory[customer])),""),ROWS($A$15:A62)+$B$3)),INDEX(orderHistory[customer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YEAR(orderHistory[invoice_date]),$D$15,0)),MATCH(ROW(orderHistory[customer]),ROW(orderHistory[customer])),""),ROWS($A$15:A62)+$B$3))),IF($D$15="",INDEX(orderHistory[customer],SMALL(IF(ISNUMBER(MATCH(orderHistory[customer],$D$9,0)*MATCH(orderHistory[status],$D$11,0)*MATCH(orderHistory[order_type],$D$13,0)),MATCH(ROW(orderHistory[customer]),ROW(orderHistory[customer])),""),ROWS($A$15:A62)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M57" s="453" t="str">
        <f t="array" ref="M57">IFERROR(IF($D$9="",IF($D$11="",IF($D$13="",IF($D$15="",INDEX(orderHistory[order_no],SMALL(MATCH(ROW(orderHistory[customer]),ROW(orderHistory[customer])),ROWS($A$15:A62)+$B$3)),INDEX(orderHistory[order_no],SMALL(IF(ISNUMBER(MATCH(YEAR(orderHistory[invoice_date]),$D$15,0)),MATCH(ROW(orderHistory[customer]),ROW(orderHistory[customer])),""),ROWS($A$15:A62)+$B$3))),IF($D$15="",INDEX(orderHistory[order_no],SMALL(IF(ISNUMBER(MATCH(orderHistory[order_type],$D$13,0)),MATCH(ROW(orderHistory[customer]),ROW(orderHistory[customer])),""),ROWS($A$15:A62)+$B$3)),INDEX(orderHistory[order_no],SMALL(IF(ISNUMBER(MATCH(orderHistory[order_type],$D$13,0)*MATCH(YEAR(orderHistory[invoice_date]),$D$15,0)),MATCH(ROW(orderHistory[customer]),ROW(orderHistory[customer])),""),ROWS($A$15:A62)+$B$3)))),IF($D$13="",IF($D$15="",INDEX(orderHistory[order_no],SMALL(IF(ISNUMBER(MATCH(orderHistory[status],$D$11,0)),MATCH(ROW(orderHistory[customer]),ROW(orderHistory[customer])),""),ROWS($A$15:A62)+$B$3)),INDEX(orderHistory[order_no],SMALL(IF(ISNUMBER(MATCH(orderHistory[status],$D$11,0)*MATCH(YEAR(orderHistory[invoice_date]),$D$15,0)),MATCH(ROW(orderHistory[customer]),ROW(orderHistory[customer])),""),ROWS($A$15:A62)+$B$3))),IF($D$15="",INDEX(orderHistory[order_no],SMALL(IF(ISNUMBER(MATCH(orderHistory[status],$D$11,0)*MATCH(orderHistory[order_type],$D$13,0)),MATCH(ROW(orderHistory[customer]),ROW(orderHistory[customer])),""),ROWS($A$15:A62)+$B$3)),INDEX(orderHistory[order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no],SMALL(IF(ISNUMBER(MATCH(orderHistory[customer],$D$9,0)),MATCH(ROW(orderHistory[customer]),ROW(orderHistory[customer])),""),ROWS($A$15:A62)+$B$3)),INDEX(orderHistory[order_no],SMALL(IF(ISNUMBER(MATCH(orderHistory[customer],$D$9,0)*MATCH(YEAR(orderHistory[invoice_date]),$D$15,0)),MATCH(ROW(orderHistory[customer]),ROW(orderHistory[customer])),""),ROWS($A$15:A62)+$B$3))),IF($D$15="",INDEX(orderHistory[order_no],SMALL(IF(ISNUMBER(MATCH(orderHistory[customer],$D$9,0)*MATCH(orderHistory[order_type],$D$13,0)),MATCH(ROW(orderHistory[customer]),ROW(orderHistory[customer])),""),ROWS($A$15:A62)+$B$3)),INDEX(orderHistory[order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YEAR(orderHistory[invoice_date]),$D$15,0)),MATCH(ROW(orderHistory[customer]),ROW(orderHistory[customer])),""),ROWS($A$15:A62)+$B$3))),IF($D$15="",INDEX(orderHistory[order_no],SMALL(IF(ISNUMBER(MATCH(orderHistory[customer],$D$9,0)*MATCH(orderHistory[status],$D$11,0)*MATCH(orderHistory[order_type],$D$13,0)),MATCH(ROW(orderHistory[customer]),ROW(orderHistory[customer])),""),ROWS($A$15:A62)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N57" s="454" t="str">
        <f t="array" ref="N57">IFERROR(IF($D$9="",IF($D$11="",IF($D$13="",IF($D$15="",INDEX(orderHistory[order_type],SMALL(MATCH(ROW(orderHistory[customer]),ROW(orderHistory[customer])),ROWS($A$15:A62)+$B$3)),INDEX(orderHistory[order_type],SMALL(IF(ISNUMBER(MATCH(YEAR(orderHistory[invoice_date]),$D$15,0)),MATCH(ROW(orderHistory[customer]),ROW(orderHistory[customer])),""),ROWS($A$15:A62)+$B$3))),IF($D$15="",INDEX(orderHistory[order_type],SMALL(IF(ISNUMBER(MATCH(orderHistory[order_type],$D$13,0)),MATCH(ROW(orderHistory[customer]),ROW(orderHistory[customer])),""),ROWS($A$15:A62)+$B$3)),INDEX(orderHistory[order_type],SMALL(IF(ISNUMBER(MATCH(orderHistory[order_type],$D$13,0)*MATCH(YEAR(orderHistory[invoice_date]),$D$15,0)),MATCH(ROW(orderHistory[customer]),ROW(orderHistory[customer])),""),ROWS($A$15:A62)+$B$3)))),IF($D$13="",IF($D$15="",INDEX(orderHistory[order_type],SMALL(IF(ISNUMBER(MATCH(orderHistory[status],$D$11,0)),MATCH(ROW(orderHistory[customer]),ROW(orderHistory[customer])),""),ROWS($A$15:A62)+$B$3)),INDEX(orderHistory[order_type],SMALL(IF(ISNUMBER(MATCH(orderHistory[status],$D$11,0)*MATCH(YEAR(orderHistory[invoice_date]),$D$15,0)),MATCH(ROW(orderHistory[customer]),ROW(orderHistory[customer])),""),ROWS($A$15:A62)+$B$3))),IF($D$15="",INDEX(orderHistory[order_type],SMALL(IF(ISNUMBER(MATCH(orderHistory[status],$D$11,0)*MATCH(orderHistory[order_type],$D$13,0)),MATCH(ROW(orderHistory[customer]),ROW(orderHistory[customer])),""),ROWS($A$15:A62)+$B$3)),INDEX(orderHistory[order_typ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type],SMALL(IF(ISNUMBER(MATCH(orderHistory[customer],$D$9,0)),MATCH(ROW(orderHistory[customer]),ROW(orderHistory[customer])),""),ROWS($A$15:A62)+$B$3)),INDEX(orderHistory[order_type],SMALL(IF(ISNUMBER(MATCH(orderHistory[customer],$D$9,0)*MATCH(YEAR(orderHistory[invoice_date]),$D$15,0)),MATCH(ROW(orderHistory[customer]),ROW(orderHistory[customer])),""),ROWS($A$15:A62)+$B$3))),IF($D$15="",INDEX(orderHistory[order_type],SMALL(IF(ISNUMBER(MATCH(orderHistory[customer],$D$9,0)*MATCH(orderHistory[order_type],$D$13,0)),MATCH(ROW(orderHistory[customer]),ROW(orderHistory[customer])),""),ROWS($A$15:A62)+$B$3)),INDEX(orderHistory[order_typ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YEAR(orderHistory[invoice_date]),$D$15,0)),MATCH(ROW(orderHistory[customer]),ROW(orderHistory[customer])),""),ROWS($A$15:A62)+$B$3))),IF($D$15="",INDEX(orderHistory[order_type],SMALL(IF(ISNUMBER(MATCH(orderHistory[customer],$D$9,0)*MATCH(orderHistory[status],$D$11,0)*MATCH(orderHistory[order_type],$D$13,0)),MATCH(ROW(orderHistory[customer]),ROW(orderHistory[customer])),""),ROWS($A$15:A62)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O57" s="455" t="str">
        <f t="array" ref="O57">IFERROR(IF($D$9="",IF($D$11="",IF($D$13="",IF($D$15="",INDEX(orderHistory[order_date],SMALL(MATCH(ROW(orderHistory[customer]),ROW(orderHistory[customer])),ROWS($A$15:A62)+$B$3)),INDEX(orderHistory[order_date],SMALL(IF(ISNUMBER(MATCH(YEAR(orderHistory[invoice_date]),$D$15,0)),MATCH(ROW(orderHistory[customer]),ROW(orderHistory[customer])),""),ROWS($A$15:A62)+$B$3))),IF($D$15="",INDEX(orderHistory[order_date],SMALL(IF(ISNUMBER(MATCH(orderHistory[order_type],$D$13,0)),MATCH(ROW(orderHistory[customer]),ROW(orderHistory[customer])),""),ROWS($A$15:A62)+$B$3)),INDEX(orderHistory[order_date],SMALL(IF(ISNUMBER(MATCH(orderHistory[order_type],$D$13,0)*MATCH(YEAR(orderHistory[invoice_date]),$D$15,0)),MATCH(ROW(orderHistory[customer]),ROW(orderHistory[customer])),""),ROWS($A$15:A62)+$B$3)))),IF($D$13="",IF($D$15="",INDEX(orderHistory[order_date],SMALL(IF(ISNUMBER(MATCH(orderHistory[status],$D$11,0)),MATCH(ROW(orderHistory[customer]),ROW(orderHistory[customer])),""),ROWS($A$15:A62)+$B$3)),INDEX(orderHistory[order_date],SMALL(IF(ISNUMBER(MATCH(orderHistory[status],$D$11,0)*MATCH(YEAR(orderHistory[invoice_date]),$D$15,0)),MATCH(ROW(orderHistory[customer]),ROW(orderHistory[customer])),""),ROWS($A$15:A62)+$B$3))),IF($D$15="",INDEX(orderHistory[order_date],SMALL(IF(ISNUMBER(MATCH(orderHistory[status],$D$11,0)*MATCH(orderHistory[order_type],$D$13,0)),MATCH(ROW(orderHistory[customer]),ROW(orderHistory[customer])),""),ROWS($A$15:A62)+$B$3)),INDEX(orderHistory[order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date],SMALL(IF(ISNUMBER(MATCH(orderHistory[customer],$D$9,0)),MATCH(ROW(orderHistory[customer]),ROW(orderHistory[customer])),""),ROWS($A$15:A62)+$B$3)),INDEX(orderHistory[order_date],SMALL(IF(ISNUMBER(MATCH(orderHistory[customer],$D$9,0)*MATCH(YEAR(orderHistory[invoice_date]),$D$15,0)),MATCH(ROW(orderHistory[customer]),ROW(orderHistory[customer])),""),ROWS($A$15:A62)+$B$3))),IF($D$15="",INDEX(orderHistory[order_date],SMALL(IF(ISNUMBER(MATCH(orderHistory[customer],$D$9,0)*MATCH(orderHistory[order_type],$D$13,0)),MATCH(ROW(orderHistory[customer]),ROW(orderHistory[customer])),""),ROWS($A$15:A62)+$B$3)),INDEX(orderHistory[order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YEAR(orderHistory[invoice_date]),$D$15,0)),MATCH(ROW(orderHistory[customer]),ROW(orderHistory[customer])),""),ROWS($A$15:A62)+$B$3))),IF($D$15="",INDEX(orderHistory[order_date],SMALL(IF(ISNUMBER(MATCH(orderHistory[customer],$D$9,0)*MATCH(orderHistory[status],$D$11,0)*MATCH(orderHistory[order_type],$D$13,0)),MATCH(ROW(orderHistory[customer]),ROW(orderHistory[customer])),""),ROWS($A$15:A62)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P57" s="456" t="str">
        <f t="array" ref="P57">IFERROR(IF($D$9="",IF($D$11="",IF($D$13="",IF($D$15="",INDEX(orderHistory[invoice_no],SMALL(MATCH(ROW(orderHistory[customer]),ROW(orderHistory[customer])),ROWS($A$15:A62)+$B$3)),INDEX(orderHistory[invoice_no],SMALL(IF(ISNUMBER(MATCH(YEAR(orderHistory[invoice_date]),$D$15,0)),MATCH(ROW(orderHistory[customer]),ROW(orderHistory[customer])),""),ROWS($A$15:A62)+$B$3))),IF($D$15="",INDEX(orderHistory[invoice_no],SMALL(IF(ISNUMBER(MATCH(orderHistory[order_type],$D$13,0)),MATCH(ROW(orderHistory[customer]),ROW(orderHistory[customer])),""),ROWS($A$15:A62)+$B$3)),INDEX(orderHistory[invoice_no],SMALL(IF(ISNUMBER(MATCH(orderHistory[order_type],$D$13,0)*MATCH(YEAR(orderHistory[invoice_date]),$D$15,0)),MATCH(ROW(orderHistory[customer]),ROW(orderHistory[customer])),""),ROWS($A$15:A62)+$B$3)))),IF($D$13="",IF($D$15="",INDEX(orderHistory[invoice_no],SMALL(IF(ISNUMBER(MATCH(orderHistory[status],$D$11,0)),MATCH(ROW(orderHistory[customer]),ROW(orderHistory[customer])),""),ROWS($A$15:A62)+$B$3)),INDEX(orderHistory[invoice_no],SMALL(IF(ISNUMBER(MATCH(orderHistory[status],$D$11,0)*MATCH(YEAR(orderHistory[invoice_date]),$D$15,0)),MATCH(ROW(orderHistory[customer]),ROW(orderHistory[customer])),""),ROWS($A$15:A62)+$B$3))),IF($D$15="",INDEX(orderHistory[invoice_no],SMALL(IF(ISNUMBER(MATCH(orderHistory[status],$D$11,0)*MATCH(orderHistory[order_type],$D$13,0)),MATCH(ROW(orderHistory[customer]),ROW(orderHistory[customer])),""),ROWS($A$15:A62)+$B$3)),INDEX(orderHistory[invoice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no],SMALL(IF(ISNUMBER(MATCH(orderHistory[customer],$D$9,0)),MATCH(ROW(orderHistory[customer]),ROW(orderHistory[customer])),""),ROWS($A$15:A62)+$B$3)),INDEX(orderHistory[invoice_no],SMALL(IF(ISNUMBER(MATCH(orderHistory[customer],$D$9,0)*MATCH(YEAR(orderHistory[invoice_date]),$D$15,0)),MATCH(ROW(orderHistory[customer]),ROW(orderHistory[customer])),""),ROWS($A$15:A62)+$B$3))),IF($D$15="",INDEX(orderHistory[invoice_no],SMALL(IF(ISNUMBER(MATCH(orderHistory[customer],$D$9,0)*MATCH(orderHistory[order_type],$D$13,0)),MATCH(ROW(orderHistory[customer]),ROW(orderHistory[customer])),""),ROWS($A$15:A62)+$B$3)),INDEX(orderHistory[invoice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YEAR(orderHistory[invoice_date]),$D$15,0)),MATCH(ROW(orderHistory[customer]),ROW(orderHistory[customer])),""),ROWS($A$15:A62)+$B$3))),IF($D$15="",INDEX(orderHistory[invoice_no],SMALL(IF(ISNUMBER(MATCH(orderHistory[customer],$D$9,0)*MATCH(orderHistory[status],$D$11,0)*MATCH(orderHistory[order_type],$D$13,0)),MATCH(ROW(orderHistory[customer]),ROW(orderHistory[customer])),""),ROWS($A$15:A62)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Q57" s="457" t="str">
        <f t="array" ref="Q57">IFERROR(IF($D$9="",IF($D$11="",IF($D$13="",IF($D$15="",INDEX(orderHistory[invoice_date],SMALL(MATCH(ROW(orderHistory[customer]),ROW(orderHistory[customer])),ROWS($A$15:A62)+$B$3)),INDEX(orderHistory[invoice_date],SMALL(IF(ISNUMBER(MATCH(YEAR(orderHistory[invoice_date]),$D$15,0)),MATCH(ROW(orderHistory[customer]),ROW(orderHistory[customer])),""),ROWS($A$15:A62)+$B$3))),IF($D$15="",INDEX(orderHistory[invoice_date],SMALL(IF(ISNUMBER(MATCH(orderHistory[order_type],$D$13,0)),MATCH(ROW(orderHistory[customer]),ROW(orderHistory[customer])),""),ROWS($A$15:A62)+$B$3)),INDEX(orderHistory[invoice_date],SMALL(IF(ISNUMBER(MATCH(orderHistory[order_type],$D$13,0)*MATCH(YEAR(orderHistory[invoice_date]),$D$15,0)),MATCH(ROW(orderHistory[customer]),ROW(orderHistory[customer])),""),ROWS($A$15:A62)+$B$3)))),IF($D$13="",IF($D$15="",INDEX(orderHistory[invoice_date],SMALL(IF(ISNUMBER(MATCH(orderHistory[status],$D$11,0)),MATCH(ROW(orderHistory[customer]),ROW(orderHistory[customer])),""),ROWS($A$15:A62)+$B$3)),INDEX(orderHistory[invoice_date],SMALL(IF(ISNUMBER(MATCH(orderHistory[status],$D$11,0)*MATCH(YEAR(orderHistory[invoice_date]),$D$15,0)),MATCH(ROW(orderHistory[customer]),ROW(orderHistory[customer])),""),ROWS($A$15:A62)+$B$3))),IF($D$15="",INDEX(orderHistory[invoice_date],SMALL(IF(ISNUMBER(MATCH(orderHistory[status],$D$11,0)*MATCH(orderHistory[order_type],$D$13,0)),MATCH(ROW(orderHistory[customer]),ROW(orderHistory[customer])),""),ROWS($A$15:A62)+$B$3)),INDEX(orderHistory[invoice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date],SMALL(IF(ISNUMBER(MATCH(orderHistory[customer],$D$9,0)),MATCH(ROW(orderHistory[customer]),ROW(orderHistory[customer])),""),ROWS($A$15:A62)+$B$3)),INDEX(orderHistory[invoice_date],SMALL(IF(ISNUMBER(MATCH(orderHistory[customer],$D$9,0)*MATCH(YEAR(orderHistory[invoice_date]),$D$15,0)),MATCH(ROW(orderHistory[customer]),ROW(orderHistory[customer])),""),ROWS($A$15:A62)+$B$3))),IF($D$15="",INDEX(orderHistory[invoice_date],SMALL(IF(ISNUMBER(MATCH(orderHistory[customer],$D$9,0)*MATCH(orderHistory[order_type],$D$13,0)),MATCH(ROW(orderHistory[customer]),ROW(orderHistory[customer])),""),ROWS($A$15:A62)+$B$3)),INDEX(orderHistory[invoice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YEAR(orderHistory[invoice_date]),$D$15,0)),MATCH(ROW(orderHistory[customer]),ROW(orderHistory[customer])),""),ROWS($A$15:A62)+$B$3))),IF($D$15="",INDEX(orderHistory[invoice_date],SMALL(IF(ISNUMBER(MATCH(orderHistory[customer],$D$9,0)*MATCH(orderHistory[status],$D$11,0)*MATCH(orderHistory[order_type],$D$13,0)),MATCH(ROW(orderHistory[customer]),ROW(orderHistory[customer])),""),ROWS($A$15:A62)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R57" s="458" t="str">
        <f t="array" ref="R57">IFERROR(IF($D$9="",IF($D$11="",IF($D$13="",IF($D$15="",INDEX(orderHistory[inv_amount],SMALL(MATCH(ROW(orderHistory[customer]),ROW(orderHistory[customer])),ROWS($A$15:A62)+$B$3)),INDEX(orderHistory[inv_amount],SMALL(IF(ISNUMBER(MATCH(YEAR(orderHistory[invoice_date]),$D$15,0)),MATCH(ROW(orderHistory[customer]),ROW(orderHistory[customer])),""),ROWS($A$15:A62)+$B$3))),IF($D$15="",INDEX(orderHistory[inv_amount],SMALL(IF(ISNUMBER(MATCH(orderHistory[order_type],$D$13,0)),MATCH(ROW(orderHistory[customer]),ROW(orderHistory[customer])),""),ROWS($A$15:A62)+$B$3)),INDEX(orderHistory[inv_amount],SMALL(IF(ISNUMBER(MATCH(orderHistory[order_type],$D$13,0)*MATCH(YEAR(orderHistory[invoice_date]),$D$15,0)),MATCH(ROW(orderHistory[customer]),ROW(orderHistory[customer])),""),ROWS($A$15:A62)+$B$3)))),IF($D$13="",IF($D$15="",INDEX(orderHistory[inv_amount],SMALL(IF(ISNUMBER(MATCH(orderHistory[status],$D$11,0)),MATCH(ROW(orderHistory[customer]),ROW(orderHistory[customer])),""),ROWS($A$15:A62)+$B$3)),INDEX(orderHistory[inv_amount],SMALL(IF(ISNUMBER(MATCH(orderHistory[status],$D$11,0)*MATCH(YEAR(orderHistory[invoice_date]),$D$15,0)),MATCH(ROW(orderHistory[customer]),ROW(orderHistory[customer])),""),ROWS($A$15:A62)+$B$3))),IF($D$15="",INDEX(orderHistory[inv_amount],SMALL(IF(ISNUMBER(MATCH(orderHistory[status],$D$11,0)*MATCH(orderHistory[order_type],$D$13,0)),MATCH(ROW(orderHistory[customer]),ROW(orderHistory[customer])),""),ROWS($A$15:A62)+$B$3)),INDEX(orderHistory[inv_amount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_amount],SMALL(IF(ISNUMBER(MATCH(orderHistory[customer],$D$9,0)),MATCH(ROW(orderHistory[customer]),ROW(orderHistory[customer])),""),ROWS($A$15:A62)+$B$3)),INDEX(orderHistory[inv_amount],SMALL(IF(ISNUMBER(MATCH(orderHistory[customer],$D$9,0)*MATCH(YEAR(orderHistory[invoice_date]),$D$15,0)),MATCH(ROW(orderHistory[customer]),ROW(orderHistory[customer])),""),ROWS($A$15:A62)+$B$3))),IF($D$15="",INDEX(orderHistory[inv_amount],SMALL(IF(ISNUMBER(MATCH(orderHistory[customer],$D$9,0)*MATCH(orderHistory[order_type],$D$13,0)),MATCH(ROW(orderHistory[customer]),ROW(orderHistory[customer])),""),ROWS($A$15:A62)+$B$3)),INDEX(orderHistory[inv_amount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YEAR(orderHistory[inv_amount]),$D$15,0)),MATCH(ROW(orderHistory[customer]),ROW(orderHistory[customer])),""),ROWS($A$15:A62)+$B$3))),IF($D$15="",INDEX(orderHistory[inv_amount],SMALL(IF(ISNUMBER(MATCH(orderHistory[customer],$D$9,0)*MATCH(orderHistory[status],$D$11,0)*MATCH(orderHistory[order_type],$D$13,0)),MATCH(ROW(orderHistory[customer]),ROW(orderHistory[customer])),""),ROWS($A$15:A62)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S57" s="569" t="str">
        <f t="array" ref="S57">IFERROR(IF($D$9="",IF($D$11="",IF($D$13="",IF($D$15="",INDEX(orderHistory[lock_goods],SMALL(MATCH(ROW(orderHistory[customer]),ROW(orderHistory[customer])),ROWS($A$15:A62)+$B$3)),INDEX(orderHistory[lock_goods],SMALL(IF(ISNUMBER(MATCH(YEAR(orderHistory[invoice_date]),$D$15,0)),MATCH(ROW(orderHistory[customer]),ROW(orderHistory[customer])),""),ROWS($A$15:A62)+$B$3))),IF($D$15="",INDEX(orderHistory[lock_goods],SMALL(IF(ISNUMBER(MATCH(orderHistory[order_type],$D$13,0)),MATCH(ROW(orderHistory[customer]),ROW(orderHistory[customer])),""),ROWS($A$15:A62)+$B$3)),INDEX(orderHistory[lock_goods],SMALL(IF(ISNUMBER(MATCH(orderHistory[order_type],$D$13,0)*MATCH(YEAR(orderHistory[invoice_date]),$D$15,0)),MATCH(ROW(orderHistory[customer]),ROW(orderHistory[customer])),""),ROWS($A$15:A62)+$B$3)))),IF($D$13="",IF($D$15="",INDEX(orderHistory[lock_goods],SMALL(IF(ISNUMBER(MATCH(orderHistory[status],$D$11,0)),MATCH(ROW(orderHistory[customer]),ROW(orderHistory[customer])),""),ROWS($A$15:A62)+$B$3)),INDEX(orderHistory[lock_goods],SMALL(IF(ISNUMBER(MATCH(orderHistory[status],$D$11,0)*MATCH(YEAR(orderHistory[invoice_date]),$D$15,0)),MATCH(ROW(orderHistory[customer]),ROW(orderHistory[customer])),""),ROWS($A$15:A62)+$B$3))),IF($D$15="",INDEX(orderHistory[lock_goods],SMALL(IF(ISNUMBER(MATCH(orderHistory[status],$D$11,0)*MATCH(orderHistory[order_type],$D$13,0)),MATCH(ROW(orderHistory[customer]),ROW(orderHistory[customer])),""),ROWS($A$15:A62)+$B$3)),INDEX(orderHistory[lock_good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lock_goods],SMALL(IF(ISNUMBER(MATCH(orderHistory[customer],$D$9,0)),MATCH(ROW(orderHistory[customer]),ROW(orderHistory[customer])),""),ROWS($A$15:A62)+$B$3)),INDEX(orderHistory[lock_goods],SMALL(IF(ISNUMBER(MATCH(orderHistory[customer],$D$9,0)*MATCH(YEAR(orderHistory[invoice_date]),$D$15,0)),MATCH(ROW(orderHistory[customer]),ROW(orderHistory[customer])),""),ROWS($A$15:A62)+$B$3))),IF($D$15="",INDEX(orderHistory[lock_goods],SMALL(IF(ISNUMBER(MATCH(orderHistory[customer],$D$9,0)*MATCH(orderHistory[order_type],$D$13,0)),MATCH(ROW(orderHistory[customer]),ROW(orderHistory[customer])),""),ROWS($A$15:A62)+$B$3)),INDEX(orderHistory[lock_good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lock_goods],SMALL(IF(ISNUMBER(MATCH(orderHistory[customer],$D$9,0)*MATCH(orderHistory[status],$D$11,0)),MATCH(ROW(orderHistory[customer]),ROW(orderHistory[customer])),""),ROWS($A$15:A62)+$B$3)),INDEX(orderHistory[lock_goods],SMALL(IF(ISNUMBER(MATCH(orderHistory[customer],$D$9,0)*MATCH(orderHistory[status],$D$11,0)*MATCH(YEAR(orderHistory[payed]),$D$15,0)),MATCH(ROW(orderHistory[customer]),ROW(orderHistory[customer])),""),ROWS($A$15:A62)+$B$3))),IF($D$15="",INDEX(orderHistory[lock_goods],SMALL(IF(ISNUMBER(MATCH(orderHistory[customer],$D$9,0)*MATCH(orderHistory[status],$D$11,0)*MATCH(orderHistory[order_type],$D$13,0)),MATCH(ROW(orderHistory[customer]),ROW(orderHistory[customer])),""),ROWS($A$15:A62)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T57" s="459" t="str">
        <f t="array" ref="T57">IFERROR(IF($D$9="",IF($D$11="",IF($D$13="",IF($D$15="",INDEX(orderHistory[payed],SMALL(MATCH(ROW(orderHistory[customer]),ROW(orderHistory[customer])),ROWS($A$15:A62)+$B$3)),INDEX(orderHistory[payed],SMALL(IF(ISNUMBER(MATCH(YEAR(orderHistory[invoice_date]),$D$15,0)),MATCH(ROW(orderHistory[customer]),ROW(orderHistory[customer])),""),ROWS($A$15:A62)+$B$3))),IF($D$15="",INDEX(orderHistory[payed],SMALL(IF(ISNUMBER(MATCH(orderHistory[order_type],$D$13,0)),MATCH(ROW(orderHistory[customer]),ROW(orderHistory[customer])),""),ROWS($A$15:A62)+$B$3)),INDEX(orderHistory[payed],SMALL(IF(ISNUMBER(MATCH(orderHistory[order_type],$D$13,0)*MATCH(YEAR(orderHistory[invoice_date]),$D$15,0)),MATCH(ROW(orderHistory[customer]),ROW(orderHistory[customer])),""),ROWS($A$15:A62)+$B$3)))),IF($D$13="",IF($D$15="",INDEX(orderHistory[payed],SMALL(IF(ISNUMBER(MATCH(orderHistory[status],$D$11,0)),MATCH(ROW(orderHistory[customer]),ROW(orderHistory[customer])),""),ROWS($A$15:A62)+$B$3)),INDEX(orderHistory[payed],SMALL(IF(ISNUMBER(MATCH(orderHistory[status],$D$11,0)*MATCH(YEAR(orderHistory[invoice_date]),$D$15,0)),MATCH(ROW(orderHistory[customer]),ROW(orderHistory[customer])),""),ROWS($A$15:A62)+$B$3))),IF($D$15="",INDEX(orderHistory[payed],SMALL(IF(ISNUMBER(MATCH(orderHistory[status],$D$11,0)*MATCH(orderHistory[order_type],$D$13,0)),MATCH(ROW(orderHistory[customer]),ROW(orderHistory[customer])),""),ROWS($A$15:A62)+$B$3)),INDEX(orderHistory[paye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payed],SMALL(IF(ISNUMBER(MATCH(orderHistory[customer],$D$9,0)),MATCH(ROW(orderHistory[customer]),ROW(orderHistory[customer])),""),ROWS($A$15:A62)+$B$3)),INDEX(orderHistory[payed],SMALL(IF(ISNUMBER(MATCH(orderHistory[customer],$D$9,0)*MATCH(YEAR(orderHistory[invoice_date]),$D$15,0)),MATCH(ROW(orderHistory[customer]),ROW(orderHistory[customer])),""),ROWS($A$15:A62)+$B$3))),IF($D$15="",INDEX(orderHistory[payed],SMALL(IF(ISNUMBER(MATCH(orderHistory[customer],$D$9,0)*MATCH(orderHistory[order_type],$D$13,0)),MATCH(ROW(orderHistory[customer]),ROW(orderHistory[customer])),""),ROWS($A$15:A62)+$B$3)),INDEX(orderHistory[paye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YEAR(orderHistory[payed]),$D$15,0)),MATCH(ROW(orderHistory[customer]),ROW(orderHistory[customer])),""),ROWS($A$15:A62)+$B$3))),IF($D$15="",INDEX(orderHistory[payed],SMALL(IF(ISNUMBER(MATCH(orderHistory[customer],$D$9,0)*MATCH(orderHistory[status],$D$11,0)*MATCH(orderHistory[order_type],$D$13,0)),MATCH(ROW(orderHistory[customer]),ROW(orderHistory[customer])),""),ROWS($A$15:A62)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U57" s="454" t="str">
        <f t="array" ref="U57">IFERROR(IF($D$9="",IF($D$11="",IF($D$13="",IF($D$15="",INDEX(orderHistory[shipping_method],SMALL(MATCH(ROW(orderHistory[customer]),ROW(orderHistory[customer])),ROWS($A$15:A62)+$B$3)),INDEX(orderHistory[shipping_method],SMALL(IF(ISNUMBER(MATCH(YEAR(orderHistory[invoice_date]),$D$15,0)),MATCH(ROW(orderHistory[customer]),ROW(orderHistory[customer])),""),ROWS($A$15:A62)+$B$3))),IF($D$15="",INDEX(orderHistory[shipping_method],SMALL(IF(ISNUMBER(MATCH(orderHistory[order_type],$D$13,0)),MATCH(ROW(orderHistory[customer]),ROW(orderHistory[customer])),""),ROWS($A$15:A62)+$B$3)),INDEX(orderHistory[shipping_method],SMALL(IF(ISNUMBER(MATCH(orderHistory[order_type],$D$13,0)*MATCH(YEAR(orderHistory[invoice_date]),$D$15,0)),MATCH(ROW(orderHistory[customer]),ROW(orderHistory[customer])),""),ROWS($A$15:A62)+$B$3)))),IF($D$13="",IF($D$15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YEAR(orderHistory[invoice_date]),$D$15,0)),MATCH(ROW(orderHistory[customer]),ROW(orderHistory[customer])),""),ROWS($A$15:A62)+$B$3))),IF($D$15="",INDEX(orderHistory[shipping_method],SMALL(IF(ISNUMBER(MATCH(orderHistory[status],$D$11,0)*MATCH(orderHistory[order_type],$D$13,0)),MATCH(ROW(orderHistory[customer]),ROW(orderHistory[customer])),""),ROWS($A$15:A62)+$B$3)),INDEX(orderHistory[shipping_metho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YEAR(orderHistory[invoice_date]),$D$15,0)),MATCH(ROW(orderHistory[customer]),ROW(orderHistory[customer])),""),ROWS($A$15:A62)+$B$3))),IF($D$15="",INDEX(orderHistory[shipping_method],SMALL(IF(ISNUMBER(MATCH(orderHistory[customer],$D$9,0)*MATCH(orderHistory[order_type],$D$13,0)),MATCH(ROW(orderHistory[customer]),ROW(orderHistory[customer])),""),ROWS($A$15:A62)+$B$3)),INDEX(orderHistory[shipping_metho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YEAR(orderHistory[shipping_method]),$D$15,0)),MATCH(ROW(orderHistory[customer]),ROW(orderHistory[customer])),""),ROWS($A$15:A62)+$B$3))),IF($D$15="",INDEX(orderHistory[shipping_method],SMALL(IF(ISNUMBER(MATCH(orderHistory[customer],$D$9,0)*MATCH(orderHistory[status],$D$11,0)*MATCH(orderHistory[order_type],$D$13,0)),MATCH(ROW(orderHistory[customer]),ROW(orderHistory[customer])),""),ROWS($A$15:A62)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V57" s="460" t="str">
        <f t="array" ref="V57">IFERROR(IF($D$9="",IF($D$11="",IF($D$13="",IF($D$15="",INDEX(orderHistory[status],SMALL(MATCH(ROW(orderHistory[customer]),ROW(orderHistory[customer])),ROWS($A$15:A62)+$B$3)),INDEX(orderHistory[status],SMALL(IF(ISNUMBER(MATCH(YEAR(orderHistory[invoice_date]),$D$15,0)),MATCH(ROW(orderHistory[customer]),ROW(orderHistory[customer])),""),ROWS($A$15:A62)+$B$3))),IF($D$15="",INDEX(orderHistory[status],SMALL(IF(ISNUMBER(MATCH(orderHistory[order_type],$D$13,0)),MATCH(ROW(orderHistory[customer]),ROW(orderHistory[customer])),""),ROWS($A$15:A62)+$B$3)),INDEX(orderHistory[status],SMALL(IF(ISNUMBER(MATCH(orderHistory[order_type],$D$13,0)*MATCH(YEAR(orderHistory[invoice_date]),$D$15,0)),MATCH(ROW(orderHistory[customer]),ROW(orderHistory[customer])),""),ROWS($A$15:A62)+$B$3)))),IF($D$13="",IF($D$15="",INDEX(orderHistory[status],SMALL(IF(ISNUMBER(MATCH(orderHistory[status],$D$11,0)),MATCH(ROW(orderHistory[customer]),ROW(orderHistory[customer])),""),ROWS($A$15:A62)+$B$3)),INDEX(orderHistory[status],SMALL(IF(ISNUMBER(MATCH(orderHistory[status],$D$11,0)*MATCH(YEAR(orderHistory[invoice_date]),$D$15,0)),MATCH(ROW(orderHistory[customer]),ROW(orderHistory[customer])),""),ROWS($A$15:A62)+$B$3))),IF($D$15="",INDEX(orderHistory[status],SMALL(IF(ISNUMBER(MATCH(orderHistory[status],$D$11,0)*MATCH(orderHistory[order_type],$D$13,0)),MATCH(ROW(orderHistory[customer]),ROW(orderHistory[customer])),""),ROWS($A$15:A62)+$B$3)),INDEX(orderHistory[statu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tatus],SMALL(IF(ISNUMBER(MATCH(orderHistory[customer],$D$9,0)),MATCH(ROW(orderHistory[customer]),ROW(orderHistory[customer])),""),ROWS($A$15:A62)+$B$3)),INDEX(orderHistory[status],SMALL(IF(ISNUMBER(MATCH(orderHistory[customer],$D$9,0)*MATCH(YEAR(orderHistory[invoice_date]),$D$15,0)),MATCH(ROW(orderHistory[customer]),ROW(orderHistory[customer])),""),ROWS($A$15:A62)+$B$3))),IF($D$15="",INDEX(orderHistory[status],SMALL(IF(ISNUMBER(MATCH(orderHistory[customer],$D$9,0)*MATCH(orderHistory[order_type],$D$13,0)),MATCH(ROW(orderHistory[customer]),ROW(orderHistory[customer])),""),ROWS($A$15:A62)+$B$3)),INDEX(orderHistory[statu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YEAR(orderHistory[status]),$D$15,0)),MATCH(ROW(orderHistory[customer]),ROW(orderHistory[customer])),""),ROWS($A$15:A62)+$B$3))),IF($D$15="",INDEX(orderHistory[status],SMALL(IF(ISNUMBER(MATCH(orderHistory[customer],$D$9,0)*MATCH(orderHistory[status],$D$11,0)*MATCH(orderHistory[order_type],$D$13,0)),MATCH(ROW(orderHistory[customer]),ROW(orderHistory[customer])),""),ROWS($A$15:A62)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W57" s="75"/>
      <c r="AQ57" s="350"/>
      <c r="AR57" s="350" t="s">
        <v>610</v>
      </c>
      <c r="BG57" s="245"/>
      <c r="BK57" s="366"/>
      <c r="BL57" s="367"/>
      <c r="BM57" s="368"/>
      <c r="BN57" s="367"/>
      <c r="BO57" s="368"/>
      <c r="BZ57" s="497"/>
      <c r="CA57" s="477" t="str">
        <f>IF(BZ57="","",INDEX(bhpc_data[description],MATCH(BZ57,bhpc_data[sku],0)))</f>
        <v/>
      </c>
      <c r="CB57" s="480"/>
      <c r="CC57" s="479"/>
      <c r="CD57" s="494"/>
      <c r="CE57" s="481"/>
      <c r="CF57" s="482"/>
      <c r="CG57" s="483" t="str">
        <f>IFERROR(ROUNDUP(CB57/INDEX(bhpc_data[units_per_carton],MATCH(BZ57,bhpc_data[sku],0)),0),"")</f>
        <v/>
      </c>
      <c r="CH57" s="484" t="str">
        <f>IFERROR(ROUNDUP(CD57/INDEX(bhpc_data[units_per_carton],MATCH(BZ57,bhpc_data[sku],0)),0),"")</f>
        <v/>
      </c>
      <c r="CI57" s="484" t="str">
        <f>IFERROR(ROUNDUP(CF57/INDEX(bhpc_data[units_per_carton],MATCH(BZ57,bhpc_data[sku])),0),"")</f>
        <v/>
      </c>
      <c r="CJ57" s="484" t="str">
        <f>IFERROR(((CB57+CD57+CF57)/INDEX(bhpc_data[units_per_carton],MATCH(BZ57,bhpc_data[sku],0)))*INDEX(bhpc_data[net_weight],MATCH(BZ57,bhpc_data[sku],0)),"")</f>
        <v/>
      </c>
      <c r="CK57" s="484" t="str">
        <f>IFERROR(((CB57+CD57+CF57)/INDEX(bhpc_data[units_per_carton],MATCH(BZ57,bhpc_data[sku],0)))*INDEX(bhpc_data[gross_weight],MATCH(BZ57,bhpc_data[sku],0)),"")</f>
        <v/>
      </c>
      <c r="CL57" s="485" t="str">
        <f>IFERROR((CB57+CD57+CF57)/INDEX(bhpc_data[units_per_carton],MATCH(BZ57,bhpc_data[sku],0))*INDEX(bhpc_data[lenght],MATCH(BZ57,bhpc_data[sku],0))*INDEX(bhpc_data[width],MATCH(BZ57,bhpc_data[sku],0))*INDEX(bhpc_data[height],MATCH(BZ57,bhpc_data[sku],0))/1000000000,"")</f>
        <v/>
      </c>
      <c r="CM57" s="486" t="str">
        <f>IFERROR(INDEX(bhpc_data[category],MATCH(BZ57,bhpc_data[sku],0)),"")</f>
        <v/>
      </c>
      <c r="CN57" s="486" t="str">
        <f>IFERROR(INDEX(bhpc_data[size1],MATCH(BZ57,bhpc_data[sku],0)),"")</f>
        <v/>
      </c>
      <c r="CO57" s="487" t="str">
        <f>IFERROR(INDEX(bhpc_data[hs_code],MATCH(BZ57,bhpc_data[sku],0)),"")</f>
        <v/>
      </c>
      <c r="CP57" s="482"/>
      <c r="CQ57" s="488" t="str">
        <f>IFERROR(IF(BZ57="","",IF($BX$15="SALE",INDEX(inventory[COSTO UNITARIO],MATCH(BZ57,inventory[ARTICOLO],0)),IF($BX$15="SAMPLING",INDEX(inventory[COSTO UNITARIO],MATCH(BZ57,inventory[ARTICOLO],0)),""))),"")</f>
        <v/>
      </c>
      <c r="CR57" s="488" t="str">
        <f t="shared" si="5"/>
        <v/>
      </c>
      <c r="CS57" s="489" t="str">
        <f t="shared" si="6"/>
        <v/>
      </c>
      <c r="CT57" s="573" t="str">
        <f t="shared" si="7"/>
        <v/>
      </c>
      <c r="DA57" s="350" t="str">
        <f>IFERROR(VLOOKUP(BZ57,bhpc_data[],22,FALSE),"")</f>
        <v/>
      </c>
      <c r="EE57" s="541" t="str" cm="1">
        <f t="array" ref="EE57">IFERROR(IF($EC$9="",IF($EC$11="",IF($EC$13="",INDEX(bhpc_data[sku],SMALL(MATCH(ROW(bhpc_data[sku]),ROW(bhpc_data[sku])),ROWS($A$15:A62)+$B$3)),INDEX(bhpc_data[sku],SMALL(IF(ISNUMBER(MATCH(bhpc_data[size1],$EC$13,0)),MATCH(ROW(bhpc_data[sku]),ROW(bhpc_data[sku])),""),ROWS($A$15:A62)+$B$3))),IF($EC$13="",INDEX(bhpc_data[sku],SMALL(IF(ISNUMBER(MATCH(bhpc_data[sex],$EC$11,0)),MATCH(ROW(bhpc_data[sku]),ROW(bhpc_data[sku])),""),ROWS($A$15:A62)+$B$3)),INDEX(bhpc_data[sku],SMALL(IF(ISNUMBER(MATCH(bhpc_data[sex],$EC$11,0)*MATCH(bhpc_data[size1],$EC$13,0)),MATCH(ROW(bhpc_data[sku]),ROW(bhpc_data[sku])),""),ROWS($A$15:A62)+$B$3)))),IF($EC$11="",IF($EC$13="",INDEX(bhpc_data[sku],SMALL(IF(ISNUMBER(MATCH(bhpc_data[category],$EC$9,0)),MATCH(ROW(bhpc_data[sku]),ROW(bhpc_data[sku])),""),ROWS($A$15:A62)+$B$3)),INDEX(bhpc_data[sku],SMALL(IF(ISNUMBER(MATCH(bhpc_data[category],$EC$9,0)*MATCH(bhpc_data[size1],$EC$13,0)),MATCH(ROW(bhpc_data[sku]),ROW(bhpc_data[sku])),""),ROWS($A$15:A62)+$B$3))),IF($EC$13="",INDEX(bhpc_data[sku],SMALL(IF(ISNUMBER(MATCH(bhpc_data[category],$EC$9,0)*MATCH(bhpc_data[sex],$EC$11,0)),MATCH(ROW(bhpc_data[sku]),ROW(bhpc_data[sku])),""),ROWS($A$15:A62)+$B$3)),INDEX(bhpc_data[sku],SMALL(IF(ISNUMBER(MATCH(bhpc_data[category],$EC$9,0)*MATCH(bhpc_data[sex],$EC$11,0)*MATCH(bhpc_data[size1],$EC$13,0)),MATCH(ROW(bhpc_data[sku]),ROW(bhpc_data[sku])),""),ROWS($A$15:A62)+$B$3))))),"")</f>
        <v>P05025</v>
      </c>
      <c r="EF57" s="542" t="str" cm="1">
        <f t="array" ref="EF57">IFERROR(IF($EC$9="",IF($EC$11="",IF($EC$13="",INDEX(bhpc_data[description],SMALL(MATCH(ROW(bhpc_data[sku]),ROW(bhpc_data[sku])),ROWS($A$15:A62)+$B$3)),INDEX(bhpc_data[description],SMALL(IF(ISNUMBER(MATCH(bhpc_data[size1],$EC$13,0)),MATCH(ROW(bhpc_data[sku]),ROW(bhpc_data[sku])),""),ROWS($A$15:A62)+$B$3))),IF($EC$13="",INDEX(bhpc_data[description],SMALL(IF(ISNUMBER(MATCH(bhpc_data[sex],$EC$11,0)),MATCH(ROW(bhpc_data[sku]),ROW(bhpc_data[sku])),""),ROWS($A$15:A62)+$B$3)),INDEX(bhpc_data[description],SMALL(IF(ISNUMBER(MATCH(bhpc_data[sex],$EC$11,0)*MATCH(bhpc_data[size1],$EC$13,0)),MATCH(ROW(bhpc_data[sku]),ROW(bhpc_data[sku])),""),ROWS($A$15:A62)+$B$3)))),IF($EC$11="",IF($EC$13="",INDEX(bhpc_data[description],SMALL(IF(ISNUMBER(MATCH(bhpc_data[category],$EC$9,0)),MATCH(ROW(bhpc_data[sku]),ROW(bhpc_data[sku])),""),ROWS($A$15:A62)+$B$3)),INDEX(bhpc_data[description],SMALL(IF(ISNUMBER(MATCH(bhpc_data[category],$EC$9,0)*MATCH(bhpc_data[size1],$EC$13,0)),MATCH(ROW(bhpc_data[sku]),ROW(bhpc_data[sku])),""),ROWS($A$15:A62)+$B$3))),IF($EC$13="",INDEX(bhpc_data[description],SMALL(IF(ISNUMBER(MATCH(bhpc_data[category],$EC$9,0)*MATCH(bhpc_data[sex],$EC$11,0)),MATCH(ROW(bhpc_data[sku]),ROW(bhpc_data[sku])),""),ROWS($A$15:A62)+$B$3)),INDEX(bhpc_data[description],SMALL(IF(ISNUMBER(MATCH(bhpc_data[category],$EC$9,0)*MATCH(bhpc_data[sex],$EC$11,0)*MATCH(bhpc_data[size1],$EC$13,0)),MATCH(ROW(bhpc_data[sku]),ROW(bhpc_data[sku])),""),ROWS($A$15:A62)+$B$3))))),"")</f>
        <v>BHPC WOMEN 9 DEO 150ML</v>
      </c>
      <c r="EG57" s="543">
        <f>IFERROR(IF('BHPC MANAGER'!$EE57="","",INDEX(inventory[ESISTENZA],MATCH('BHPC MANAGER'!$EE57,inventory[ARTICOLO],0))),0)</f>
        <v>25050</v>
      </c>
      <c r="EH57" s="544" t="s">
        <v>914</v>
      </c>
      <c r="EI57" s="544">
        <f t="shared" si="3"/>
        <v>25050</v>
      </c>
      <c r="EJ57" s="545" t="s">
        <v>914</v>
      </c>
      <c r="EK57" s="546">
        <f t="shared" si="4"/>
        <v>25050</v>
      </c>
      <c r="EO57" s="245" t="str">
        <f t="array" ref="EO57">IFERROR(INDEX(orderHistory[order_no],SMALL(IF(ISNUMBER(MATCH(orderHistory[status],$EO$7,0)),MATCH(ROW(orderHistory[order_no]),ROW(orderHistory[order_no])),""),ROWS($A$15:A62))),"")</f>
        <v/>
      </c>
    </row>
    <row r="58" spans="10:145" ht="15" customHeight="1" x14ac:dyDescent="0.35">
      <c r="L58" s="452" t="str">
        <f t="array" ref="L58">IFERROR(IF($D$9="",IF($D$11="",IF($D$13="",IF($D$15="",INDEX(orderHistory[customer],SMALL(MATCH(ROW(orderHistory[customer]),ROW(orderHistory[customer])),ROWS($A$15:A63)+$B$3)),INDEX(orderHistory[customer],SMALL(IF(ISNUMBER(MATCH(YEAR(orderHistory[invoice_date]),$D$15,0)),MATCH(ROW(orderHistory[customer]),ROW(orderHistory[customer])),""),ROWS($A$15:A63)+$B$3))),IF($D$15="",INDEX(orderHistory[customer],SMALL(IF(ISNUMBER(MATCH(orderHistory[order_type],$D$13,0)),MATCH(ROW(orderHistory[customer]),ROW(orderHistory[customer])),""),ROWS($A$15:A63)+$B$3)),INDEX(orderHistory[customer],SMALL(IF(ISNUMBER(MATCH(orderHistory[order_type],$D$13,0)*MATCH(YEAR(orderHistory[invoice_date]),$D$15,0)),MATCH(ROW(orderHistory[customer]),ROW(orderHistory[customer])),""),ROWS($A$15:A63)+$B$3)))),IF($D$13="",IF($D$15="",INDEX(orderHistory[customer],SMALL(IF(ISNUMBER(MATCH(orderHistory[status],$D$11,0)),MATCH(ROW(orderHistory[customer]),ROW(orderHistory[customer])),""),ROWS($A$15:A63)+$B$3)),INDEX(orderHistory[customer],SMALL(IF(ISNUMBER(MATCH(orderHistory[status],$D$11,0)*MATCH(YEAR(orderHistory[invoice_date]),$D$15,0)),MATCH(ROW(orderHistory[customer]),ROW(orderHistory[customer])),""),ROWS($A$15:A63)+$B$3))),IF($D$15="",INDEX(orderHistory[customer],SMALL(IF(ISNUMBER(MATCH(orderHistory[status],$D$11,0)*MATCH(orderHistory[order_type],$D$13,0)),MATCH(ROW(orderHistory[customer]),ROW(orderHistory[customer])),""),ROWS($A$15:A63)+$B$3)),INDEX(orderHistory[customer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customer],SMALL(IF(ISNUMBER(MATCH(orderHistory[customer],$D$9,0)),MATCH(ROW(orderHistory[customer]),ROW(orderHistory[customer])),""),ROWS($A$15:A63)+$B$3)),INDEX(orderHistory[customer],SMALL(IF(ISNUMBER(MATCH(orderHistory[customer],$D$9,0)*MATCH(YEAR(orderHistory[invoice_date]),$D$15,0)),MATCH(ROW(orderHistory[customer]),ROW(orderHistory[customer])),""),ROWS($A$15:A63)+$B$3))),IF($D$15="",INDEX(orderHistory[customer],SMALL(IF(ISNUMBER(MATCH(orderHistory[customer],$D$9,0)*MATCH(orderHistory[order_type],$D$13,0)),MATCH(ROW(orderHistory[customer]),ROW(orderHistory[customer])),""),ROWS($A$15:A63)+$B$3)),INDEX(orderHistory[customer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YEAR(orderHistory[invoice_date]),$D$15,0)),MATCH(ROW(orderHistory[customer]),ROW(orderHistory[customer])),""),ROWS($A$15:A63)+$B$3))),IF($D$15="",INDEX(orderHistory[customer],SMALL(IF(ISNUMBER(MATCH(orderHistory[customer],$D$9,0)*MATCH(orderHistory[status],$D$11,0)*MATCH(orderHistory[order_type],$D$13,0)),MATCH(ROW(orderHistory[customer]),ROW(orderHistory[customer])),""),ROWS($A$15:A63)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M58" s="453" t="str">
        <f t="array" ref="M58">IFERROR(IF($D$9="",IF($D$11="",IF($D$13="",IF($D$15="",INDEX(orderHistory[order_no],SMALL(MATCH(ROW(orderHistory[customer]),ROW(orderHistory[customer])),ROWS($A$15:A63)+$B$3)),INDEX(orderHistory[order_no],SMALL(IF(ISNUMBER(MATCH(YEAR(orderHistory[invoice_date]),$D$15,0)),MATCH(ROW(orderHistory[customer]),ROW(orderHistory[customer])),""),ROWS($A$15:A63)+$B$3))),IF($D$15="",INDEX(orderHistory[order_no],SMALL(IF(ISNUMBER(MATCH(orderHistory[order_type],$D$13,0)),MATCH(ROW(orderHistory[customer]),ROW(orderHistory[customer])),""),ROWS($A$15:A63)+$B$3)),INDEX(orderHistory[order_no],SMALL(IF(ISNUMBER(MATCH(orderHistory[order_type],$D$13,0)*MATCH(YEAR(orderHistory[invoice_date]),$D$15,0)),MATCH(ROW(orderHistory[customer]),ROW(orderHistory[customer])),""),ROWS($A$15:A63)+$B$3)))),IF($D$13="",IF($D$15="",INDEX(orderHistory[order_no],SMALL(IF(ISNUMBER(MATCH(orderHistory[status],$D$11,0)),MATCH(ROW(orderHistory[customer]),ROW(orderHistory[customer])),""),ROWS($A$15:A63)+$B$3)),INDEX(orderHistory[order_no],SMALL(IF(ISNUMBER(MATCH(orderHistory[status],$D$11,0)*MATCH(YEAR(orderHistory[invoice_date]),$D$15,0)),MATCH(ROW(orderHistory[customer]),ROW(orderHistory[customer])),""),ROWS($A$15:A63)+$B$3))),IF($D$15="",INDEX(orderHistory[order_no],SMALL(IF(ISNUMBER(MATCH(orderHistory[status],$D$11,0)*MATCH(orderHistory[order_type],$D$13,0)),MATCH(ROW(orderHistory[customer]),ROW(orderHistory[customer])),""),ROWS($A$15:A63)+$B$3)),INDEX(orderHistory[order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no],SMALL(IF(ISNUMBER(MATCH(orderHistory[customer],$D$9,0)),MATCH(ROW(orderHistory[customer]),ROW(orderHistory[customer])),""),ROWS($A$15:A63)+$B$3)),INDEX(orderHistory[order_no],SMALL(IF(ISNUMBER(MATCH(orderHistory[customer],$D$9,0)*MATCH(YEAR(orderHistory[invoice_date]),$D$15,0)),MATCH(ROW(orderHistory[customer]),ROW(orderHistory[customer])),""),ROWS($A$15:A63)+$B$3))),IF($D$15="",INDEX(orderHistory[order_no],SMALL(IF(ISNUMBER(MATCH(orderHistory[customer],$D$9,0)*MATCH(orderHistory[order_type],$D$13,0)),MATCH(ROW(orderHistory[customer]),ROW(orderHistory[customer])),""),ROWS($A$15:A63)+$B$3)),INDEX(orderHistory[order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YEAR(orderHistory[invoice_date]),$D$15,0)),MATCH(ROW(orderHistory[customer]),ROW(orderHistory[customer])),""),ROWS($A$15:A63)+$B$3))),IF($D$15="",INDEX(orderHistory[order_no],SMALL(IF(ISNUMBER(MATCH(orderHistory[customer],$D$9,0)*MATCH(orderHistory[status],$D$11,0)*MATCH(orderHistory[order_type],$D$13,0)),MATCH(ROW(orderHistory[customer]),ROW(orderHistory[customer])),""),ROWS($A$15:A63)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N58" s="454" t="str">
        <f t="array" ref="N58">IFERROR(IF($D$9="",IF($D$11="",IF($D$13="",IF($D$15="",INDEX(orderHistory[order_type],SMALL(MATCH(ROW(orderHistory[customer]),ROW(orderHistory[customer])),ROWS($A$15:A63)+$B$3)),INDEX(orderHistory[order_type],SMALL(IF(ISNUMBER(MATCH(YEAR(orderHistory[invoice_date]),$D$15,0)),MATCH(ROW(orderHistory[customer]),ROW(orderHistory[customer])),""),ROWS($A$15:A63)+$B$3))),IF($D$15="",INDEX(orderHistory[order_type],SMALL(IF(ISNUMBER(MATCH(orderHistory[order_type],$D$13,0)),MATCH(ROW(orderHistory[customer]),ROW(orderHistory[customer])),""),ROWS($A$15:A63)+$B$3)),INDEX(orderHistory[order_type],SMALL(IF(ISNUMBER(MATCH(orderHistory[order_type],$D$13,0)*MATCH(YEAR(orderHistory[invoice_date]),$D$15,0)),MATCH(ROW(orderHistory[customer]),ROW(orderHistory[customer])),""),ROWS($A$15:A63)+$B$3)))),IF($D$13="",IF($D$15="",INDEX(orderHistory[order_type],SMALL(IF(ISNUMBER(MATCH(orderHistory[status],$D$11,0)),MATCH(ROW(orderHistory[customer]),ROW(orderHistory[customer])),""),ROWS($A$15:A63)+$B$3)),INDEX(orderHistory[order_type],SMALL(IF(ISNUMBER(MATCH(orderHistory[status],$D$11,0)*MATCH(YEAR(orderHistory[invoice_date]),$D$15,0)),MATCH(ROW(orderHistory[customer]),ROW(orderHistory[customer])),""),ROWS($A$15:A63)+$B$3))),IF($D$15="",INDEX(orderHistory[order_type],SMALL(IF(ISNUMBER(MATCH(orderHistory[status],$D$11,0)*MATCH(orderHistory[order_type],$D$13,0)),MATCH(ROW(orderHistory[customer]),ROW(orderHistory[customer])),""),ROWS($A$15:A63)+$B$3)),INDEX(orderHistory[order_typ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type],SMALL(IF(ISNUMBER(MATCH(orderHistory[customer],$D$9,0)),MATCH(ROW(orderHistory[customer]),ROW(orderHistory[customer])),""),ROWS($A$15:A63)+$B$3)),INDEX(orderHistory[order_type],SMALL(IF(ISNUMBER(MATCH(orderHistory[customer],$D$9,0)*MATCH(YEAR(orderHistory[invoice_date]),$D$15,0)),MATCH(ROW(orderHistory[customer]),ROW(orderHistory[customer])),""),ROWS($A$15:A63)+$B$3))),IF($D$15="",INDEX(orderHistory[order_type],SMALL(IF(ISNUMBER(MATCH(orderHistory[customer],$D$9,0)*MATCH(orderHistory[order_type],$D$13,0)),MATCH(ROW(orderHistory[customer]),ROW(orderHistory[customer])),""),ROWS($A$15:A63)+$B$3)),INDEX(orderHistory[order_typ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YEAR(orderHistory[invoice_date]),$D$15,0)),MATCH(ROW(orderHistory[customer]),ROW(orderHistory[customer])),""),ROWS($A$15:A63)+$B$3))),IF($D$15="",INDEX(orderHistory[order_type],SMALL(IF(ISNUMBER(MATCH(orderHistory[customer],$D$9,0)*MATCH(orderHistory[status],$D$11,0)*MATCH(orderHistory[order_type],$D$13,0)),MATCH(ROW(orderHistory[customer]),ROW(orderHistory[customer])),""),ROWS($A$15:A63)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O58" s="455" t="str">
        <f t="array" ref="O58">IFERROR(IF($D$9="",IF($D$11="",IF($D$13="",IF($D$15="",INDEX(orderHistory[order_date],SMALL(MATCH(ROW(orderHistory[customer]),ROW(orderHistory[customer])),ROWS($A$15:A63)+$B$3)),INDEX(orderHistory[order_date],SMALL(IF(ISNUMBER(MATCH(YEAR(orderHistory[invoice_date]),$D$15,0)),MATCH(ROW(orderHistory[customer]),ROW(orderHistory[customer])),""),ROWS($A$15:A63)+$B$3))),IF($D$15="",INDEX(orderHistory[order_date],SMALL(IF(ISNUMBER(MATCH(orderHistory[order_type],$D$13,0)),MATCH(ROW(orderHistory[customer]),ROW(orderHistory[customer])),""),ROWS($A$15:A63)+$B$3)),INDEX(orderHistory[order_date],SMALL(IF(ISNUMBER(MATCH(orderHistory[order_type],$D$13,0)*MATCH(YEAR(orderHistory[invoice_date]),$D$15,0)),MATCH(ROW(orderHistory[customer]),ROW(orderHistory[customer])),""),ROWS($A$15:A63)+$B$3)))),IF($D$13="",IF($D$15="",INDEX(orderHistory[order_date],SMALL(IF(ISNUMBER(MATCH(orderHistory[status],$D$11,0)),MATCH(ROW(orderHistory[customer]),ROW(orderHistory[customer])),""),ROWS($A$15:A63)+$B$3)),INDEX(orderHistory[order_date],SMALL(IF(ISNUMBER(MATCH(orderHistory[status],$D$11,0)*MATCH(YEAR(orderHistory[invoice_date]),$D$15,0)),MATCH(ROW(orderHistory[customer]),ROW(orderHistory[customer])),""),ROWS($A$15:A63)+$B$3))),IF($D$15="",INDEX(orderHistory[order_date],SMALL(IF(ISNUMBER(MATCH(orderHistory[status],$D$11,0)*MATCH(orderHistory[order_type],$D$13,0)),MATCH(ROW(orderHistory[customer]),ROW(orderHistory[customer])),""),ROWS($A$15:A63)+$B$3)),INDEX(orderHistory[order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date],SMALL(IF(ISNUMBER(MATCH(orderHistory[customer],$D$9,0)),MATCH(ROW(orderHistory[customer]),ROW(orderHistory[customer])),""),ROWS($A$15:A63)+$B$3)),INDEX(orderHistory[order_date],SMALL(IF(ISNUMBER(MATCH(orderHistory[customer],$D$9,0)*MATCH(YEAR(orderHistory[invoice_date]),$D$15,0)),MATCH(ROW(orderHistory[customer]),ROW(orderHistory[customer])),""),ROWS($A$15:A63)+$B$3))),IF($D$15="",INDEX(orderHistory[order_date],SMALL(IF(ISNUMBER(MATCH(orderHistory[customer],$D$9,0)*MATCH(orderHistory[order_type],$D$13,0)),MATCH(ROW(orderHistory[customer]),ROW(orderHistory[customer])),""),ROWS($A$15:A63)+$B$3)),INDEX(orderHistory[order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YEAR(orderHistory[invoice_date]),$D$15,0)),MATCH(ROW(orderHistory[customer]),ROW(orderHistory[customer])),""),ROWS($A$15:A63)+$B$3))),IF($D$15="",INDEX(orderHistory[order_date],SMALL(IF(ISNUMBER(MATCH(orderHistory[customer],$D$9,0)*MATCH(orderHistory[status],$D$11,0)*MATCH(orderHistory[order_type],$D$13,0)),MATCH(ROW(orderHistory[customer]),ROW(orderHistory[customer])),""),ROWS($A$15:A63)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P58" s="456" t="str">
        <f t="array" ref="P58">IFERROR(IF($D$9="",IF($D$11="",IF($D$13="",IF($D$15="",INDEX(orderHistory[invoice_no],SMALL(MATCH(ROW(orderHistory[customer]),ROW(orderHistory[customer])),ROWS($A$15:A63)+$B$3)),INDEX(orderHistory[invoice_no],SMALL(IF(ISNUMBER(MATCH(YEAR(orderHistory[invoice_date]),$D$15,0)),MATCH(ROW(orderHistory[customer]),ROW(orderHistory[customer])),""),ROWS($A$15:A63)+$B$3))),IF($D$15="",INDEX(orderHistory[invoice_no],SMALL(IF(ISNUMBER(MATCH(orderHistory[order_type],$D$13,0)),MATCH(ROW(orderHistory[customer]),ROW(orderHistory[customer])),""),ROWS($A$15:A63)+$B$3)),INDEX(orderHistory[invoice_no],SMALL(IF(ISNUMBER(MATCH(orderHistory[order_type],$D$13,0)*MATCH(YEAR(orderHistory[invoice_date]),$D$15,0)),MATCH(ROW(orderHistory[customer]),ROW(orderHistory[customer])),""),ROWS($A$15:A63)+$B$3)))),IF($D$13="",IF($D$15="",INDEX(orderHistory[invoice_no],SMALL(IF(ISNUMBER(MATCH(orderHistory[status],$D$11,0)),MATCH(ROW(orderHistory[customer]),ROW(orderHistory[customer])),""),ROWS($A$15:A63)+$B$3)),INDEX(orderHistory[invoice_no],SMALL(IF(ISNUMBER(MATCH(orderHistory[status],$D$11,0)*MATCH(YEAR(orderHistory[invoice_date]),$D$15,0)),MATCH(ROW(orderHistory[customer]),ROW(orderHistory[customer])),""),ROWS($A$15:A63)+$B$3))),IF($D$15="",INDEX(orderHistory[invoice_no],SMALL(IF(ISNUMBER(MATCH(orderHistory[status],$D$11,0)*MATCH(orderHistory[order_type],$D$13,0)),MATCH(ROW(orderHistory[customer]),ROW(orderHistory[customer])),""),ROWS($A$15:A63)+$B$3)),INDEX(orderHistory[invoice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no],SMALL(IF(ISNUMBER(MATCH(orderHistory[customer],$D$9,0)),MATCH(ROW(orderHistory[customer]),ROW(orderHistory[customer])),""),ROWS($A$15:A63)+$B$3)),INDEX(orderHistory[invoice_no],SMALL(IF(ISNUMBER(MATCH(orderHistory[customer],$D$9,0)*MATCH(YEAR(orderHistory[invoice_date]),$D$15,0)),MATCH(ROW(orderHistory[customer]),ROW(orderHistory[customer])),""),ROWS($A$15:A63)+$B$3))),IF($D$15="",INDEX(orderHistory[invoice_no],SMALL(IF(ISNUMBER(MATCH(orderHistory[customer],$D$9,0)*MATCH(orderHistory[order_type],$D$13,0)),MATCH(ROW(orderHistory[customer]),ROW(orderHistory[customer])),""),ROWS($A$15:A63)+$B$3)),INDEX(orderHistory[invoice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YEAR(orderHistory[invoice_date]),$D$15,0)),MATCH(ROW(orderHistory[customer]),ROW(orderHistory[customer])),""),ROWS($A$15:A63)+$B$3))),IF($D$15="",INDEX(orderHistory[invoice_no],SMALL(IF(ISNUMBER(MATCH(orderHistory[customer],$D$9,0)*MATCH(orderHistory[status],$D$11,0)*MATCH(orderHistory[order_type],$D$13,0)),MATCH(ROW(orderHistory[customer]),ROW(orderHistory[customer])),""),ROWS($A$15:A63)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Q58" s="457" t="str">
        <f t="array" ref="Q58">IFERROR(IF($D$9="",IF($D$11="",IF($D$13="",IF($D$15="",INDEX(orderHistory[invoice_date],SMALL(MATCH(ROW(orderHistory[customer]),ROW(orderHistory[customer])),ROWS($A$15:A63)+$B$3)),INDEX(orderHistory[invoice_date],SMALL(IF(ISNUMBER(MATCH(YEAR(orderHistory[invoice_date]),$D$15,0)),MATCH(ROW(orderHistory[customer]),ROW(orderHistory[customer])),""),ROWS($A$15:A63)+$B$3))),IF($D$15="",INDEX(orderHistory[invoice_date],SMALL(IF(ISNUMBER(MATCH(orderHistory[order_type],$D$13,0)),MATCH(ROW(orderHistory[customer]),ROW(orderHistory[customer])),""),ROWS($A$15:A63)+$B$3)),INDEX(orderHistory[invoice_date],SMALL(IF(ISNUMBER(MATCH(orderHistory[order_type],$D$13,0)*MATCH(YEAR(orderHistory[invoice_date]),$D$15,0)),MATCH(ROW(orderHistory[customer]),ROW(orderHistory[customer])),""),ROWS($A$15:A63)+$B$3)))),IF($D$13="",IF($D$15="",INDEX(orderHistory[invoice_date],SMALL(IF(ISNUMBER(MATCH(orderHistory[status],$D$11,0)),MATCH(ROW(orderHistory[customer]),ROW(orderHistory[customer])),""),ROWS($A$15:A63)+$B$3)),INDEX(orderHistory[invoice_date],SMALL(IF(ISNUMBER(MATCH(orderHistory[status],$D$11,0)*MATCH(YEAR(orderHistory[invoice_date]),$D$15,0)),MATCH(ROW(orderHistory[customer]),ROW(orderHistory[customer])),""),ROWS($A$15:A63)+$B$3))),IF($D$15="",INDEX(orderHistory[invoice_date],SMALL(IF(ISNUMBER(MATCH(orderHistory[status],$D$11,0)*MATCH(orderHistory[order_type],$D$13,0)),MATCH(ROW(orderHistory[customer]),ROW(orderHistory[customer])),""),ROWS($A$15:A63)+$B$3)),INDEX(orderHistory[invoice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date],SMALL(IF(ISNUMBER(MATCH(orderHistory[customer],$D$9,0)),MATCH(ROW(orderHistory[customer]),ROW(orderHistory[customer])),""),ROWS($A$15:A63)+$B$3)),INDEX(orderHistory[invoice_date],SMALL(IF(ISNUMBER(MATCH(orderHistory[customer],$D$9,0)*MATCH(YEAR(orderHistory[invoice_date]),$D$15,0)),MATCH(ROW(orderHistory[customer]),ROW(orderHistory[customer])),""),ROWS($A$15:A63)+$B$3))),IF($D$15="",INDEX(orderHistory[invoice_date],SMALL(IF(ISNUMBER(MATCH(orderHistory[customer],$D$9,0)*MATCH(orderHistory[order_type],$D$13,0)),MATCH(ROW(orderHistory[customer]),ROW(orderHistory[customer])),""),ROWS($A$15:A63)+$B$3)),INDEX(orderHistory[invoice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YEAR(orderHistory[invoice_date]),$D$15,0)),MATCH(ROW(orderHistory[customer]),ROW(orderHistory[customer])),""),ROWS($A$15:A63)+$B$3))),IF($D$15="",INDEX(orderHistory[invoice_date],SMALL(IF(ISNUMBER(MATCH(orderHistory[customer],$D$9,0)*MATCH(orderHistory[status],$D$11,0)*MATCH(orderHistory[order_type],$D$13,0)),MATCH(ROW(orderHistory[customer]),ROW(orderHistory[customer])),""),ROWS($A$15:A63)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R58" s="458" t="str">
        <f t="array" ref="R58">IFERROR(IF($D$9="",IF($D$11="",IF($D$13="",IF($D$15="",INDEX(orderHistory[inv_amount],SMALL(MATCH(ROW(orderHistory[customer]),ROW(orderHistory[customer])),ROWS($A$15:A63)+$B$3)),INDEX(orderHistory[inv_amount],SMALL(IF(ISNUMBER(MATCH(YEAR(orderHistory[invoice_date]),$D$15,0)),MATCH(ROW(orderHistory[customer]),ROW(orderHistory[customer])),""),ROWS($A$15:A63)+$B$3))),IF($D$15="",INDEX(orderHistory[inv_amount],SMALL(IF(ISNUMBER(MATCH(orderHistory[order_type],$D$13,0)),MATCH(ROW(orderHistory[customer]),ROW(orderHistory[customer])),""),ROWS($A$15:A63)+$B$3)),INDEX(orderHistory[inv_amount],SMALL(IF(ISNUMBER(MATCH(orderHistory[order_type],$D$13,0)*MATCH(YEAR(orderHistory[invoice_date]),$D$15,0)),MATCH(ROW(orderHistory[customer]),ROW(orderHistory[customer])),""),ROWS($A$15:A63)+$B$3)))),IF($D$13="",IF($D$15="",INDEX(orderHistory[inv_amount],SMALL(IF(ISNUMBER(MATCH(orderHistory[status],$D$11,0)),MATCH(ROW(orderHistory[customer]),ROW(orderHistory[customer])),""),ROWS($A$15:A63)+$B$3)),INDEX(orderHistory[inv_amount],SMALL(IF(ISNUMBER(MATCH(orderHistory[status],$D$11,0)*MATCH(YEAR(orderHistory[invoice_date]),$D$15,0)),MATCH(ROW(orderHistory[customer]),ROW(orderHistory[customer])),""),ROWS($A$15:A63)+$B$3))),IF($D$15="",INDEX(orderHistory[inv_amount],SMALL(IF(ISNUMBER(MATCH(orderHistory[status],$D$11,0)*MATCH(orderHistory[order_type],$D$13,0)),MATCH(ROW(orderHistory[customer]),ROW(orderHistory[customer])),""),ROWS($A$15:A63)+$B$3)),INDEX(orderHistory[inv_amount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_amount],SMALL(IF(ISNUMBER(MATCH(orderHistory[customer],$D$9,0)),MATCH(ROW(orderHistory[customer]),ROW(orderHistory[customer])),""),ROWS($A$15:A63)+$B$3)),INDEX(orderHistory[inv_amount],SMALL(IF(ISNUMBER(MATCH(orderHistory[customer],$D$9,0)*MATCH(YEAR(orderHistory[invoice_date]),$D$15,0)),MATCH(ROW(orderHistory[customer]),ROW(orderHistory[customer])),""),ROWS($A$15:A63)+$B$3))),IF($D$15="",INDEX(orderHistory[inv_amount],SMALL(IF(ISNUMBER(MATCH(orderHistory[customer],$D$9,0)*MATCH(orderHistory[order_type],$D$13,0)),MATCH(ROW(orderHistory[customer]),ROW(orderHistory[customer])),""),ROWS($A$15:A63)+$B$3)),INDEX(orderHistory[inv_amount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YEAR(orderHistory[inv_amount]),$D$15,0)),MATCH(ROW(orderHistory[customer]),ROW(orderHistory[customer])),""),ROWS($A$15:A63)+$B$3))),IF($D$15="",INDEX(orderHistory[inv_amount],SMALL(IF(ISNUMBER(MATCH(orderHistory[customer],$D$9,0)*MATCH(orderHistory[status],$D$11,0)*MATCH(orderHistory[order_type],$D$13,0)),MATCH(ROW(orderHistory[customer]),ROW(orderHistory[customer])),""),ROWS($A$15:A63)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S58" s="569" t="str">
        <f t="array" ref="S58">IFERROR(IF($D$9="",IF($D$11="",IF($D$13="",IF($D$15="",INDEX(orderHistory[lock_goods],SMALL(MATCH(ROW(orderHistory[customer]),ROW(orderHistory[customer])),ROWS($A$15:A63)+$B$3)),INDEX(orderHistory[lock_goods],SMALL(IF(ISNUMBER(MATCH(YEAR(orderHistory[invoice_date]),$D$15,0)),MATCH(ROW(orderHistory[customer]),ROW(orderHistory[customer])),""),ROWS($A$15:A63)+$B$3))),IF($D$15="",INDEX(orderHistory[lock_goods],SMALL(IF(ISNUMBER(MATCH(orderHistory[order_type],$D$13,0)),MATCH(ROW(orderHistory[customer]),ROW(orderHistory[customer])),""),ROWS($A$15:A63)+$B$3)),INDEX(orderHistory[lock_goods],SMALL(IF(ISNUMBER(MATCH(orderHistory[order_type],$D$13,0)*MATCH(YEAR(orderHistory[invoice_date]),$D$15,0)),MATCH(ROW(orderHistory[customer]),ROW(orderHistory[customer])),""),ROWS($A$15:A63)+$B$3)))),IF($D$13="",IF($D$15="",INDEX(orderHistory[lock_goods],SMALL(IF(ISNUMBER(MATCH(orderHistory[status],$D$11,0)),MATCH(ROW(orderHistory[customer]),ROW(orderHistory[customer])),""),ROWS($A$15:A63)+$B$3)),INDEX(orderHistory[lock_goods],SMALL(IF(ISNUMBER(MATCH(orderHistory[status],$D$11,0)*MATCH(YEAR(orderHistory[invoice_date]),$D$15,0)),MATCH(ROW(orderHistory[customer]),ROW(orderHistory[customer])),""),ROWS($A$15:A63)+$B$3))),IF($D$15="",INDEX(orderHistory[lock_goods],SMALL(IF(ISNUMBER(MATCH(orderHistory[status],$D$11,0)*MATCH(orderHistory[order_type],$D$13,0)),MATCH(ROW(orderHistory[customer]),ROW(orderHistory[customer])),""),ROWS($A$15:A63)+$B$3)),INDEX(orderHistory[lock_good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lock_goods],SMALL(IF(ISNUMBER(MATCH(orderHistory[customer],$D$9,0)),MATCH(ROW(orderHistory[customer]),ROW(orderHistory[customer])),""),ROWS($A$15:A63)+$B$3)),INDEX(orderHistory[lock_goods],SMALL(IF(ISNUMBER(MATCH(orderHistory[customer],$D$9,0)*MATCH(YEAR(orderHistory[invoice_date]),$D$15,0)),MATCH(ROW(orderHistory[customer]),ROW(orderHistory[customer])),""),ROWS($A$15:A63)+$B$3))),IF($D$15="",INDEX(orderHistory[lock_goods],SMALL(IF(ISNUMBER(MATCH(orderHistory[customer],$D$9,0)*MATCH(orderHistory[order_type],$D$13,0)),MATCH(ROW(orderHistory[customer]),ROW(orderHistory[customer])),""),ROWS($A$15:A63)+$B$3)),INDEX(orderHistory[lock_good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lock_goods],SMALL(IF(ISNUMBER(MATCH(orderHistory[customer],$D$9,0)*MATCH(orderHistory[status],$D$11,0)),MATCH(ROW(orderHistory[customer]),ROW(orderHistory[customer])),""),ROWS($A$15:A63)+$B$3)),INDEX(orderHistory[lock_goods],SMALL(IF(ISNUMBER(MATCH(orderHistory[customer],$D$9,0)*MATCH(orderHistory[status],$D$11,0)*MATCH(YEAR(orderHistory[payed]),$D$15,0)),MATCH(ROW(orderHistory[customer]),ROW(orderHistory[customer])),""),ROWS($A$15:A63)+$B$3))),IF($D$15="",INDEX(orderHistory[lock_goods],SMALL(IF(ISNUMBER(MATCH(orderHistory[customer],$D$9,0)*MATCH(orderHistory[status],$D$11,0)*MATCH(orderHistory[order_type],$D$13,0)),MATCH(ROW(orderHistory[customer]),ROW(orderHistory[customer])),""),ROWS($A$15:A63)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T58" s="459" t="str">
        <f t="array" ref="T58">IFERROR(IF($D$9="",IF($D$11="",IF($D$13="",IF($D$15="",INDEX(orderHistory[payed],SMALL(MATCH(ROW(orderHistory[customer]),ROW(orderHistory[customer])),ROWS($A$15:A63)+$B$3)),INDEX(orderHistory[payed],SMALL(IF(ISNUMBER(MATCH(YEAR(orderHistory[invoice_date]),$D$15,0)),MATCH(ROW(orderHistory[customer]),ROW(orderHistory[customer])),""),ROWS($A$15:A63)+$B$3))),IF($D$15="",INDEX(orderHistory[payed],SMALL(IF(ISNUMBER(MATCH(orderHistory[order_type],$D$13,0)),MATCH(ROW(orderHistory[customer]),ROW(orderHistory[customer])),""),ROWS($A$15:A63)+$B$3)),INDEX(orderHistory[payed],SMALL(IF(ISNUMBER(MATCH(orderHistory[order_type],$D$13,0)*MATCH(YEAR(orderHistory[invoice_date]),$D$15,0)),MATCH(ROW(orderHistory[customer]),ROW(orderHistory[customer])),""),ROWS($A$15:A63)+$B$3)))),IF($D$13="",IF($D$15="",INDEX(orderHistory[payed],SMALL(IF(ISNUMBER(MATCH(orderHistory[status],$D$11,0)),MATCH(ROW(orderHistory[customer]),ROW(orderHistory[customer])),""),ROWS($A$15:A63)+$B$3)),INDEX(orderHistory[payed],SMALL(IF(ISNUMBER(MATCH(orderHistory[status],$D$11,0)*MATCH(YEAR(orderHistory[invoice_date]),$D$15,0)),MATCH(ROW(orderHistory[customer]),ROW(orderHistory[customer])),""),ROWS($A$15:A63)+$B$3))),IF($D$15="",INDEX(orderHistory[payed],SMALL(IF(ISNUMBER(MATCH(orderHistory[status],$D$11,0)*MATCH(orderHistory[order_type],$D$13,0)),MATCH(ROW(orderHistory[customer]),ROW(orderHistory[customer])),""),ROWS($A$15:A63)+$B$3)),INDEX(orderHistory[paye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payed],SMALL(IF(ISNUMBER(MATCH(orderHistory[customer],$D$9,0)),MATCH(ROW(orderHistory[customer]),ROW(orderHistory[customer])),""),ROWS($A$15:A63)+$B$3)),INDEX(orderHistory[payed],SMALL(IF(ISNUMBER(MATCH(orderHistory[customer],$D$9,0)*MATCH(YEAR(orderHistory[invoice_date]),$D$15,0)),MATCH(ROW(orderHistory[customer]),ROW(orderHistory[customer])),""),ROWS($A$15:A63)+$B$3))),IF($D$15="",INDEX(orderHistory[payed],SMALL(IF(ISNUMBER(MATCH(orderHistory[customer],$D$9,0)*MATCH(orderHistory[order_type],$D$13,0)),MATCH(ROW(orderHistory[customer]),ROW(orderHistory[customer])),""),ROWS($A$15:A63)+$B$3)),INDEX(orderHistory[paye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YEAR(orderHistory[payed]),$D$15,0)),MATCH(ROW(orderHistory[customer]),ROW(orderHistory[customer])),""),ROWS($A$15:A63)+$B$3))),IF($D$15="",INDEX(orderHistory[payed],SMALL(IF(ISNUMBER(MATCH(orderHistory[customer],$D$9,0)*MATCH(orderHistory[status],$D$11,0)*MATCH(orderHistory[order_type],$D$13,0)),MATCH(ROW(orderHistory[customer]),ROW(orderHistory[customer])),""),ROWS($A$15:A63)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U58" s="454" t="str">
        <f t="array" ref="U58">IFERROR(IF($D$9="",IF($D$11="",IF($D$13="",IF($D$15="",INDEX(orderHistory[shipping_method],SMALL(MATCH(ROW(orderHistory[customer]),ROW(orderHistory[customer])),ROWS($A$15:A63)+$B$3)),INDEX(orderHistory[shipping_method],SMALL(IF(ISNUMBER(MATCH(YEAR(orderHistory[invoice_date]),$D$15,0)),MATCH(ROW(orderHistory[customer]),ROW(orderHistory[customer])),""),ROWS($A$15:A63)+$B$3))),IF($D$15="",INDEX(orderHistory[shipping_method],SMALL(IF(ISNUMBER(MATCH(orderHistory[order_type],$D$13,0)),MATCH(ROW(orderHistory[customer]),ROW(orderHistory[customer])),""),ROWS($A$15:A63)+$B$3)),INDEX(orderHistory[shipping_method],SMALL(IF(ISNUMBER(MATCH(orderHistory[order_type],$D$13,0)*MATCH(YEAR(orderHistory[invoice_date]),$D$15,0)),MATCH(ROW(orderHistory[customer]),ROW(orderHistory[customer])),""),ROWS($A$15:A63)+$B$3)))),IF($D$13="",IF($D$15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YEAR(orderHistory[invoice_date]),$D$15,0)),MATCH(ROW(orderHistory[customer]),ROW(orderHistory[customer])),""),ROWS($A$15:A63)+$B$3))),IF($D$15="",INDEX(orderHistory[shipping_method],SMALL(IF(ISNUMBER(MATCH(orderHistory[status],$D$11,0)*MATCH(orderHistory[order_type],$D$13,0)),MATCH(ROW(orderHistory[customer]),ROW(orderHistory[customer])),""),ROWS($A$15:A63)+$B$3)),INDEX(orderHistory[shipping_metho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YEAR(orderHistory[invoice_date]),$D$15,0)),MATCH(ROW(orderHistory[customer]),ROW(orderHistory[customer])),""),ROWS($A$15:A63)+$B$3))),IF($D$15="",INDEX(orderHistory[shipping_method],SMALL(IF(ISNUMBER(MATCH(orderHistory[customer],$D$9,0)*MATCH(orderHistory[order_type],$D$13,0)),MATCH(ROW(orderHistory[customer]),ROW(orderHistory[customer])),""),ROWS($A$15:A63)+$B$3)),INDEX(orderHistory[shipping_metho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YEAR(orderHistory[shipping_method]),$D$15,0)),MATCH(ROW(orderHistory[customer]),ROW(orderHistory[customer])),""),ROWS($A$15:A63)+$B$3))),IF($D$15="",INDEX(orderHistory[shipping_method],SMALL(IF(ISNUMBER(MATCH(orderHistory[customer],$D$9,0)*MATCH(orderHistory[status],$D$11,0)*MATCH(orderHistory[order_type],$D$13,0)),MATCH(ROW(orderHistory[customer]),ROW(orderHistory[customer])),""),ROWS($A$15:A63)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V58" s="460" t="str">
        <f t="array" ref="V58">IFERROR(IF($D$9="",IF($D$11="",IF($D$13="",IF($D$15="",INDEX(orderHistory[status],SMALL(MATCH(ROW(orderHistory[customer]),ROW(orderHistory[customer])),ROWS($A$15:A63)+$B$3)),INDEX(orderHistory[status],SMALL(IF(ISNUMBER(MATCH(YEAR(orderHistory[invoice_date]),$D$15,0)),MATCH(ROW(orderHistory[customer]),ROW(orderHistory[customer])),""),ROWS($A$15:A63)+$B$3))),IF($D$15="",INDEX(orderHistory[status],SMALL(IF(ISNUMBER(MATCH(orderHistory[order_type],$D$13,0)),MATCH(ROW(orderHistory[customer]),ROW(orderHistory[customer])),""),ROWS($A$15:A63)+$B$3)),INDEX(orderHistory[status],SMALL(IF(ISNUMBER(MATCH(orderHistory[order_type],$D$13,0)*MATCH(YEAR(orderHistory[invoice_date]),$D$15,0)),MATCH(ROW(orderHistory[customer]),ROW(orderHistory[customer])),""),ROWS($A$15:A63)+$B$3)))),IF($D$13="",IF($D$15="",INDEX(orderHistory[status],SMALL(IF(ISNUMBER(MATCH(orderHistory[status],$D$11,0)),MATCH(ROW(orderHistory[customer]),ROW(orderHistory[customer])),""),ROWS($A$15:A63)+$B$3)),INDEX(orderHistory[status],SMALL(IF(ISNUMBER(MATCH(orderHistory[status],$D$11,0)*MATCH(YEAR(orderHistory[invoice_date]),$D$15,0)),MATCH(ROW(orderHistory[customer]),ROW(orderHistory[customer])),""),ROWS($A$15:A63)+$B$3))),IF($D$15="",INDEX(orderHistory[status],SMALL(IF(ISNUMBER(MATCH(orderHistory[status],$D$11,0)*MATCH(orderHistory[order_type],$D$13,0)),MATCH(ROW(orderHistory[customer]),ROW(orderHistory[customer])),""),ROWS($A$15:A63)+$B$3)),INDEX(orderHistory[statu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tatus],SMALL(IF(ISNUMBER(MATCH(orderHistory[customer],$D$9,0)),MATCH(ROW(orderHistory[customer]),ROW(orderHistory[customer])),""),ROWS($A$15:A63)+$B$3)),INDEX(orderHistory[status],SMALL(IF(ISNUMBER(MATCH(orderHistory[customer],$D$9,0)*MATCH(YEAR(orderHistory[invoice_date]),$D$15,0)),MATCH(ROW(orderHistory[customer]),ROW(orderHistory[customer])),""),ROWS($A$15:A63)+$B$3))),IF($D$15="",INDEX(orderHistory[status],SMALL(IF(ISNUMBER(MATCH(orderHistory[customer],$D$9,0)*MATCH(orderHistory[order_type],$D$13,0)),MATCH(ROW(orderHistory[customer]),ROW(orderHistory[customer])),""),ROWS($A$15:A63)+$B$3)),INDEX(orderHistory[statu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YEAR(orderHistory[status]),$D$15,0)),MATCH(ROW(orderHistory[customer]),ROW(orderHistory[customer])),""),ROWS($A$15:A63)+$B$3))),IF($D$15="",INDEX(orderHistory[status],SMALL(IF(ISNUMBER(MATCH(orderHistory[customer],$D$9,0)*MATCH(orderHistory[status],$D$11,0)*MATCH(orderHistory[order_type],$D$13,0)),MATCH(ROW(orderHistory[customer]),ROW(orderHistory[customer])),""),ROWS($A$15:A63)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W58" s="75"/>
      <c r="AQ58" s="350"/>
      <c r="AR58" s="350" t="s">
        <v>611</v>
      </c>
      <c r="BG58" s="245"/>
      <c r="BK58" s="366"/>
      <c r="BL58" s="367"/>
      <c r="BM58" s="368"/>
      <c r="BN58" s="367"/>
      <c r="BO58" s="368"/>
      <c r="BZ58" s="497"/>
      <c r="CA58" s="477" t="str">
        <f>IF(BZ58="","",INDEX(bhpc_data[description],MATCH(BZ58,bhpc_data[sku],0)))</f>
        <v/>
      </c>
      <c r="CB58" s="480"/>
      <c r="CC58" s="479"/>
      <c r="CD58" s="494"/>
      <c r="CE58" s="481"/>
      <c r="CF58" s="482"/>
      <c r="CG58" s="483" t="str">
        <f>IFERROR(ROUNDUP(CB58/INDEX(bhpc_data[units_per_carton],MATCH(BZ58,bhpc_data[sku],0)),0),"")</f>
        <v/>
      </c>
      <c r="CH58" s="484" t="str">
        <f>IFERROR(ROUNDUP(CD58/INDEX(bhpc_data[units_per_carton],MATCH(BZ58,bhpc_data[sku],0)),0),"")</f>
        <v/>
      </c>
      <c r="CI58" s="484" t="str">
        <f>IFERROR(ROUNDUP(CF58/INDEX(bhpc_data[units_per_carton],MATCH(BZ58,bhpc_data[sku])),0),"")</f>
        <v/>
      </c>
      <c r="CJ58" s="484" t="str">
        <f>IFERROR(((CB58+CD58+CF58)/INDEX(bhpc_data[units_per_carton],MATCH(BZ58,bhpc_data[sku],0)))*INDEX(bhpc_data[net_weight],MATCH(BZ58,bhpc_data[sku],0)),"")</f>
        <v/>
      </c>
      <c r="CK58" s="484" t="str">
        <f>IFERROR(((CB58+CD58+CF58)/INDEX(bhpc_data[units_per_carton],MATCH(BZ58,bhpc_data[sku],0)))*INDEX(bhpc_data[gross_weight],MATCH(BZ58,bhpc_data[sku],0)),"")</f>
        <v/>
      </c>
      <c r="CL58" s="485" t="str">
        <f>IFERROR((CB58+CD58+CF58)/INDEX(bhpc_data[units_per_carton],MATCH(BZ58,bhpc_data[sku],0))*INDEX(bhpc_data[lenght],MATCH(BZ58,bhpc_data[sku],0))*INDEX(bhpc_data[width],MATCH(BZ58,bhpc_data[sku],0))*INDEX(bhpc_data[height],MATCH(BZ58,bhpc_data[sku],0))/1000000000,"")</f>
        <v/>
      </c>
      <c r="CM58" s="486" t="str">
        <f>IFERROR(INDEX(bhpc_data[category],MATCH(BZ58,bhpc_data[sku],0)),"")</f>
        <v/>
      </c>
      <c r="CN58" s="486" t="str">
        <f>IFERROR(INDEX(bhpc_data[size1],MATCH(BZ58,bhpc_data[sku],0)),"")</f>
        <v/>
      </c>
      <c r="CO58" s="487" t="str">
        <f>IFERROR(INDEX(bhpc_data[hs_code],MATCH(BZ58,bhpc_data[sku],0)),"")</f>
        <v/>
      </c>
      <c r="CP58" s="482"/>
      <c r="CQ58" s="488" t="str">
        <f>IFERROR(IF(BZ58="","",IF($BX$15="SALE",INDEX(inventory[COSTO UNITARIO],MATCH(BZ58,inventory[ARTICOLO],0)),IF($BX$15="SAMPLING",INDEX(inventory[COSTO UNITARIO],MATCH(BZ58,inventory[ARTICOLO],0)),""))),"")</f>
        <v/>
      </c>
      <c r="CR58" s="488" t="str">
        <f t="shared" si="5"/>
        <v/>
      </c>
      <c r="CS58" s="489" t="str">
        <f t="shared" si="6"/>
        <v/>
      </c>
      <c r="CT58" s="573" t="str">
        <f t="shared" si="7"/>
        <v/>
      </c>
      <c r="DA58" s="350" t="str">
        <f>IFERROR(VLOOKUP(BZ58,bhpc_data[],22,FALSE),"")</f>
        <v/>
      </c>
      <c r="EE58" s="547" t="str" cm="1">
        <f t="array" ref="EE58">IFERROR(IF($EC$9="",IF($EC$11="",IF($EC$13="",INDEX(bhpc_data[sku],SMALL(MATCH(ROW(bhpc_data[sku]),ROW(bhpc_data[sku])),ROWS($A$15:A63)+$B$3)),INDEX(bhpc_data[sku],SMALL(IF(ISNUMBER(MATCH(bhpc_data[size1],$EC$13,0)),MATCH(ROW(bhpc_data[sku]),ROW(bhpc_data[sku])),""),ROWS($A$15:A63)+$B$3))),IF($EC$13="",INDEX(bhpc_data[sku],SMALL(IF(ISNUMBER(MATCH(bhpc_data[sex],$EC$11,0)),MATCH(ROW(bhpc_data[sku]),ROW(bhpc_data[sku])),""),ROWS($A$15:A63)+$B$3)),INDEX(bhpc_data[sku],SMALL(IF(ISNUMBER(MATCH(bhpc_data[sex],$EC$11,0)*MATCH(bhpc_data[size1],$EC$13,0)),MATCH(ROW(bhpc_data[sku]),ROW(bhpc_data[sku])),""),ROWS($A$15:A63)+$B$3)))),IF($EC$11="",IF($EC$13="",INDEX(bhpc_data[sku],SMALL(IF(ISNUMBER(MATCH(bhpc_data[category],$EC$9,0)),MATCH(ROW(bhpc_data[sku]),ROW(bhpc_data[sku])),""),ROWS($A$15:A63)+$B$3)),INDEX(bhpc_data[sku],SMALL(IF(ISNUMBER(MATCH(bhpc_data[category],$EC$9,0)*MATCH(bhpc_data[size1],$EC$13,0)),MATCH(ROW(bhpc_data[sku]),ROW(bhpc_data[sku])),""),ROWS($A$15:A63)+$B$3))),IF($EC$13="",INDEX(bhpc_data[sku],SMALL(IF(ISNUMBER(MATCH(bhpc_data[category],$EC$9,0)*MATCH(bhpc_data[sex],$EC$11,0)),MATCH(ROW(bhpc_data[sku]),ROW(bhpc_data[sku])),""),ROWS($A$15:A63)+$B$3)),INDEX(bhpc_data[sku],SMALL(IF(ISNUMBER(MATCH(bhpc_data[category],$EC$9,0)*MATCH(bhpc_data[sex],$EC$11,0)*MATCH(bhpc_data[size1],$EC$13,0)),MATCH(ROW(bhpc_data[sku]),ROW(bhpc_data[sku])),""),ROWS($A$15:A63)+$B$3))))),"")</f>
        <v>P05026</v>
      </c>
      <c r="EF58" s="548" t="str" cm="1">
        <f t="array" ref="EF58">IFERROR(IF($EC$9="",IF($EC$11="",IF($EC$13="",INDEX(bhpc_data[description],SMALL(MATCH(ROW(bhpc_data[sku]),ROW(bhpc_data[sku])),ROWS($A$15:A63)+$B$3)),INDEX(bhpc_data[description],SMALL(IF(ISNUMBER(MATCH(bhpc_data[size1],$EC$13,0)),MATCH(ROW(bhpc_data[sku]),ROW(bhpc_data[sku])),""),ROWS($A$15:A63)+$B$3))),IF($EC$13="",INDEX(bhpc_data[description],SMALL(IF(ISNUMBER(MATCH(bhpc_data[sex],$EC$11,0)),MATCH(ROW(bhpc_data[sku]),ROW(bhpc_data[sku])),""),ROWS($A$15:A63)+$B$3)),INDEX(bhpc_data[description],SMALL(IF(ISNUMBER(MATCH(bhpc_data[sex],$EC$11,0)*MATCH(bhpc_data[size1],$EC$13,0)),MATCH(ROW(bhpc_data[sku]),ROW(bhpc_data[sku])),""),ROWS($A$15:A63)+$B$3)))),IF($EC$11="",IF($EC$13="",INDEX(bhpc_data[description],SMALL(IF(ISNUMBER(MATCH(bhpc_data[category],$EC$9,0)),MATCH(ROW(bhpc_data[sku]),ROW(bhpc_data[sku])),""),ROWS($A$15:A63)+$B$3)),INDEX(bhpc_data[description],SMALL(IF(ISNUMBER(MATCH(bhpc_data[category],$EC$9,0)*MATCH(bhpc_data[size1],$EC$13,0)),MATCH(ROW(bhpc_data[sku]),ROW(bhpc_data[sku])),""),ROWS($A$15:A63)+$B$3))),IF($EC$13="",INDEX(bhpc_data[description],SMALL(IF(ISNUMBER(MATCH(bhpc_data[category],$EC$9,0)*MATCH(bhpc_data[sex],$EC$11,0)),MATCH(ROW(bhpc_data[sku]),ROW(bhpc_data[sku])),""),ROWS($A$15:A63)+$B$3)),INDEX(bhpc_data[description],SMALL(IF(ISNUMBER(MATCH(bhpc_data[category],$EC$9,0)*MATCH(bhpc_data[sex],$EC$11,0)*MATCH(bhpc_data[size1],$EC$13,0)),MATCH(ROW(bhpc_data[sku]),ROW(bhpc_data[sku])),""),ROWS($A$15:A63)+$B$3))))),"")</f>
        <v>BHPC WOMEN 8 DEO 150ML</v>
      </c>
      <c r="EG58" s="549">
        <f>IFERROR(IF('BHPC MANAGER'!$EE58="","",INDEX(inventory[ESISTENZA],MATCH('BHPC MANAGER'!$EE58,inventory[ARTICOLO],0))),0)</f>
        <v>20447</v>
      </c>
      <c r="EH58" s="550">
        <v>-6888</v>
      </c>
      <c r="EI58" s="550">
        <f t="shared" si="3"/>
        <v>13559</v>
      </c>
      <c r="EJ58" s="551">
        <v>0</v>
      </c>
      <c r="EK58" s="552">
        <f t="shared" si="4"/>
        <v>13559</v>
      </c>
      <c r="EO58" s="245" t="str">
        <f t="array" ref="EO58">IFERROR(INDEX(orderHistory[order_no],SMALL(IF(ISNUMBER(MATCH(orderHistory[status],$EO$7,0)),MATCH(ROW(orderHistory[order_no]),ROW(orderHistory[order_no])),""),ROWS($A$15:A63))),"")</f>
        <v/>
      </c>
    </row>
    <row r="59" spans="10:145" ht="15" customHeight="1" x14ac:dyDescent="0.35">
      <c r="L59" s="452" t="str">
        <f t="array" ref="L59">IFERROR(IF($D$9="",IF($D$11="",IF($D$13="",IF($D$15="",INDEX(orderHistory[customer],SMALL(MATCH(ROW(orderHistory[customer]),ROW(orderHistory[customer])),ROWS($A$15:A64)+$B$3)),INDEX(orderHistory[customer],SMALL(IF(ISNUMBER(MATCH(YEAR(orderHistory[invoice_date]),$D$15,0)),MATCH(ROW(orderHistory[customer]),ROW(orderHistory[customer])),""),ROWS($A$15:A64)+$B$3))),IF($D$15="",INDEX(orderHistory[customer],SMALL(IF(ISNUMBER(MATCH(orderHistory[order_type],$D$13,0)),MATCH(ROW(orderHistory[customer]),ROW(orderHistory[customer])),""),ROWS($A$15:A64)+$B$3)),INDEX(orderHistory[customer],SMALL(IF(ISNUMBER(MATCH(orderHistory[order_type],$D$13,0)*MATCH(YEAR(orderHistory[invoice_date]),$D$15,0)),MATCH(ROW(orderHistory[customer]),ROW(orderHistory[customer])),""),ROWS($A$15:A64)+$B$3)))),IF($D$13="",IF($D$15="",INDEX(orderHistory[customer],SMALL(IF(ISNUMBER(MATCH(orderHistory[status],$D$11,0)),MATCH(ROW(orderHistory[customer]),ROW(orderHistory[customer])),""),ROWS($A$15:A64)+$B$3)),INDEX(orderHistory[customer],SMALL(IF(ISNUMBER(MATCH(orderHistory[status],$D$11,0)*MATCH(YEAR(orderHistory[invoice_date]),$D$15,0)),MATCH(ROW(orderHistory[customer]),ROW(orderHistory[customer])),""),ROWS($A$15:A64)+$B$3))),IF($D$15="",INDEX(orderHistory[customer],SMALL(IF(ISNUMBER(MATCH(orderHistory[status],$D$11,0)*MATCH(orderHistory[order_type],$D$13,0)),MATCH(ROW(orderHistory[customer]),ROW(orderHistory[customer])),""),ROWS($A$15:A64)+$B$3)),INDEX(orderHistory[customer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customer],SMALL(IF(ISNUMBER(MATCH(orderHistory[customer],$D$9,0)),MATCH(ROW(orderHistory[customer]),ROW(orderHistory[customer])),""),ROWS($A$15:A64)+$B$3)),INDEX(orderHistory[customer],SMALL(IF(ISNUMBER(MATCH(orderHistory[customer],$D$9,0)*MATCH(YEAR(orderHistory[invoice_date]),$D$15,0)),MATCH(ROW(orderHistory[customer]),ROW(orderHistory[customer])),""),ROWS($A$15:A64)+$B$3))),IF($D$15="",INDEX(orderHistory[customer],SMALL(IF(ISNUMBER(MATCH(orderHistory[customer],$D$9,0)*MATCH(orderHistory[order_type],$D$13,0)),MATCH(ROW(orderHistory[customer]),ROW(orderHistory[customer])),""),ROWS($A$15:A64)+$B$3)),INDEX(orderHistory[customer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YEAR(orderHistory[invoice_date]),$D$15,0)),MATCH(ROW(orderHistory[customer]),ROW(orderHistory[customer])),""),ROWS($A$15:A64)+$B$3))),IF($D$15="",INDEX(orderHistory[customer],SMALL(IF(ISNUMBER(MATCH(orderHistory[customer],$D$9,0)*MATCH(orderHistory[status],$D$11,0)*MATCH(orderHistory[order_type],$D$13,0)),MATCH(ROW(orderHistory[customer]),ROW(orderHistory[customer])),""),ROWS($A$15:A64)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M59" s="453" t="str">
        <f t="array" ref="M59">IFERROR(IF($D$9="",IF($D$11="",IF($D$13="",IF($D$15="",INDEX(orderHistory[order_no],SMALL(MATCH(ROW(orderHistory[customer]),ROW(orderHistory[customer])),ROWS($A$15:A64)+$B$3)),INDEX(orderHistory[order_no],SMALL(IF(ISNUMBER(MATCH(YEAR(orderHistory[invoice_date]),$D$15,0)),MATCH(ROW(orderHistory[customer]),ROW(orderHistory[customer])),""),ROWS($A$15:A64)+$B$3))),IF($D$15="",INDEX(orderHistory[order_no],SMALL(IF(ISNUMBER(MATCH(orderHistory[order_type],$D$13,0)),MATCH(ROW(orderHistory[customer]),ROW(orderHistory[customer])),""),ROWS($A$15:A64)+$B$3)),INDEX(orderHistory[order_no],SMALL(IF(ISNUMBER(MATCH(orderHistory[order_type],$D$13,0)*MATCH(YEAR(orderHistory[invoice_date]),$D$15,0)),MATCH(ROW(orderHistory[customer]),ROW(orderHistory[customer])),""),ROWS($A$15:A64)+$B$3)))),IF($D$13="",IF($D$15="",INDEX(orderHistory[order_no],SMALL(IF(ISNUMBER(MATCH(orderHistory[status],$D$11,0)),MATCH(ROW(orderHistory[customer]),ROW(orderHistory[customer])),""),ROWS($A$15:A64)+$B$3)),INDEX(orderHistory[order_no],SMALL(IF(ISNUMBER(MATCH(orderHistory[status],$D$11,0)*MATCH(YEAR(orderHistory[invoice_date]),$D$15,0)),MATCH(ROW(orderHistory[customer]),ROW(orderHistory[customer])),""),ROWS($A$15:A64)+$B$3))),IF($D$15="",INDEX(orderHistory[order_no],SMALL(IF(ISNUMBER(MATCH(orderHistory[status],$D$11,0)*MATCH(orderHistory[order_type],$D$13,0)),MATCH(ROW(orderHistory[customer]),ROW(orderHistory[customer])),""),ROWS($A$15:A64)+$B$3)),INDEX(orderHistory[order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no],SMALL(IF(ISNUMBER(MATCH(orderHistory[customer],$D$9,0)),MATCH(ROW(orderHistory[customer]),ROW(orderHistory[customer])),""),ROWS($A$15:A64)+$B$3)),INDEX(orderHistory[order_no],SMALL(IF(ISNUMBER(MATCH(orderHistory[customer],$D$9,0)*MATCH(YEAR(orderHistory[invoice_date]),$D$15,0)),MATCH(ROW(orderHistory[customer]),ROW(orderHistory[customer])),""),ROWS($A$15:A64)+$B$3))),IF($D$15="",INDEX(orderHistory[order_no],SMALL(IF(ISNUMBER(MATCH(orderHistory[customer],$D$9,0)*MATCH(orderHistory[order_type],$D$13,0)),MATCH(ROW(orderHistory[customer]),ROW(orderHistory[customer])),""),ROWS($A$15:A64)+$B$3)),INDEX(orderHistory[order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YEAR(orderHistory[invoice_date]),$D$15,0)),MATCH(ROW(orderHistory[customer]),ROW(orderHistory[customer])),""),ROWS($A$15:A64)+$B$3))),IF($D$15="",INDEX(orderHistory[order_no],SMALL(IF(ISNUMBER(MATCH(orderHistory[customer],$D$9,0)*MATCH(orderHistory[status],$D$11,0)*MATCH(orderHistory[order_type],$D$13,0)),MATCH(ROW(orderHistory[customer]),ROW(orderHistory[customer])),""),ROWS($A$15:A64)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N59" s="454" t="str">
        <f t="array" ref="N59">IFERROR(IF($D$9="",IF($D$11="",IF($D$13="",IF($D$15="",INDEX(orderHistory[order_type],SMALL(MATCH(ROW(orderHistory[customer]),ROW(orderHistory[customer])),ROWS($A$15:A64)+$B$3)),INDEX(orderHistory[order_type],SMALL(IF(ISNUMBER(MATCH(YEAR(orderHistory[invoice_date]),$D$15,0)),MATCH(ROW(orderHistory[customer]),ROW(orderHistory[customer])),""),ROWS($A$15:A64)+$B$3))),IF($D$15="",INDEX(orderHistory[order_type],SMALL(IF(ISNUMBER(MATCH(orderHistory[order_type],$D$13,0)),MATCH(ROW(orderHistory[customer]),ROW(orderHistory[customer])),""),ROWS($A$15:A64)+$B$3)),INDEX(orderHistory[order_type],SMALL(IF(ISNUMBER(MATCH(orderHistory[order_type],$D$13,0)*MATCH(YEAR(orderHistory[invoice_date]),$D$15,0)),MATCH(ROW(orderHistory[customer]),ROW(orderHistory[customer])),""),ROWS($A$15:A64)+$B$3)))),IF($D$13="",IF($D$15="",INDEX(orderHistory[order_type],SMALL(IF(ISNUMBER(MATCH(orderHistory[status],$D$11,0)),MATCH(ROW(orderHistory[customer]),ROW(orderHistory[customer])),""),ROWS($A$15:A64)+$B$3)),INDEX(orderHistory[order_type],SMALL(IF(ISNUMBER(MATCH(orderHistory[status],$D$11,0)*MATCH(YEAR(orderHistory[invoice_date]),$D$15,0)),MATCH(ROW(orderHistory[customer]),ROW(orderHistory[customer])),""),ROWS($A$15:A64)+$B$3))),IF($D$15="",INDEX(orderHistory[order_type],SMALL(IF(ISNUMBER(MATCH(orderHistory[status],$D$11,0)*MATCH(orderHistory[order_type],$D$13,0)),MATCH(ROW(orderHistory[customer]),ROW(orderHistory[customer])),""),ROWS($A$15:A64)+$B$3)),INDEX(orderHistory[order_typ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type],SMALL(IF(ISNUMBER(MATCH(orderHistory[customer],$D$9,0)),MATCH(ROW(orderHistory[customer]),ROW(orderHistory[customer])),""),ROWS($A$15:A64)+$B$3)),INDEX(orderHistory[order_type],SMALL(IF(ISNUMBER(MATCH(orderHistory[customer],$D$9,0)*MATCH(YEAR(orderHistory[invoice_date]),$D$15,0)),MATCH(ROW(orderHistory[customer]),ROW(orderHistory[customer])),""),ROWS($A$15:A64)+$B$3))),IF($D$15="",INDEX(orderHistory[order_type],SMALL(IF(ISNUMBER(MATCH(orderHistory[customer],$D$9,0)*MATCH(orderHistory[order_type],$D$13,0)),MATCH(ROW(orderHistory[customer]),ROW(orderHistory[customer])),""),ROWS($A$15:A64)+$B$3)),INDEX(orderHistory[order_typ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YEAR(orderHistory[invoice_date]),$D$15,0)),MATCH(ROW(orderHistory[customer]),ROW(orderHistory[customer])),""),ROWS($A$15:A64)+$B$3))),IF($D$15="",INDEX(orderHistory[order_type],SMALL(IF(ISNUMBER(MATCH(orderHistory[customer],$D$9,0)*MATCH(orderHistory[status],$D$11,0)*MATCH(orderHistory[order_type],$D$13,0)),MATCH(ROW(orderHistory[customer]),ROW(orderHistory[customer])),""),ROWS($A$15:A64)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O59" s="455" t="str">
        <f t="array" ref="O59">IFERROR(IF($D$9="",IF($D$11="",IF($D$13="",IF($D$15="",INDEX(orderHistory[order_date],SMALL(MATCH(ROW(orderHistory[customer]),ROW(orderHistory[customer])),ROWS($A$15:A64)+$B$3)),INDEX(orderHistory[order_date],SMALL(IF(ISNUMBER(MATCH(YEAR(orderHistory[invoice_date]),$D$15,0)),MATCH(ROW(orderHistory[customer]),ROW(orderHistory[customer])),""),ROWS($A$15:A64)+$B$3))),IF($D$15="",INDEX(orderHistory[order_date],SMALL(IF(ISNUMBER(MATCH(orderHistory[order_type],$D$13,0)),MATCH(ROW(orderHistory[customer]),ROW(orderHistory[customer])),""),ROWS($A$15:A64)+$B$3)),INDEX(orderHistory[order_date],SMALL(IF(ISNUMBER(MATCH(orderHistory[order_type],$D$13,0)*MATCH(YEAR(orderHistory[invoice_date]),$D$15,0)),MATCH(ROW(orderHistory[customer]),ROW(orderHistory[customer])),""),ROWS($A$15:A64)+$B$3)))),IF($D$13="",IF($D$15="",INDEX(orderHistory[order_date],SMALL(IF(ISNUMBER(MATCH(orderHistory[status],$D$11,0)),MATCH(ROW(orderHistory[customer]),ROW(orderHistory[customer])),""),ROWS($A$15:A64)+$B$3)),INDEX(orderHistory[order_date],SMALL(IF(ISNUMBER(MATCH(orderHistory[status],$D$11,0)*MATCH(YEAR(orderHistory[invoice_date]),$D$15,0)),MATCH(ROW(orderHistory[customer]),ROW(orderHistory[customer])),""),ROWS($A$15:A64)+$B$3))),IF($D$15="",INDEX(orderHistory[order_date],SMALL(IF(ISNUMBER(MATCH(orderHistory[status],$D$11,0)*MATCH(orderHistory[order_type],$D$13,0)),MATCH(ROW(orderHistory[customer]),ROW(orderHistory[customer])),""),ROWS($A$15:A64)+$B$3)),INDEX(orderHistory[order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date],SMALL(IF(ISNUMBER(MATCH(orderHistory[customer],$D$9,0)),MATCH(ROW(orderHistory[customer]),ROW(orderHistory[customer])),""),ROWS($A$15:A64)+$B$3)),INDEX(orderHistory[order_date],SMALL(IF(ISNUMBER(MATCH(orderHistory[customer],$D$9,0)*MATCH(YEAR(orderHistory[invoice_date]),$D$15,0)),MATCH(ROW(orderHistory[customer]),ROW(orderHistory[customer])),""),ROWS($A$15:A64)+$B$3))),IF($D$15="",INDEX(orderHistory[order_date],SMALL(IF(ISNUMBER(MATCH(orderHistory[customer],$D$9,0)*MATCH(orderHistory[order_type],$D$13,0)),MATCH(ROW(orderHistory[customer]),ROW(orderHistory[customer])),""),ROWS($A$15:A64)+$B$3)),INDEX(orderHistory[order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YEAR(orderHistory[invoice_date]),$D$15,0)),MATCH(ROW(orderHistory[customer]),ROW(orderHistory[customer])),""),ROWS($A$15:A64)+$B$3))),IF($D$15="",INDEX(orderHistory[order_date],SMALL(IF(ISNUMBER(MATCH(orderHistory[customer],$D$9,0)*MATCH(orderHistory[status],$D$11,0)*MATCH(orderHistory[order_type],$D$13,0)),MATCH(ROW(orderHistory[customer]),ROW(orderHistory[customer])),""),ROWS($A$15:A64)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P59" s="456" t="str">
        <f t="array" ref="P59">IFERROR(IF($D$9="",IF($D$11="",IF($D$13="",IF($D$15="",INDEX(orderHistory[invoice_no],SMALL(MATCH(ROW(orderHistory[customer]),ROW(orderHistory[customer])),ROWS($A$15:A64)+$B$3)),INDEX(orderHistory[invoice_no],SMALL(IF(ISNUMBER(MATCH(YEAR(orderHistory[invoice_date]),$D$15,0)),MATCH(ROW(orderHistory[customer]),ROW(orderHistory[customer])),""),ROWS($A$15:A64)+$B$3))),IF($D$15="",INDEX(orderHistory[invoice_no],SMALL(IF(ISNUMBER(MATCH(orderHistory[order_type],$D$13,0)),MATCH(ROW(orderHistory[customer]),ROW(orderHistory[customer])),""),ROWS($A$15:A64)+$B$3)),INDEX(orderHistory[invoice_no],SMALL(IF(ISNUMBER(MATCH(orderHistory[order_type],$D$13,0)*MATCH(YEAR(orderHistory[invoice_date]),$D$15,0)),MATCH(ROW(orderHistory[customer]),ROW(orderHistory[customer])),""),ROWS($A$15:A64)+$B$3)))),IF($D$13="",IF($D$15="",INDEX(orderHistory[invoice_no],SMALL(IF(ISNUMBER(MATCH(orderHistory[status],$D$11,0)),MATCH(ROW(orderHistory[customer]),ROW(orderHistory[customer])),""),ROWS($A$15:A64)+$B$3)),INDEX(orderHistory[invoice_no],SMALL(IF(ISNUMBER(MATCH(orderHistory[status],$D$11,0)*MATCH(YEAR(orderHistory[invoice_date]),$D$15,0)),MATCH(ROW(orderHistory[customer]),ROW(orderHistory[customer])),""),ROWS($A$15:A64)+$B$3))),IF($D$15="",INDEX(orderHistory[invoice_no],SMALL(IF(ISNUMBER(MATCH(orderHistory[status],$D$11,0)*MATCH(orderHistory[order_type],$D$13,0)),MATCH(ROW(orderHistory[customer]),ROW(orderHistory[customer])),""),ROWS($A$15:A64)+$B$3)),INDEX(orderHistory[invoice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no],SMALL(IF(ISNUMBER(MATCH(orderHistory[customer],$D$9,0)),MATCH(ROW(orderHistory[customer]),ROW(orderHistory[customer])),""),ROWS($A$15:A64)+$B$3)),INDEX(orderHistory[invoice_no],SMALL(IF(ISNUMBER(MATCH(orderHistory[customer],$D$9,0)*MATCH(YEAR(orderHistory[invoice_date]),$D$15,0)),MATCH(ROW(orderHistory[customer]),ROW(orderHistory[customer])),""),ROWS($A$15:A64)+$B$3))),IF($D$15="",INDEX(orderHistory[invoice_no],SMALL(IF(ISNUMBER(MATCH(orderHistory[customer],$D$9,0)*MATCH(orderHistory[order_type],$D$13,0)),MATCH(ROW(orderHistory[customer]),ROW(orderHistory[customer])),""),ROWS($A$15:A64)+$B$3)),INDEX(orderHistory[invoice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YEAR(orderHistory[invoice_date]),$D$15,0)),MATCH(ROW(orderHistory[customer]),ROW(orderHistory[customer])),""),ROWS($A$15:A64)+$B$3))),IF($D$15="",INDEX(orderHistory[invoice_no],SMALL(IF(ISNUMBER(MATCH(orderHistory[customer],$D$9,0)*MATCH(orderHistory[status],$D$11,0)*MATCH(orderHistory[order_type],$D$13,0)),MATCH(ROW(orderHistory[customer]),ROW(orderHistory[customer])),""),ROWS($A$15:A64)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Q59" s="457" t="str">
        <f t="array" ref="Q59">IFERROR(IF($D$9="",IF($D$11="",IF($D$13="",IF($D$15="",INDEX(orderHistory[invoice_date],SMALL(MATCH(ROW(orderHistory[customer]),ROW(orderHistory[customer])),ROWS($A$15:A64)+$B$3)),INDEX(orderHistory[invoice_date],SMALL(IF(ISNUMBER(MATCH(YEAR(orderHistory[invoice_date]),$D$15,0)),MATCH(ROW(orderHistory[customer]),ROW(orderHistory[customer])),""),ROWS($A$15:A64)+$B$3))),IF($D$15="",INDEX(orderHistory[invoice_date],SMALL(IF(ISNUMBER(MATCH(orderHistory[order_type],$D$13,0)),MATCH(ROW(orderHistory[customer]),ROW(orderHistory[customer])),""),ROWS($A$15:A64)+$B$3)),INDEX(orderHistory[invoice_date],SMALL(IF(ISNUMBER(MATCH(orderHistory[order_type],$D$13,0)*MATCH(YEAR(orderHistory[invoice_date]),$D$15,0)),MATCH(ROW(orderHistory[customer]),ROW(orderHistory[customer])),""),ROWS($A$15:A64)+$B$3)))),IF($D$13="",IF($D$15="",INDEX(orderHistory[invoice_date],SMALL(IF(ISNUMBER(MATCH(orderHistory[status],$D$11,0)),MATCH(ROW(orderHistory[customer]),ROW(orderHistory[customer])),""),ROWS($A$15:A64)+$B$3)),INDEX(orderHistory[invoice_date],SMALL(IF(ISNUMBER(MATCH(orderHistory[status],$D$11,0)*MATCH(YEAR(orderHistory[invoice_date]),$D$15,0)),MATCH(ROW(orderHistory[customer]),ROW(orderHistory[customer])),""),ROWS($A$15:A64)+$B$3))),IF($D$15="",INDEX(orderHistory[invoice_date],SMALL(IF(ISNUMBER(MATCH(orderHistory[status],$D$11,0)*MATCH(orderHistory[order_type],$D$13,0)),MATCH(ROW(orderHistory[customer]),ROW(orderHistory[customer])),""),ROWS($A$15:A64)+$B$3)),INDEX(orderHistory[invoice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date],SMALL(IF(ISNUMBER(MATCH(orderHistory[customer],$D$9,0)),MATCH(ROW(orderHistory[customer]),ROW(orderHistory[customer])),""),ROWS($A$15:A64)+$B$3)),INDEX(orderHistory[invoice_date],SMALL(IF(ISNUMBER(MATCH(orderHistory[customer],$D$9,0)*MATCH(YEAR(orderHistory[invoice_date]),$D$15,0)),MATCH(ROW(orderHistory[customer]),ROW(orderHistory[customer])),""),ROWS($A$15:A64)+$B$3))),IF($D$15="",INDEX(orderHistory[invoice_date],SMALL(IF(ISNUMBER(MATCH(orderHistory[customer],$D$9,0)*MATCH(orderHistory[order_type],$D$13,0)),MATCH(ROW(orderHistory[customer]),ROW(orderHistory[customer])),""),ROWS($A$15:A64)+$B$3)),INDEX(orderHistory[invoice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YEAR(orderHistory[invoice_date]),$D$15,0)),MATCH(ROW(orderHistory[customer]),ROW(orderHistory[customer])),""),ROWS($A$15:A64)+$B$3))),IF($D$15="",INDEX(orderHistory[invoice_date],SMALL(IF(ISNUMBER(MATCH(orderHistory[customer],$D$9,0)*MATCH(orderHistory[status],$D$11,0)*MATCH(orderHistory[order_type],$D$13,0)),MATCH(ROW(orderHistory[customer]),ROW(orderHistory[customer])),""),ROWS($A$15:A64)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R59" s="458" t="str">
        <f t="array" ref="R59">IFERROR(IF($D$9="",IF($D$11="",IF($D$13="",IF($D$15="",INDEX(orderHistory[inv_amount],SMALL(MATCH(ROW(orderHistory[customer]),ROW(orderHistory[customer])),ROWS($A$15:A64)+$B$3)),INDEX(orderHistory[inv_amount],SMALL(IF(ISNUMBER(MATCH(YEAR(orderHistory[invoice_date]),$D$15,0)),MATCH(ROW(orderHistory[customer]),ROW(orderHistory[customer])),""),ROWS($A$15:A64)+$B$3))),IF($D$15="",INDEX(orderHistory[inv_amount],SMALL(IF(ISNUMBER(MATCH(orderHistory[order_type],$D$13,0)),MATCH(ROW(orderHistory[customer]),ROW(orderHistory[customer])),""),ROWS($A$15:A64)+$B$3)),INDEX(orderHistory[inv_amount],SMALL(IF(ISNUMBER(MATCH(orderHistory[order_type],$D$13,0)*MATCH(YEAR(orderHistory[invoice_date]),$D$15,0)),MATCH(ROW(orderHistory[customer]),ROW(orderHistory[customer])),""),ROWS($A$15:A64)+$B$3)))),IF($D$13="",IF($D$15="",INDEX(orderHistory[inv_amount],SMALL(IF(ISNUMBER(MATCH(orderHistory[status],$D$11,0)),MATCH(ROW(orderHistory[customer]),ROW(orderHistory[customer])),""),ROWS($A$15:A64)+$B$3)),INDEX(orderHistory[inv_amount],SMALL(IF(ISNUMBER(MATCH(orderHistory[status],$D$11,0)*MATCH(YEAR(orderHistory[invoice_date]),$D$15,0)),MATCH(ROW(orderHistory[customer]),ROW(orderHistory[customer])),""),ROWS($A$15:A64)+$B$3))),IF($D$15="",INDEX(orderHistory[inv_amount],SMALL(IF(ISNUMBER(MATCH(orderHistory[status],$D$11,0)*MATCH(orderHistory[order_type],$D$13,0)),MATCH(ROW(orderHistory[customer]),ROW(orderHistory[customer])),""),ROWS($A$15:A64)+$B$3)),INDEX(orderHistory[inv_amount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_amount],SMALL(IF(ISNUMBER(MATCH(orderHistory[customer],$D$9,0)),MATCH(ROW(orderHistory[customer]),ROW(orderHistory[customer])),""),ROWS($A$15:A64)+$B$3)),INDEX(orderHistory[inv_amount],SMALL(IF(ISNUMBER(MATCH(orderHistory[customer],$D$9,0)*MATCH(YEAR(orderHistory[invoice_date]),$D$15,0)),MATCH(ROW(orderHistory[customer]),ROW(orderHistory[customer])),""),ROWS($A$15:A64)+$B$3))),IF($D$15="",INDEX(orderHistory[inv_amount],SMALL(IF(ISNUMBER(MATCH(orderHistory[customer],$D$9,0)*MATCH(orderHistory[order_type],$D$13,0)),MATCH(ROW(orderHistory[customer]),ROW(orderHistory[customer])),""),ROWS($A$15:A64)+$B$3)),INDEX(orderHistory[inv_amount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YEAR(orderHistory[inv_amount]),$D$15,0)),MATCH(ROW(orderHistory[customer]),ROW(orderHistory[customer])),""),ROWS($A$15:A64)+$B$3))),IF($D$15="",INDEX(orderHistory[inv_amount],SMALL(IF(ISNUMBER(MATCH(orderHistory[customer],$D$9,0)*MATCH(orderHistory[status],$D$11,0)*MATCH(orderHistory[order_type],$D$13,0)),MATCH(ROW(orderHistory[customer]),ROW(orderHistory[customer])),""),ROWS($A$15:A64)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S59" s="569" t="str">
        <f t="array" ref="S59">IFERROR(IF($D$9="",IF($D$11="",IF($D$13="",IF($D$15="",INDEX(orderHistory[lock_goods],SMALL(MATCH(ROW(orderHistory[customer]),ROW(orderHistory[customer])),ROWS($A$15:A64)+$B$3)),INDEX(orderHistory[lock_goods],SMALL(IF(ISNUMBER(MATCH(YEAR(orderHistory[invoice_date]),$D$15,0)),MATCH(ROW(orderHistory[customer]),ROW(orderHistory[customer])),""),ROWS($A$15:A64)+$B$3))),IF($D$15="",INDEX(orderHistory[lock_goods],SMALL(IF(ISNUMBER(MATCH(orderHistory[order_type],$D$13,0)),MATCH(ROW(orderHistory[customer]),ROW(orderHistory[customer])),""),ROWS($A$15:A64)+$B$3)),INDEX(orderHistory[lock_goods],SMALL(IF(ISNUMBER(MATCH(orderHistory[order_type],$D$13,0)*MATCH(YEAR(orderHistory[invoice_date]),$D$15,0)),MATCH(ROW(orderHistory[customer]),ROW(orderHistory[customer])),""),ROWS($A$15:A64)+$B$3)))),IF($D$13="",IF($D$15="",INDEX(orderHistory[lock_goods],SMALL(IF(ISNUMBER(MATCH(orderHistory[status],$D$11,0)),MATCH(ROW(orderHistory[customer]),ROW(orderHistory[customer])),""),ROWS($A$15:A64)+$B$3)),INDEX(orderHistory[lock_goods],SMALL(IF(ISNUMBER(MATCH(orderHistory[status],$D$11,0)*MATCH(YEAR(orderHistory[invoice_date]),$D$15,0)),MATCH(ROW(orderHistory[customer]),ROW(orderHistory[customer])),""),ROWS($A$15:A64)+$B$3))),IF($D$15="",INDEX(orderHistory[lock_goods],SMALL(IF(ISNUMBER(MATCH(orderHistory[status],$D$11,0)*MATCH(orderHistory[order_type],$D$13,0)),MATCH(ROW(orderHistory[customer]),ROW(orderHistory[customer])),""),ROWS($A$15:A64)+$B$3)),INDEX(orderHistory[lock_good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lock_goods],SMALL(IF(ISNUMBER(MATCH(orderHistory[customer],$D$9,0)),MATCH(ROW(orderHistory[customer]),ROW(orderHistory[customer])),""),ROWS($A$15:A64)+$B$3)),INDEX(orderHistory[lock_goods],SMALL(IF(ISNUMBER(MATCH(orderHistory[customer],$D$9,0)*MATCH(YEAR(orderHistory[invoice_date]),$D$15,0)),MATCH(ROW(orderHistory[customer]),ROW(orderHistory[customer])),""),ROWS($A$15:A64)+$B$3))),IF($D$15="",INDEX(orderHistory[lock_goods],SMALL(IF(ISNUMBER(MATCH(orderHistory[customer],$D$9,0)*MATCH(orderHistory[order_type],$D$13,0)),MATCH(ROW(orderHistory[customer]),ROW(orderHistory[customer])),""),ROWS($A$15:A64)+$B$3)),INDEX(orderHistory[lock_good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lock_goods],SMALL(IF(ISNUMBER(MATCH(orderHistory[customer],$D$9,0)*MATCH(orderHistory[status],$D$11,0)),MATCH(ROW(orderHistory[customer]),ROW(orderHistory[customer])),""),ROWS($A$15:A64)+$B$3)),INDEX(orderHistory[lock_goods],SMALL(IF(ISNUMBER(MATCH(orderHistory[customer],$D$9,0)*MATCH(orderHistory[status],$D$11,0)*MATCH(YEAR(orderHistory[payed]),$D$15,0)),MATCH(ROW(orderHistory[customer]),ROW(orderHistory[customer])),""),ROWS($A$15:A64)+$B$3))),IF($D$15="",INDEX(orderHistory[lock_goods],SMALL(IF(ISNUMBER(MATCH(orderHistory[customer],$D$9,0)*MATCH(orderHistory[status],$D$11,0)*MATCH(orderHistory[order_type],$D$13,0)),MATCH(ROW(orderHistory[customer]),ROW(orderHistory[customer])),""),ROWS($A$15:A64)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T59" s="459" t="str">
        <f t="array" ref="T59">IFERROR(IF($D$9="",IF($D$11="",IF($D$13="",IF($D$15="",INDEX(orderHistory[payed],SMALL(MATCH(ROW(orderHistory[customer]),ROW(orderHistory[customer])),ROWS($A$15:A64)+$B$3)),INDEX(orderHistory[payed],SMALL(IF(ISNUMBER(MATCH(YEAR(orderHistory[invoice_date]),$D$15,0)),MATCH(ROW(orderHistory[customer]),ROW(orderHistory[customer])),""),ROWS($A$15:A64)+$B$3))),IF($D$15="",INDEX(orderHistory[payed],SMALL(IF(ISNUMBER(MATCH(orderHistory[order_type],$D$13,0)),MATCH(ROW(orderHistory[customer]),ROW(orderHistory[customer])),""),ROWS($A$15:A64)+$B$3)),INDEX(orderHistory[payed],SMALL(IF(ISNUMBER(MATCH(orderHistory[order_type],$D$13,0)*MATCH(YEAR(orderHistory[invoice_date]),$D$15,0)),MATCH(ROW(orderHistory[customer]),ROW(orderHistory[customer])),""),ROWS($A$15:A64)+$B$3)))),IF($D$13="",IF($D$15="",INDEX(orderHistory[payed],SMALL(IF(ISNUMBER(MATCH(orderHistory[status],$D$11,0)),MATCH(ROW(orderHistory[customer]),ROW(orderHistory[customer])),""),ROWS($A$15:A64)+$B$3)),INDEX(orderHistory[payed],SMALL(IF(ISNUMBER(MATCH(orderHistory[status],$D$11,0)*MATCH(YEAR(orderHistory[invoice_date]),$D$15,0)),MATCH(ROW(orderHistory[customer]),ROW(orderHistory[customer])),""),ROWS($A$15:A64)+$B$3))),IF($D$15="",INDEX(orderHistory[payed],SMALL(IF(ISNUMBER(MATCH(orderHistory[status],$D$11,0)*MATCH(orderHistory[order_type],$D$13,0)),MATCH(ROW(orderHistory[customer]),ROW(orderHistory[customer])),""),ROWS($A$15:A64)+$B$3)),INDEX(orderHistory[paye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payed],SMALL(IF(ISNUMBER(MATCH(orderHistory[customer],$D$9,0)),MATCH(ROW(orderHistory[customer]),ROW(orderHistory[customer])),""),ROWS($A$15:A64)+$B$3)),INDEX(orderHistory[payed],SMALL(IF(ISNUMBER(MATCH(orderHistory[customer],$D$9,0)*MATCH(YEAR(orderHistory[invoice_date]),$D$15,0)),MATCH(ROW(orderHistory[customer]),ROW(orderHistory[customer])),""),ROWS($A$15:A64)+$B$3))),IF($D$15="",INDEX(orderHistory[payed],SMALL(IF(ISNUMBER(MATCH(orderHistory[customer],$D$9,0)*MATCH(orderHistory[order_type],$D$13,0)),MATCH(ROW(orderHistory[customer]),ROW(orderHistory[customer])),""),ROWS($A$15:A64)+$B$3)),INDEX(orderHistory[paye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YEAR(orderHistory[payed]),$D$15,0)),MATCH(ROW(orderHistory[customer]),ROW(orderHistory[customer])),""),ROWS($A$15:A64)+$B$3))),IF($D$15="",INDEX(orderHistory[payed],SMALL(IF(ISNUMBER(MATCH(orderHistory[customer],$D$9,0)*MATCH(orderHistory[status],$D$11,0)*MATCH(orderHistory[order_type],$D$13,0)),MATCH(ROW(orderHistory[customer]),ROW(orderHistory[customer])),""),ROWS($A$15:A64)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U59" s="454" t="str">
        <f t="array" ref="U59">IFERROR(IF($D$9="",IF($D$11="",IF($D$13="",IF($D$15="",INDEX(orderHistory[shipping_method],SMALL(MATCH(ROW(orderHistory[customer]),ROW(orderHistory[customer])),ROWS($A$15:A64)+$B$3)),INDEX(orderHistory[shipping_method],SMALL(IF(ISNUMBER(MATCH(YEAR(orderHistory[invoice_date]),$D$15,0)),MATCH(ROW(orderHistory[customer]),ROW(orderHistory[customer])),""),ROWS($A$15:A64)+$B$3))),IF($D$15="",INDEX(orderHistory[shipping_method],SMALL(IF(ISNUMBER(MATCH(orderHistory[order_type],$D$13,0)),MATCH(ROW(orderHistory[customer]),ROW(orderHistory[customer])),""),ROWS($A$15:A64)+$B$3)),INDEX(orderHistory[shipping_method],SMALL(IF(ISNUMBER(MATCH(orderHistory[order_type],$D$13,0)*MATCH(YEAR(orderHistory[invoice_date]),$D$15,0)),MATCH(ROW(orderHistory[customer]),ROW(orderHistory[customer])),""),ROWS($A$15:A64)+$B$3)))),IF($D$13="",IF($D$15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YEAR(orderHistory[invoice_date]),$D$15,0)),MATCH(ROW(orderHistory[customer]),ROW(orderHistory[customer])),""),ROWS($A$15:A64)+$B$3))),IF($D$15="",INDEX(orderHistory[shipping_method],SMALL(IF(ISNUMBER(MATCH(orderHistory[status],$D$11,0)*MATCH(orderHistory[order_type],$D$13,0)),MATCH(ROW(orderHistory[customer]),ROW(orderHistory[customer])),""),ROWS($A$15:A64)+$B$3)),INDEX(orderHistory[shipping_metho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YEAR(orderHistory[invoice_date]),$D$15,0)),MATCH(ROW(orderHistory[customer]),ROW(orderHistory[customer])),""),ROWS($A$15:A64)+$B$3))),IF($D$15="",INDEX(orderHistory[shipping_method],SMALL(IF(ISNUMBER(MATCH(orderHistory[customer],$D$9,0)*MATCH(orderHistory[order_type],$D$13,0)),MATCH(ROW(orderHistory[customer]),ROW(orderHistory[customer])),""),ROWS($A$15:A64)+$B$3)),INDEX(orderHistory[shipping_metho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YEAR(orderHistory[shipping_method]),$D$15,0)),MATCH(ROW(orderHistory[customer]),ROW(orderHistory[customer])),""),ROWS($A$15:A64)+$B$3))),IF($D$15="",INDEX(orderHistory[shipping_method],SMALL(IF(ISNUMBER(MATCH(orderHistory[customer],$D$9,0)*MATCH(orderHistory[status],$D$11,0)*MATCH(orderHistory[order_type],$D$13,0)),MATCH(ROW(orderHistory[customer]),ROW(orderHistory[customer])),""),ROWS($A$15:A64)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V59" s="460" t="str">
        <f t="array" ref="V59">IFERROR(IF($D$9="",IF($D$11="",IF($D$13="",IF($D$15="",INDEX(orderHistory[status],SMALL(MATCH(ROW(orderHistory[customer]),ROW(orderHistory[customer])),ROWS($A$15:A64)+$B$3)),INDEX(orderHistory[status],SMALL(IF(ISNUMBER(MATCH(YEAR(orderHistory[invoice_date]),$D$15,0)),MATCH(ROW(orderHistory[customer]),ROW(orderHistory[customer])),""),ROWS($A$15:A64)+$B$3))),IF($D$15="",INDEX(orderHistory[status],SMALL(IF(ISNUMBER(MATCH(orderHistory[order_type],$D$13,0)),MATCH(ROW(orderHistory[customer]),ROW(orderHistory[customer])),""),ROWS($A$15:A64)+$B$3)),INDEX(orderHistory[status],SMALL(IF(ISNUMBER(MATCH(orderHistory[order_type],$D$13,0)*MATCH(YEAR(orderHistory[invoice_date]),$D$15,0)),MATCH(ROW(orderHistory[customer]),ROW(orderHistory[customer])),""),ROWS($A$15:A64)+$B$3)))),IF($D$13="",IF($D$15="",INDEX(orderHistory[status],SMALL(IF(ISNUMBER(MATCH(orderHistory[status],$D$11,0)),MATCH(ROW(orderHistory[customer]),ROW(orderHistory[customer])),""),ROWS($A$15:A64)+$B$3)),INDEX(orderHistory[status],SMALL(IF(ISNUMBER(MATCH(orderHistory[status],$D$11,0)*MATCH(YEAR(orderHistory[invoice_date]),$D$15,0)),MATCH(ROW(orderHistory[customer]),ROW(orderHistory[customer])),""),ROWS($A$15:A64)+$B$3))),IF($D$15="",INDEX(orderHistory[status],SMALL(IF(ISNUMBER(MATCH(orderHistory[status],$D$11,0)*MATCH(orderHistory[order_type],$D$13,0)),MATCH(ROW(orderHistory[customer]),ROW(orderHistory[customer])),""),ROWS($A$15:A64)+$B$3)),INDEX(orderHistory[statu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tatus],SMALL(IF(ISNUMBER(MATCH(orderHistory[customer],$D$9,0)),MATCH(ROW(orderHistory[customer]),ROW(orderHistory[customer])),""),ROWS($A$15:A64)+$B$3)),INDEX(orderHistory[status],SMALL(IF(ISNUMBER(MATCH(orderHistory[customer],$D$9,0)*MATCH(YEAR(orderHistory[invoice_date]),$D$15,0)),MATCH(ROW(orderHistory[customer]),ROW(orderHistory[customer])),""),ROWS($A$15:A64)+$B$3))),IF($D$15="",INDEX(orderHistory[status],SMALL(IF(ISNUMBER(MATCH(orderHistory[customer],$D$9,0)*MATCH(orderHistory[order_type],$D$13,0)),MATCH(ROW(orderHistory[customer]),ROW(orderHistory[customer])),""),ROWS($A$15:A64)+$B$3)),INDEX(orderHistory[statu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YEAR(orderHistory[status]),$D$15,0)),MATCH(ROW(orderHistory[customer]),ROW(orderHistory[customer])),""),ROWS($A$15:A64)+$B$3))),IF($D$15="",INDEX(orderHistory[status],SMALL(IF(ISNUMBER(MATCH(orderHistory[customer],$D$9,0)*MATCH(orderHistory[status],$D$11,0)*MATCH(orderHistory[order_type],$D$13,0)),MATCH(ROW(orderHistory[customer]),ROW(orderHistory[customer])),""),ROWS($A$15:A64)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W59" s="75"/>
      <c r="AQ59" s="350"/>
      <c r="AR59" s="350" t="s">
        <v>404</v>
      </c>
      <c r="BG59" s="245"/>
      <c r="BK59" s="366"/>
      <c r="BL59" s="367"/>
      <c r="BM59" s="368"/>
      <c r="BN59" s="367"/>
      <c r="BO59" s="368"/>
      <c r="BZ59" s="497"/>
      <c r="CA59" s="477" t="str">
        <f>IF(BZ59="","",INDEX(bhpc_data[description],MATCH(BZ59,bhpc_data[sku],0)))</f>
        <v/>
      </c>
      <c r="CB59" s="480"/>
      <c r="CC59" s="479"/>
      <c r="CD59" s="498"/>
      <c r="CE59" s="499"/>
      <c r="CF59" s="500"/>
      <c r="CG59" s="483" t="str">
        <f>IFERROR(ROUNDUP(CB59/INDEX(bhpc_data[units_per_carton],MATCH(BZ59,bhpc_data[sku],0)),0),"")</f>
        <v/>
      </c>
      <c r="CH59" s="484" t="str">
        <f>IFERROR(ROUNDUP(CD59/INDEX(bhpc_data[units_per_carton],MATCH(BZ59,bhpc_data[sku],0)),0),"")</f>
        <v/>
      </c>
      <c r="CI59" s="484" t="str">
        <f>IFERROR(ROUNDUP(CF59/INDEX(bhpc_data[units_per_carton],MATCH(BZ59,bhpc_data[sku])),0),"")</f>
        <v/>
      </c>
      <c r="CJ59" s="484" t="str">
        <f>IFERROR(((CB59+CD59+CF59)/INDEX(bhpc_data[units_per_carton],MATCH(BZ59,bhpc_data[sku],0)))*INDEX(bhpc_data[net_weight],MATCH(BZ59,bhpc_data[sku],0)),"")</f>
        <v/>
      </c>
      <c r="CK59" s="484" t="str">
        <f>IFERROR(((CB59+CD59+CF59)/INDEX(bhpc_data[units_per_carton],MATCH(BZ59,bhpc_data[sku],0)))*INDEX(bhpc_data[gross_weight],MATCH(BZ59,bhpc_data[sku],0)),"")</f>
        <v/>
      </c>
      <c r="CL59" s="485" t="str">
        <f>IFERROR((CB59+CD59+CF59)/INDEX(bhpc_data[units_per_carton],MATCH(BZ59,bhpc_data[sku],0))*INDEX(bhpc_data[lenght],MATCH(BZ59,bhpc_data[sku],0))*INDEX(bhpc_data[width],MATCH(BZ59,bhpc_data[sku],0))*INDEX(bhpc_data[height],MATCH(BZ59,bhpc_data[sku],0))/1000000000,"")</f>
        <v/>
      </c>
      <c r="CM59" s="486" t="str">
        <f>IFERROR(INDEX(bhpc_data[category],MATCH(BZ59,bhpc_data[sku],0)),"")</f>
        <v/>
      </c>
      <c r="CN59" s="486" t="str">
        <f>IFERROR(INDEX(bhpc_data[size1],MATCH(BZ59,bhpc_data[sku],0)),"")</f>
        <v/>
      </c>
      <c r="CO59" s="487" t="str">
        <f>IFERROR(INDEX(bhpc_data[hs_code],MATCH(BZ59,bhpc_data[sku],0)),"")</f>
        <v/>
      </c>
      <c r="CP59" s="500"/>
      <c r="CQ59" s="488" t="str">
        <f>IFERROR(IF(BZ59="","",IF($BX$15="SALE",INDEX(inventory[COSTO UNITARIO],MATCH(BZ59,inventory[ARTICOLO],0)),IF($BX$15="SAMPLING",INDEX(inventory[COSTO UNITARIO],MATCH(BZ59,inventory[ARTICOLO],0)),""))),"")</f>
        <v/>
      </c>
      <c r="CR59" s="488" t="str">
        <f t="shared" si="5"/>
        <v/>
      </c>
      <c r="CS59" s="489" t="str">
        <f t="shared" si="6"/>
        <v/>
      </c>
      <c r="CT59" s="573" t="str">
        <f t="shared" si="7"/>
        <v/>
      </c>
      <c r="DA59" s="350" t="str">
        <f>IFERROR(VLOOKUP(BZ59,bhpc_data[],22,FALSE),"")</f>
        <v/>
      </c>
      <c r="EE59" s="541" t="str" cm="1">
        <f t="array" ref="EE59">IFERROR(IF($EC$9="",IF($EC$11="",IF($EC$13="",INDEX(bhpc_data[sku],SMALL(MATCH(ROW(bhpc_data[sku]),ROW(bhpc_data[sku])),ROWS($A$15:A64)+$B$3)),INDEX(bhpc_data[sku],SMALL(IF(ISNUMBER(MATCH(bhpc_data[size1],$EC$13,0)),MATCH(ROW(bhpc_data[sku]),ROW(bhpc_data[sku])),""),ROWS($A$15:A64)+$B$3))),IF($EC$13="",INDEX(bhpc_data[sku],SMALL(IF(ISNUMBER(MATCH(bhpc_data[sex],$EC$11,0)),MATCH(ROW(bhpc_data[sku]),ROW(bhpc_data[sku])),""),ROWS($A$15:A64)+$B$3)),INDEX(bhpc_data[sku],SMALL(IF(ISNUMBER(MATCH(bhpc_data[sex],$EC$11,0)*MATCH(bhpc_data[size1],$EC$13,0)),MATCH(ROW(bhpc_data[sku]),ROW(bhpc_data[sku])),""),ROWS($A$15:A64)+$B$3)))),IF($EC$11="",IF($EC$13="",INDEX(bhpc_data[sku],SMALL(IF(ISNUMBER(MATCH(bhpc_data[category],$EC$9,0)),MATCH(ROW(bhpc_data[sku]),ROW(bhpc_data[sku])),""),ROWS($A$15:A64)+$B$3)),INDEX(bhpc_data[sku],SMALL(IF(ISNUMBER(MATCH(bhpc_data[category],$EC$9,0)*MATCH(bhpc_data[size1],$EC$13,0)),MATCH(ROW(bhpc_data[sku]),ROW(bhpc_data[sku])),""),ROWS($A$15:A64)+$B$3))),IF($EC$13="",INDEX(bhpc_data[sku],SMALL(IF(ISNUMBER(MATCH(bhpc_data[category],$EC$9,0)*MATCH(bhpc_data[sex],$EC$11,0)),MATCH(ROW(bhpc_data[sku]),ROW(bhpc_data[sku])),""),ROWS($A$15:A64)+$B$3)),INDEX(bhpc_data[sku],SMALL(IF(ISNUMBER(MATCH(bhpc_data[category],$EC$9,0)*MATCH(bhpc_data[sex],$EC$11,0)*MATCH(bhpc_data[size1],$EC$13,0)),MATCH(ROW(bhpc_data[sku]),ROW(bhpc_data[sku])),""),ROWS($A$15:A64)+$B$3))))),"")</f>
        <v>P05027</v>
      </c>
      <c r="EF59" s="542" t="str" cm="1">
        <f t="array" ref="EF59">IFERROR(IF($EC$9="",IF($EC$11="",IF($EC$13="",INDEX(bhpc_data[description],SMALL(MATCH(ROW(bhpc_data[sku]),ROW(bhpc_data[sku])),ROWS($A$15:A64)+$B$3)),INDEX(bhpc_data[description],SMALL(IF(ISNUMBER(MATCH(bhpc_data[size1],$EC$13,0)),MATCH(ROW(bhpc_data[sku]),ROW(bhpc_data[sku])),""),ROWS($A$15:A64)+$B$3))),IF($EC$13="",INDEX(bhpc_data[description],SMALL(IF(ISNUMBER(MATCH(bhpc_data[sex],$EC$11,0)),MATCH(ROW(bhpc_data[sku]),ROW(bhpc_data[sku])),""),ROWS($A$15:A64)+$B$3)),INDEX(bhpc_data[description],SMALL(IF(ISNUMBER(MATCH(bhpc_data[sex],$EC$11,0)*MATCH(bhpc_data[size1],$EC$13,0)),MATCH(ROW(bhpc_data[sku]),ROW(bhpc_data[sku])),""),ROWS($A$15:A64)+$B$3)))),IF($EC$11="",IF($EC$13="",INDEX(bhpc_data[description],SMALL(IF(ISNUMBER(MATCH(bhpc_data[category],$EC$9,0)),MATCH(ROW(bhpc_data[sku]),ROW(bhpc_data[sku])),""),ROWS($A$15:A64)+$B$3)),INDEX(bhpc_data[description],SMALL(IF(ISNUMBER(MATCH(bhpc_data[category],$EC$9,0)*MATCH(bhpc_data[size1],$EC$13,0)),MATCH(ROW(bhpc_data[sku]),ROW(bhpc_data[sku])),""),ROWS($A$15:A64)+$B$3))),IF($EC$13="",INDEX(bhpc_data[description],SMALL(IF(ISNUMBER(MATCH(bhpc_data[category],$EC$9,0)*MATCH(bhpc_data[sex],$EC$11,0)),MATCH(ROW(bhpc_data[sku]),ROW(bhpc_data[sku])),""),ROWS($A$15:A64)+$B$3)),INDEX(bhpc_data[description],SMALL(IF(ISNUMBER(MATCH(bhpc_data[category],$EC$9,0)*MATCH(bhpc_data[sex],$EC$11,0)*MATCH(bhpc_data[size1],$EC$13,0)),MATCH(ROW(bhpc_data[sku]),ROW(bhpc_data[sku])),""),ROWS($A$15:A64)+$B$3))))),"")</f>
        <v>BHPC WOMEN 2 DEO 150ML</v>
      </c>
      <c r="EG59" s="543">
        <f>IFERROR(IF('BHPC MANAGER'!$EE59="","",INDEX(inventory[ESISTENZA],MATCH('BHPC MANAGER'!$EE59,inventory[ARTICOLO],0))),0)</f>
        <v>23766</v>
      </c>
      <c r="EH59" s="544">
        <v>-10032</v>
      </c>
      <c r="EI59" s="544">
        <f t="shared" si="3"/>
        <v>13734</v>
      </c>
      <c r="EJ59" s="545">
        <v>0</v>
      </c>
      <c r="EK59" s="546">
        <f t="shared" si="4"/>
        <v>13734</v>
      </c>
      <c r="EO59" s="245" t="str">
        <f t="array" ref="EO59">IFERROR(INDEX(orderHistory[order_no],SMALL(IF(ISNUMBER(MATCH(orderHistory[status],$EO$7,0)),MATCH(ROW(orderHistory[order_no]),ROW(orderHistory[order_no])),""),ROWS($A$15:A64))),"")</f>
        <v/>
      </c>
    </row>
    <row r="60" spans="10:145" ht="15" customHeight="1" thickBot="1" x14ac:dyDescent="0.4">
      <c r="L60" s="461" t="str">
        <f t="array" ref="L60">IFERROR(IF($D$9="",IF($D$11="",IF($D$13="",IF($D$15="",INDEX(orderHistory[customer],SMALL(MATCH(ROW(orderHistory[customer]),ROW(orderHistory[customer])),ROWS($A$15:A65)+$B$3)),INDEX(orderHistory[customer],SMALL(IF(ISNUMBER(MATCH(YEAR(orderHistory[invoice_date]),$D$15,0)),MATCH(ROW(orderHistory[customer]),ROW(orderHistory[customer])),""),ROWS($A$15:A65)+$B$3))),IF($D$15="",INDEX(orderHistory[customer],SMALL(IF(ISNUMBER(MATCH(orderHistory[order_type],$D$13,0)),MATCH(ROW(orderHistory[customer]),ROW(orderHistory[customer])),""),ROWS($A$15:A65)+$B$3)),INDEX(orderHistory[customer],SMALL(IF(ISNUMBER(MATCH(orderHistory[order_type],$D$13,0)*MATCH(YEAR(orderHistory[invoice_date]),$D$15,0)),MATCH(ROW(orderHistory[customer]),ROW(orderHistory[customer])),""),ROWS($A$15:A65)+$B$3)))),IF($D$13="",IF($D$15="",INDEX(orderHistory[customer],SMALL(IF(ISNUMBER(MATCH(orderHistory[status],$D$11,0)),MATCH(ROW(orderHistory[customer]),ROW(orderHistory[customer])),""),ROWS($A$15:A65)+$B$3)),INDEX(orderHistory[customer],SMALL(IF(ISNUMBER(MATCH(orderHistory[status],$D$11,0)*MATCH(YEAR(orderHistory[invoice_date]),$D$15,0)),MATCH(ROW(orderHistory[customer]),ROW(orderHistory[customer])),""),ROWS($A$15:A65)+$B$3))),IF($D$15="",INDEX(orderHistory[customer],SMALL(IF(ISNUMBER(MATCH(orderHistory[status],$D$11,0)*MATCH(orderHistory[order_type],$D$13,0)),MATCH(ROW(orderHistory[customer]),ROW(orderHistory[customer])),""),ROWS($A$15:A65)+$B$3)),INDEX(orderHistory[customer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customer],SMALL(IF(ISNUMBER(MATCH(orderHistory[customer],$D$9,0)),MATCH(ROW(orderHistory[customer]),ROW(orderHistory[customer])),""),ROWS($A$15:A65)+$B$3)),INDEX(orderHistory[customer],SMALL(IF(ISNUMBER(MATCH(orderHistory[customer],$D$9,0)*MATCH(YEAR(orderHistory[invoice_date]),$D$15,0)),MATCH(ROW(orderHistory[customer]),ROW(orderHistory[customer])),""),ROWS($A$15:A65)+$B$3))),IF($D$15="",INDEX(orderHistory[customer],SMALL(IF(ISNUMBER(MATCH(orderHistory[customer],$D$9,0)*MATCH(orderHistory[order_type],$D$13,0)),MATCH(ROW(orderHistory[customer]),ROW(orderHistory[customer])),""),ROWS($A$15:A65)+$B$3)),INDEX(orderHistory[customer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YEAR(orderHistory[invoice_date]),$D$15,0)),MATCH(ROW(orderHistory[customer]),ROW(orderHistory[customer])),""),ROWS($A$15:A65)+$B$3))),IF($D$15="",INDEX(orderHistory[customer],SMALL(IF(ISNUMBER(MATCH(orderHistory[customer],$D$9,0)*MATCH(orderHistory[status],$D$11,0)*MATCH(orderHistory[order_type],$D$13,0)),MATCH(ROW(orderHistory[customer]),ROW(orderHistory[customer])),""),ROWS($A$15:A65)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M60" s="462" t="str">
        <f t="array" ref="M60">IFERROR(IF($D$9="",IF($D$11="",IF($D$13="",IF($D$15="",INDEX(orderHistory[order_no],SMALL(MATCH(ROW(orderHistory[customer]),ROW(orderHistory[customer])),ROWS($A$15:A65)+$B$3)),INDEX(orderHistory[order_no],SMALL(IF(ISNUMBER(MATCH(YEAR(orderHistory[invoice_date]),$D$15,0)),MATCH(ROW(orderHistory[customer]),ROW(orderHistory[customer])),""),ROWS($A$15:A65)+$B$3))),IF($D$15="",INDEX(orderHistory[order_no],SMALL(IF(ISNUMBER(MATCH(orderHistory[order_type],$D$13,0)),MATCH(ROW(orderHistory[customer]),ROW(orderHistory[customer])),""),ROWS($A$15:A65)+$B$3)),INDEX(orderHistory[order_no],SMALL(IF(ISNUMBER(MATCH(orderHistory[order_type],$D$13,0)*MATCH(YEAR(orderHistory[invoice_date]),$D$15,0)),MATCH(ROW(orderHistory[customer]),ROW(orderHistory[customer])),""),ROWS($A$15:A65)+$B$3)))),IF($D$13="",IF($D$15="",INDEX(orderHistory[order_no],SMALL(IF(ISNUMBER(MATCH(orderHistory[status],$D$11,0)),MATCH(ROW(orderHistory[customer]),ROW(orderHistory[customer])),""),ROWS($A$15:A65)+$B$3)),INDEX(orderHistory[order_no],SMALL(IF(ISNUMBER(MATCH(orderHistory[status],$D$11,0)*MATCH(YEAR(orderHistory[invoice_date]),$D$15,0)),MATCH(ROW(orderHistory[customer]),ROW(orderHistory[customer])),""),ROWS($A$15:A65)+$B$3))),IF($D$15="",INDEX(orderHistory[order_no],SMALL(IF(ISNUMBER(MATCH(orderHistory[status],$D$11,0)*MATCH(orderHistory[order_type],$D$13,0)),MATCH(ROW(orderHistory[customer]),ROW(orderHistory[customer])),""),ROWS($A$15:A65)+$B$3)),INDEX(orderHistory[order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no],SMALL(IF(ISNUMBER(MATCH(orderHistory[customer],$D$9,0)),MATCH(ROW(orderHistory[customer]),ROW(orderHistory[customer])),""),ROWS($A$15:A65)+$B$3)),INDEX(orderHistory[order_no],SMALL(IF(ISNUMBER(MATCH(orderHistory[customer],$D$9,0)*MATCH(YEAR(orderHistory[invoice_date]),$D$15,0)),MATCH(ROW(orderHistory[customer]),ROW(orderHistory[customer])),""),ROWS($A$15:A65)+$B$3))),IF($D$15="",INDEX(orderHistory[order_no],SMALL(IF(ISNUMBER(MATCH(orderHistory[customer],$D$9,0)*MATCH(orderHistory[order_type],$D$13,0)),MATCH(ROW(orderHistory[customer]),ROW(orderHistory[customer])),""),ROWS($A$15:A65)+$B$3)),INDEX(orderHistory[order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YEAR(orderHistory[invoice_date]),$D$15,0)),MATCH(ROW(orderHistory[customer]),ROW(orderHistory[customer])),""),ROWS($A$15:A65)+$B$3))),IF($D$15="",INDEX(orderHistory[order_no],SMALL(IF(ISNUMBER(MATCH(orderHistory[customer],$D$9,0)*MATCH(orderHistory[status],$D$11,0)*MATCH(orderHistory[order_type],$D$13,0)),MATCH(ROW(orderHistory[customer]),ROW(orderHistory[customer])),""),ROWS($A$15:A65)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N60" s="463" t="str">
        <f t="array" ref="N60">IFERROR(IF($D$9="",IF($D$11="",IF($D$13="",IF($D$15="",INDEX(orderHistory[order_type],SMALL(MATCH(ROW(orderHistory[customer]),ROW(orderHistory[customer])),ROWS($A$15:A65)+$B$3)),INDEX(orderHistory[order_type],SMALL(IF(ISNUMBER(MATCH(YEAR(orderHistory[invoice_date]),$D$15,0)),MATCH(ROW(orderHistory[customer]),ROW(orderHistory[customer])),""),ROWS($A$15:A65)+$B$3))),IF($D$15="",INDEX(orderHistory[order_type],SMALL(IF(ISNUMBER(MATCH(orderHistory[order_type],$D$13,0)),MATCH(ROW(orderHistory[customer]),ROW(orderHistory[customer])),""),ROWS($A$15:A65)+$B$3)),INDEX(orderHistory[order_type],SMALL(IF(ISNUMBER(MATCH(orderHistory[order_type],$D$13,0)*MATCH(YEAR(orderHistory[invoice_date]),$D$15,0)),MATCH(ROW(orderHistory[customer]),ROW(orderHistory[customer])),""),ROWS($A$15:A65)+$B$3)))),IF($D$13="",IF($D$15="",INDEX(orderHistory[order_type],SMALL(IF(ISNUMBER(MATCH(orderHistory[status],$D$11,0)),MATCH(ROW(orderHistory[customer]),ROW(orderHistory[customer])),""),ROWS($A$15:A65)+$B$3)),INDEX(orderHistory[order_type],SMALL(IF(ISNUMBER(MATCH(orderHistory[status],$D$11,0)*MATCH(YEAR(orderHistory[invoice_date]),$D$15,0)),MATCH(ROW(orderHistory[customer]),ROW(orderHistory[customer])),""),ROWS($A$15:A65)+$B$3))),IF($D$15="",INDEX(orderHistory[order_type],SMALL(IF(ISNUMBER(MATCH(orderHistory[status],$D$11,0)*MATCH(orderHistory[order_type],$D$13,0)),MATCH(ROW(orderHistory[customer]),ROW(orderHistory[customer])),""),ROWS($A$15:A65)+$B$3)),INDEX(orderHistory[order_typ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type],SMALL(IF(ISNUMBER(MATCH(orderHistory[customer],$D$9,0)),MATCH(ROW(orderHistory[customer]),ROW(orderHistory[customer])),""),ROWS($A$15:A65)+$B$3)),INDEX(orderHistory[order_type],SMALL(IF(ISNUMBER(MATCH(orderHistory[customer],$D$9,0)*MATCH(YEAR(orderHistory[invoice_date]),$D$15,0)),MATCH(ROW(orderHistory[customer]),ROW(orderHistory[customer])),""),ROWS($A$15:A65)+$B$3))),IF($D$15="",INDEX(orderHistory[order_type],SMALL(IF(ISNUMBER(MATCH(orderHistory[customer],$D$9,0)*MATCH(orderHistory[order_type],$D$13,0)),MATCH(ROW(orderHistory[customer]),ROW(orderHistory[customer])),""),ROWS($A$15:A65)+$B$3)),INDEX(orderHistory[order_typ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YEAR(orderHistory[invoice_date]),$D$15,0)),MATCH(ROW(orderHistory[customer]),ROW(orderHistory[customer])),""),ROWS($A$15:A65)+$B$3))),IF($D$15="",INDEX(orderHistory[order_type],SMALL(IF(ISNUMBER(MATCH(orderHistory[customer],$D$9,0)*MATCH(orderHistory[status],$D$11,0)*MATCH(orderHistory[order_type],$D$13,0)),MATCH(ROW(orderHistory[customer]),ROW(orderHistory[customer])),""),ROWS($A$15:A65)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O60" s="464" t="str">
        <f t="array" ref="O60">IFERROR(IF($D$9="",IF($D$11="",IF($D$13="",IF($D$15="",INDEX(orderHistory[order_date],SMALL(MATCH(ROW(orderHistory[customer]),ROW(orderHistory[customer])),ROWS($A$15:A65)+$B$3)),INDEX(orderHistory[order_date],SMALL(IF(ISNUMBER(MATCH(YEAR(orderHistory[invoice_date]),$D$15,0)),MATCH(ROW(orderHistory[customer]),ROW(orderHistory[customer])),""),ROWS($A$15:A65)+$B$3))),IF($D$15="",INDEX(orderHistory[order_date],SMALL(IF(ISNUMBER(MATCH(orderHistory[order_type],$D$13,0)),MATCH(ROW(orderHistory[customer]),ROW(orderHistory[customer])),""),ROWS($A$15:A65)+$B$3)),INDEX(orderHistory[order_date],SMALL(IF(ISNUMBER(MATCH(orderHistory[order_type],$D$13,0)*MATCH(YEAR(orderHistory[invoice_date]),$D$15,0)),MATCH(ROW(orderHistory[customer]),ROW(orderHistory[customer])),""),ROWS($A$15:A65)+$B$3)))),IF($D$13="",IF($D$15="",INDEX(orderHistory[order_date],SMALL(IF(ISNUMBER(MATCH(orderHistory[status],$D$11,0)),MATCH(ROW(orderHistory[customer]),ROW(orderHistory[customer])),""),ROWS($A$15:A65)+$B$3)),INDEX(orderHistory[order_date],SMALL(IF(ISNUMBER(MATCH(orderHistory[status],$D$11,0)*MATCH(YEAR(orderHistory[invoice_date]),$D$15,0)),MATCH(ROW(orderHistory[customer]),ROW(orderHistory[customer])),""),ROWS($A$15:A65)+$B$3))),IF($D$15="",INDEX(orderHistory[order_date],SMALL(IF(ISNUMBER(MATCH(orderHistory[status],$D$11,0)*MATCH(orderHistory[order_type],$D$13,0)),MATCH(ROW(orderHistory[customer]),ROW(orderHistory[customer])),""),ROWS($A$15:A65)+$B$3)),INDEX(orderHistory[order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date],SMALL(IF(ISNUMBER(MATCH(orderHistory[customer],$D$9,0)),MATCH(ROW(orderHistory[customer]),ROW(orderHistory[customer])),""),ROWS($A$15:A65)+$B$3)),INDEX(orderHistory[order_date],SMALL(IF(ISNUMBER(MATCH(orderHistory[customer],$D$9,0)*MATCH(YEAR(orderHistory[invoice_date]),$D$15,0)),MATCH(ROW(orderHistory[customer]),ROW(orderHistory[customer])),""),ROWS($A$15:A65)+$B$3))),IF($D$15="",INDEX(orderHistory[order_date],SMALL(IF(ISNUMBER(MATCH(orderHistory[customer],$D$9,0)*MATCH(orderHistory[order_type],$D$13,0)),MATCH(ROW(orderHistory[customer]),ROW(orderHistory[customer])),""),ROWS($A$15:A65)+$B$3)),INDEX(orderHistory[order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YEAR(orderHistory[invoice_date]),$D$15,0)),MATCH(ROW(orderHistory[customer]),ROW(orderHistory[customer])),""),ROWS($A$15:A65)+$B$3))),IF($D$15="",INDEX(orderHistory[order_date],SMALL(IF(ISNUMBER(MATCH(orderHistory[customer],$D$9,0)*MATCH(orderHistory[status],$D$11,0)*MATCH(orderHistory[order_type],$D$13,0)),MATCH(ROW(orderHistory[customer]),ROW(orderHistory[customer])),""),ROWS($A$15:A65)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P60" s="471" t="str">
        <f t="array" ref="P60">IFERROR(IF($D$9="",IF($D$11="",IF($D$13="",IF($D$15="",INDEX(orderHistory[invoice_no],SMALL(MATCH(ROW(orderHistory[customer]),ROW(orderHistory[customer])),ROWS($A$15:A65)+$B$3)),INDEX(orderHistory[invoice_no],SMALL(IF(ISNUMBER(MATCH(YEAR(orderHistory[invoice_date]),$D$15,0)),MATCH(ROW(orderHistory[customer]),ROW(orderHistory[customer])),""),ROWS($A$15:A65)+$B$3))),IF($D$15="",INDEX(orderHistory[invoice_no],SMALL(IF(ISNUMBER(MATCH(orderHistory[order_type],$D$13,0)),MATCH(ROW(orderHistory[customer]),ROW(orderHistory[customer])),""),ROWS($A$15:A65)+$B$3)),INDEX(orderHistory[invoice_no],SMALL(IF(ISNUMBER(MATCH(orderHistory[order_type],$D$13,0)*MATCH(YEAR(orderHistory[invoice_date]),$D$15,0)),MATCH(ROW(orderHistory[customer]),ROW(orderHistory[customer])),""),ROWS($A$15:A65)+$B$3)))),IF($D$13="",IF($D$15="",INDEX(orderHistory[invoice_no],SMALL(IF(ISNUMBER(MATCH(orderHistory[status],$D$11,0)),MATCH(ROW(orderHistory[customer]),ROW(orderHistory[customer])),""),ROWS($A$15:A65)+$B$3)),INDEX(orderHistory[invoice_no],SMALL(IF(ISNUMBER(MATCH(orderHistory[status],$D$11,0)*MATCH(YEAR(orderHistory[invoice_date]),$D$15,0)),MATCH(ROW(orderHistory[customer]),ROW(orderHistory[customer])),""),ROWS($A$15:A65)+$B$3))),IF($D$15="",INDEX(orderHistory[invoice_no],SMALL(IF(ISNUMBER(MATCH(orderHistory[status],$D$11,0)*MATCH(orderHistory[order_type],$D$13,0)),MATCH(ROW(orderHistory[customer]),ROW(orderHistory[customer])),""),ROWS($A$15:A65)+$B$3)),INDEX(orderHistory[invoice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no],SMALL(IF(ISNUMBER(MATCH(orderHistory[customer],$D$9,0)),MATCH(ROW(orderHistory[customer]),ROW(orderHistory[customer])),""),ROWS($A$15:A65)+$B$3)),INDEX(orderHistory[invoice_no],SMALL(IF(ISNUMBER(MATCH(orderHistory[customer],$D$9,0)*MATCH(YEAR(orderHistory[invoice_date]),$D$15,0)),MATCH(ROW(orderHistory[customer]),ROW(orderHistory[customer])),""),ROWS($A$15:A65)+$B$3))),IF($D$15="",INDEX(orderHistory[invoice_no],SMALL(IF(ISNUMBER(MATCH(orderHistory[customer],$D$9,0)*MATCH(orderHistory[order_type],$D$13,0)),MATCH(ROW(orderHistory[customer]),ROW(orderHistory[customer])),""),ROWS($A$15:A65)+$B$3)),INDEX(orderHistory[invoice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YEAR(orderHistory[invoice_date]),$D$15,0)),MATCH(ROW(orderHistory[customer]),ROW(orderHistory[customer])),""),ROWS($A$15:A65)+$B$3))),IF($D$15="",INDEX(orderHistory[invoice_no],SMALL(IF(ISNUMBER(MATCH(orderHistory[customer],$D$9,0)*MATCH(orderHistory[status],$D$11,0)*MATCH(orderHistory[order_type],$D$13,0)),MATCH(ROW(orderHistory[customer]),ROW(orderHistory[customer])),""),ROWS($A$15:A65)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Q60" s="465" t="str">
        <f t="array" ref="Q60">IFERROR(IF($D$9="",IF($D$11="",IF($D$13="",IF($D$15="",INDEX(orderHistory[invoice_date],SMALL(MATCH(ROW(orderHistory[customer]),ROW(orderHistory[customer])),ROWS($A$15:A65)+$B$3)),INDEX(orderHistory[invoice_date],SMALL(IF(ISNUMBER(MATCH(YEAR(orderHistory[invoice_date]),$D$15,0)),MATCH(ROW(orderHistory[customer]),ROW(orderHistory[customer])),""),ROWS($A$15:A65)+$B$3))),IF($D$15="",INDEX(orderHistory[invoice_date],SMALL(IF(ISNUMBER(MATCH(orderHistory[order_type],$D$13,0)),MATCH(ROW(orderHistory[customer]),ROW(orderHistory[customer])),""),ROWS($A$15:A65)+$B$3)),INDEX(orderHistory[invoice_date],SMALL(IF(ISNUMBER(MATCH(orderHistory[order_type],$D$13,0)*MATCH(YEAR(orderHistory[invoice_date]),$D$15,0)),MATCH(ROW(orderHistory[customer]),ROW(orderHistory[customer])),""),ROWS($A$15:A65)+$B$3)))),IF($D$13="",IF($D$15="",INDEX(orderHistory[invoice_date],SMALL(IF(ISNUMBER(MATCH(orderHistory[status],$D$11,0)),MATCH(ROW(orderHistory[customer]),ROW(orderHistory[customer])),""),ROWS($A$15:A65)+$B$3)),INDEX(orderHistory[invoice_date],SMALL(IF(ISNUMBER(MATCH(orderHistory[status],$D$11,0)*MATCH(YEAR(orderHistory[invoice_date]),$D$15,0)),MATCH(ROW(orderHistory[customer]),ROW(orderHistory[customer])),""),ROWS($A$15:A65)+$B$3))),IF($D$15="",INDEX(orderHistory[invoice_date],SMALL(IF(ISNUMBER(MATCH(orderHistory[status],$D$11,0)*MATCH(orderHistory[order_type],$D$13,0)),MATCH(ROW(orderHistory[customer]),ROW(orderHistory[customer])),""),ROWS($A$15:A65)+$B$3)),INDEX(orderHistory[invoice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date],SMALL(IF(ISNUMBER(MATCH(orderHistory[customer],$D$9,0)),MATCH(ROW(orderHistory[customer]),ROW(orderHistory[customer])),""),ROWS($A$15:A65)+$B$3)),INDEX(orderHistory[invoice_date],SMALL(IF(ISNUMBER(MATCH(orderHistory[customer],$D$9,0)*MATCH(YEAR(orderHistory[invoice_date]),$D$15,0)),MATCH(ROW(orderHistory[customer]),ROW(orderHistory[customer])),""),ROWS($A$15:A65)+$B$3))),IF($D$15="",INDEX(orderHistory[invoice_date],SMALL(IF(ISNUMBER(MATCH(orderHistory[customer],$D$9,0)*MATCH(orderHistory[order_type],$D$13,0)),MATCH(ROW(orderHistory[customer]),ROW(orderHistory[customer])),""),ROWS($A$15:A65)+$B$3)),INDEX(orderHistory[invoice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YEAR(orderHistory[invoice_date]),$D$15,0)),MATCH(ROW(orderHistory[customer]),ROW(orderHistory[customer])),""),ROWS($A$15:A65)+$B$3))),IF($D$15="",INDEX(orderHistory[invoice_date],SMALL(IF(ISNUMBER(MATCH(orderHistory[customer],$D$9,0)*MATCH(orderHistory[status],$D$11,0)*MATCH(orderHistory[order_type],$D$13,0)),MATCH(ROW(orderHistory[customer]),ROW(orderHistory[customer])),""),ROWS($A$15:A65)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R60" s="466" t="str">
        <f t="array" ref="R60">IFERROR(IF($D$9="",IF($D$11="",IF($D$13="",IF($D$15="",INDEX(orderHistory[inv_amount],SMALL(MATCH(ROW(orderHistory[customer]),ROW(orderHistory[customer])),ROWS($A$15:A65)+$B$3)),INDEX(orderHistory[inv_amount],SMALL(IF(ISNUMBER(MATCH(YEAR(orderHistory[invoice_date]),$D$15,0)),MATCH(ROW(orderHistory[customer]),ROW(orderHistory[customer])),""),ROWS($A$15:A65)+$B$3))),IF($D$15="",INDEX(orderHistory[inv_amount],SMALL(IF(ISNUMBER(MATCH(orderHistory[order_type],$D$13,0)),MATCH(ROW(orderHistory[customer]),ROW(orderHistory[customer])),""),ROWS($A$15:A65)+$B$3)),INDEX(orderHistory[inv_amount],SMALL(IF(ISNUMBER(MATCH(orderHistory[order_type],$D$13,0)*MATCH(YEAR(orderHistory[invoice_date]),$D$15,0)),MATCH(ROW(orderHistory[customer]),ROW(orderHistory[customer])),""),ROWS($A$15:A65)+$B$3)))),IF($D$13="",IF($D$15="",INDEX(orderHistory[inv_amount],SMALL(IF(ISNUMBER(MATCH(orderHistory[status],$D$11,0)),MATCH(ROW(orderHistory[customer]),ROW(orderHistory[customer])),""),ROWS($A$15:A65)+$B$3)),INDEX(orderHistory[inv_amount],SMALL(IF(ISNUMBER(MATCH(orderHistory[status],$D$11,0)*MATCH(YEAR(orderHistory[invoice_date]),$D$15,0)),MATCH(ROW(orderHistory[customer]),ROW(orderHistory[customer])),""),ROWS($A$15:A65)+$B$3))),IF($D$15="",INDEX(orderHistory[inv_amount],SMALL(IF(ISNUMBER(MATCH(orderHistory[status],$D$11,0)*MATCH(orderHistory[order_type],$D$13,0)),MATCH(ROW(orderHistory[customer]),ROW(orderHistory[customer])),""),ROWS($A$15:A65)+$B$3)),INDEX(orderHistory[inv_amount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_amount],SMALL(IF(ISNUMBER(MATCH(orderHistory[customer],$D$9,0)),MATCH(ROW(orderHistory[customer]),ROW(orderHistory[customer])),""),ROWS($A$15:A65)+$B$3)),INDEX(orderHistory[inv_amount],SMALL(IF(ISNUMBER(MATCH(orderHistory[customer],$D$9,0)*MATCH(YEAR(orderHistory[invoice_date]),$D$15,0)),MATCH(ROW(orderHistory[customer]),ROW(orderHistory[customer])),""),ROWS($A$15:A65)+$B$3))),IF($D$15="",INDEX(orderHistory[inv_amount],SMALL(IF(ISNUMBER(MATCH(orderHistory[customer],$D$9,0)*MATCH(orderHistory[order_type],$D$13,0)),MATCH(ROW(orderHistory[customer]),ROW(orderHistory[customer])),""),ROWS($A$15:A65)+$B$3)),INDEX(orderHistory[inv_amount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YEAR(orderHistory[inv_amount]),$D$15,0)),MATCH(ROW(orderHistory[customer]),ROW(orderHistory[customer])),""),ROWS($A$15:A65)+$B$3))),IF($D$15="",INDEX(orderHistory[inv_amount],SMALL(IF(ISNUMBER(MATCH(orderHistory[customer],$D$9,0)*MATCH(orderHistory[status],$D$11,0)*MATCH(orderHistory[order_type],$D$13,0)),MATCH(ROW(orderHistory[customer]),ROW(orderHistory[customer])),""),ROWS($A$15:A65)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S60" s="570" t="str">
        <f t="array" ref="S60">IFERROR(IF($D$9="",IF($D$11="",IF($D$13="",IF($D$15="",INDEX(orderHistory[lock_goods],SMALL(MATCH(ROW(orderHistory[customer]),ROW(orderHistory[customer])),ROWS($A$15:A65)+$B$3)),INDEX(orderHistory[lock_goods],SMALL(IF(ISNUMBER(MATCH(YEAR(orderHistory[invoice_date]),$D$15,0)),MATCH(ROW(orderHistory[customer]),ROW(orderHistory[customer])),""),ROWS($A$15:A65)+$B$3))),IF($D$15="",INDEX(orderHistory[lock_goods],SMALL(IF(ISNUMBER(MATCH(orderHistory[order_type],$D$13,0)),MATCH(ROW(orderHistory[customer]),ROW(orderHistory[customer])),""),ROWS($A$15:A65)+$B$3)),INDEX(orderHistory[lock_goods],SMALL(IF(ISNUMBER(MATCH(orderHistory[order_type],$D$13,0)*MATCH(YEAR(orderHistory[invoice_date]),$D$15,0)),MATCH(ROW(orderHistory[customer]),ROW(orderHistory[customer])),""),ROWS($A$15:A65)+$B$3)))),IF($D$13="",IF($D$15="",INDEX(orderHistory[lock_goods],SMALL(IF(ISNUMBER(MATCH(orderHistory[status],$D$11,0)),MATCH(ROW(orderHistory[customer]),ROW(orderHistory[customer])),""),ROWS($A$15:A65)+$B$3)),INDEX(orderHistory[lock_goods],SMALL(IF(ISNUMBER(MATCH(orderHistory[status],$D$11,0)*MATCH(YEAR(orderHistory[invoice_date]),$D$15,0)),MATCH(ROW(orderHistory[customer]),ROW(orderHistory[customer])),""),ROWS($A$15:A65)+$B$3))),IF($D$15="",INDEX(orderHistory[lock_goods],SMALL(IF(ISNUMBER(MATCH(orderHistory[status],$D$11,0)*MATCH(orderHistory[order_type],$D$13,0)),MATCH(ROW(orderHistory[customer]),ROW(orderHistory[customer])),""),ROWS($A$15:A65)+$B$3)),INDEX(orderHistory[lock_good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lock_goods],SMALL(IF(ISNUMBER(MATCH(orderHistory[customer],$D$9,0)),MATCH(ROW(orderHistory[customer]),ROW(orderHistory[customer])),""),ROWS($A$15:A65)+$B$3)),INDEX(orderHistory[lock_goods],SMALL(IF(ISNUMBER(MATCH(orderHistory[customer],$D$9,0)*MATCH(YEAR(orderHistory[invoice_date]),$D$15,0)),MATCH(ROW(orderHistory[customer]),ROW(orderHistory[customer])),""),ROWS($A$15:A65)+$B$3))),IF($D$15="",INDEX(orderHistory[lock_goods],SMALL(IF(ISNUMBER(MATCH(orderHistory[customer],$D$9,0)*MATCH(orderHistory[order_type],$D$13,0)),MATCH(ROW(orderHistory[customer]),ROW(orderHistory[customer])),""),ROWS($A$15:A65)+$B$3)),INDEX(orderHistory[lock_good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lock_goods],SMALL(IF(ISNUMBER(MATCH(orderHistory[customer],$D$9,0)*MATCH(orderHistory[status],$D$11,0)),MATCH(ROW(orderHistory[customer]),ROW(orderHistory[customer])),""),ROWS($A$15:A65)+$B$3)),INDEX(orderHistory[lock_goods],SMALL(IF(ISNUMBER(MATCH(orderHistory[customer],$D$9,0)*MATCH(orderHistory[status],$D$11,0)*MATCH(YEAR(orderHistory[payed]),$D$15,0)),MATCH(ROW(orderHistory[customer]),ROW(orderHistory[customer])),""),ROWS($A$15:A65)+$B$3))),IF($D$15="",INDEX(orderHistory[lock_goods],SMALL(IF(ISNUMBER(MATCH(orderHistory[customer],$D$9,0)*MATCH(orderHistory[status],$D$11,0)*MATCH(orderHistory[order_type],$D$13,0)),MATCH(ROW(orderHistory[customer]),ROW(orderHistory[customer])),""),ROWS($A$15:A65)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T60" s="467" t="str">
        <f t="array" ref="T60">IFERROR(IF($D$9="",IF($D$11="",IF($D$13="",IF($D$15="",INDEX(orderHistory[payed],SMALL(MATCH(ROW(orderHistory[customer]),ROW(orderHistory[customer])),ROWS($A$15:A65)+$B$3)),INDEX(orderHistory[payed],SMALL(IF(ISNUMBER(MATCH(YEAR(orderHistory[invoice_date]),$D$15,0)),MATCH(ROW(orderHistory[customer]),ROW(orderHistory[customer])),""),ROWS($A$15:A65)+$B$3))),IF($D$15="",INDEX(orderHistory[payed],SMALL(IF(ISNUMBER(MATCH(orderHistory[order_type],$D$13,0)),MATCH(ROW(orderHistory[customer]),ROW(orderHistory[customer])),""),ROWS($A$15:A65)+$B$3)),INDEX(orderHistory[payed],SMALL(IF(ISNUMBER(MATCH(orderHistory[order_type],$D$13,0)*MATCH(YEAR(orderHistory[invoice_date]),$D$15,0)),MATCH(ROW(orderHistory[customer]),ROW(orderHistory[customer])),""),ROWS($A$15:A65)+$B$3)))),IF($D$13="",IF($D$15="",INDEX(orderHistory[payed],SMALL(IF(ISNUMBER(MATCH(orderHistory[status],$D$11,0)),MATCH(ROW(orderHistory[customer]),ROW(orderHistory[customer])),""),ROWS($A$15:A65)+$B$3)),INDEX(orderHistory[payed],SMALL(IF(ISNUMBER(MATCH(orderHistory[status],$D$11,0)*MATCH(YEAR(orderHistory[invoice_date]),$D$15,0)),MATCH(ROW(orderHistory[customer]),ROW(orderHistory[customer])),""),ROWS($A$15:A65)+$B$3))),IF($D$15="",INDEX(orderHistory[payed],SMALL(IF(ISNUMBER(MATCH(orderHistory[status],$D$11,0)*MATCH(orderHistory[order_type],$D$13,0)),MATCH(ROW(orderHistory[customer]),ROW(orderHistory[customer])),""),ROWS($A$15:A65)+$B$3)),INDEX(orderHistory[paye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payed],SMALL(IF(ISNUMBER(MATCH(orderHistory[customer],$D$9,0)),MATCH(ROW(orderHistory[customer]),ROW(orderHistory[customer])),""),ROWS($A$15:A65)+$B$3)),INDEX(orderHistory[payed],SMALL(IF(ISNUMBER(MATCH(orderHistory[customer],$D$9,0)*MATCH(YEAR(orderHistory[invoice_date]),$D$15,0)),MATCH(ROW(orderHistory[customer]),ROW(orderHistory[customer])),""),ROWS($A$15:A65)+$B$3))),IF($D$15="",INDEX(orderHistory[payed],SMALL(IF(ISNUMBER(MATCH(orderHistory[customer],$D$9,0)*MATCH(orderHistory[order_type],$D$13,0)),MATCH(ROW(orderHistory[customer]),ROW(orderHistory[customer])),""),ROWS($A$15:A65)+$B$3)),INDEX(orderHistory[paye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YEAR(orderHistory[payed]),$D$15,0)),MATCH(ROW(orderHistory[customer]),ROW(orderHistory[customer])),""),ROWS($A$15:A65)+$B$3))),IF($D$15="",INDEX(orderHistory[payed],SMALL(IF(ISNUMBER(MATCH(orderHistory[customer],$D$9,0)*MATCH(orderHistory[status],$D$11,0)*MATCH(orderHistory[order_type],$D$13,0)),MATCH(ROW(orderHistory[customer]),ROW(orderHistory[customer])),""),ROWS($A$15:A65)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U60" s="463" t="str">
        <f t="array" ref="U60">IFERROR(IF($D$9="",IF($D$11="",IF($D$13="",IF($D$15="",INDEX(orderHistory[shipping_method],SMALL(MATCH(ROW(orderHistory[customer]),ROW(orderHistory[customer])),ROWS($A$15:A65)+$B$3)),INDEX(orderHistory[shipping_method],SMALL(IF(ISNUMBER(MATCH(YEAR(orderHistory[invoice_date]),$D$15,0)),MATCH(ROW(orderHistory[customer]),ROW(orderHistory[customer])),""),ROWS($A$15:A65)+$B$3))),IF($D$15="",INDEX(orderHistory[shipping_method],SMALL(IF(ISNUMBER(MATCH(orderHistory[order_type],$D$13,0)),MATCH(ROW(orderHistory[customer]),ROW(orderHistory[customer])),""),ROWS($A$15:A65)+$B$3)),INDEX(orderHistory[shipping_method],SMALL(IF(ISNUMBER(MATCH(orderHistory[order_type],$D$13,0)*MATCH(YEAR(orderHistory[invoice_date]),$D$15,0)),MATCH(ROW(orderHistory[customer]),ROW(orderHistory[customer])),""),ROWS($A$15:A65)+$B$3)))),IF($D$13="",IF($D$15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YEAR(orderHistory[invoice_date]),$D$15,0)),MATCH(ROW(orderHistory[customer]),ROW(orderHistory[customer])),""),ROWS($A$15:A65)+$B$3))),IF($D$15="",INDEX(orderHistory[shipping_method],SMALL(IF(ISNUMBER(MATCH(orderHistory[status],$D$11,0)*MATCH(orderHistory[order_type],$D$13,0)),MATCH(ROW(orderHistory[customer]),ROW(orderHistory[customer])),""),ROWS($A$15:A65)+$B$3)),INDEX(orderHistory[shipping_metho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YEAR(orderHistory[invoice_date]),$D$15,0)),MATCH(ROW(orderHistory[customer]),ROW(orderHistory[customer])),""),ROWS($A$15:A65)+$B$3))),IF($D$15="",INDEX(orderHistory[shipping_method],SMALL(IF(ISNUMBER(MATCH(orderHistory[customer],$D$9,0)*MATCH(orderHistory[order_type],$D$13,0)),MATCH(ROW(orderHistory[customer]),ROW(orderHistory[customer])),""),ROWS($A$15:A65)+$B$3)),INDEX(orderHistory[shipping_metho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YEAR(orderHistory[shipping_method]),$D$15,0)),MATCH(ROW(orderHistory[customer]),ROW(orderHistory[customer])),""),ROWS($A$15:A65)+$B$3))),IF($D$15="",INDEX(orderHistory[shipping_method],SMALL(IF(ISNUMBER(MATCH(orderHistory[customer],$D$9,0)*MATCH(orderHistory[status],$D$11,0)*MATCH(orderHistory[order_type],$D$13,0)),MATCH(ROW(orderHistory[customer]),ROW(orderHistory[customer])),""),ROWS($A$15:A65)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V60" s="468" t="str">
        <f t="array" ref="V60">IFERROR(IF($D$9="",IF($D$11="",IF($D$13="",IF($D$15="",INDEX(orderHistory[status],SMALL(MATCH(ROW(orderHistory[customer]),ROW(orderHistory[customer])),ROWS($A$15:A65)+$B$3)),INDEX(orderHistory[status],SMALL(IF(ISNUMBER(MATCH(YEAR(orderHistory[invoice_date]),$D$15,0)),MATCH(ROW(orderHistory[customer]),ROW(orderHistory[customer])),""),ROWS($A$15:A65)+$B$3))),IF($D$15="",INDEX(orderHistory[status],SMALL(IF(ISNUMBER(MATCH(orderHistory[order_type],$D$13,0)),MATCH(ROW(orderHistory[customer]),ROW(orderHistory[customer])),""),ROWS($A$15:A65)+$B$3)),INDEX(orderHistory[status],SMALL(IF(ISNUMBER(MATCH(orderHistory[order_type],$D$13,0)*MATCH(YEAR(orderHistory[invoice_date]),$D$15,0)),MATCH(ROW(orderHistory[customer]),ROW(orderHistory[customer])),""),ROWS($A$15:A65)+$B$3)))),IF($D$13="",IF($D$15="",INDEX(orderHistory[status],SMALL(IF(ISNUMBER(MATCH(orderHistory[status],$D$11,0)),MATCH(ROW(orderHistory[customer]),ROW(orderHistory[customer])),""),ROWS($A$15:A65)+$B$3)),INDEX(orderHistory[status],SMALL(IF(ISNUMBER(MATCH(orderHistory[status],$D$11,0)*MATCH(YEAR(orderHistory[invoice_date]),$D$15,0)),MATCH(ROW(orderHistory[customer]),ROW(orderHistory[customer])),""),ROWS($A$15:A65)+$B$3))),IF($D$15="",INDEX(orderHistory[status],SMALL(IF(ISNUMBER(MATCH(orderHistory[status],$D$11,0)*MATCH(orderHistory[order_type],$D$13,0)),MATCH(ROW(orderHistory[customer]),ROW(orderHistory[customer])),""),ROWS($A$15:A65)+$B$3)),INDEX(orderHistory[statu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tatus],SMALL(IF(ISNUMBER(MATCH(orderHistory[customer],$D$9,0)),MATCH(ROW(orderHistory[customer]),ROW(orderHistory[customer])),""),ROWS($A$15:A65)+$B$3)),INDEX(orderHistory[status],SMALL(IF(ISNUMBER(MATCH(orderHistory[customer],$D$9,0)*MATCH(YEAR(orderHistory[invoice_date]),$D$15,0)),MATCH(ROW(orderHistory[customer]),ROW(orderHistory[customer])),""),ROWS($A$15:A65)+$B$3))),IF($D$15="",INDEX(orderHistory[status],SMALL(IF(ISNUMBER(MATCH(orderHistory[customer],$D$9,0)*MATCH(orderHistory[order_type],$D$13,0)),MATCH(ROW(orderHistory[customer]),ROW(orderHistory[customer])),""),ROWS($A$15:A65)+$B$3)),INDEX(orderHistory[statu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YEAR(orderHistory[status]),$D$15,0)),MATCH(ROW(orderHistory[customer]),ROW(orderHistory[customer])),""),ROWS($A$15:A65)+$B$3))),IF($D$15="",INDEX(orderHistory[status],SMALL(IF(ISNUMBER(MATCH(orderHistory[customer],$D$9,0)*MATCH(orderHistory[status],$D$11,0)*MATCH(orderHistory[order_type],$D$13,0)),MATCH(ROW(orderHistory[customer]),ROW(orderHistory[customer])),""),ROWS($A$15:A65)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W60" s="75"/>
      <c r="BG60" s="245"/>
      <c r="BK60" s="366"/>
      <c r="BL60" s="367"/>
      <c r="BM60" s="368"/>
      <c r="BN60" s="367"/>
      <c r="BO60" s="368"/>
      <c r="BZ60" s="497"/>
      <c r="CA60" s="477" t="str">
        <f>IF(BZ60="","",INDEX(bhpc_data[description],MATCH(BZ60,bhpc_data[sku],0)))</f>
        <v/>
      </c>
      <c r="CB60" s="480"/>
      <c r="CC60" s="479"/>
      <c r="CD60" s="498"/>
      <c r="CE60" s="499"/>
      <c r="CF60" s="500"/>
      <c r="CG60" s="483" t="str">
        <f>IFERROR(ROUNDUP(CB60/INDEX(bhpc_data[units_per_carton],MATCH(BZ60,bhpc_data[sku],0)),0),"")</f>
        <v/>
      </c>
      <c r="CH60" s="484" t="str">
        <f>IFERROR(ROUNDUP(CD60/INDEX(bhpc_data[units_per_carton],MATCH(BZ60,bhpc_data[sku],0)),0),"")</f>
        <v/>
      </c>
      <c r="CI60" s="484" t="str">
        <f>IFERROR(ROUNDUP(CF60/INDEX(bhpc_data[units_per_carton],MATCH(BZ60,bhpc_data[sku])),0),"")</f>
        <v/>
      </c>
      <c r="CJ60" s="484" t="str">
        <f>IFERROR(((CB60+CD60+CF60)/INDEX(bhpc_data[units_per_carton],MATCH(BZ60,bhpc_data[sku],0)))*INDEX(bhpc_data[net_weight],MATCH(BZ60,bhpc_data[sku],0)),"")</f>
        <v/>
      </c>
      <c r="CK60" s="484" t="str">
        <f>IFERROR(((CB60+CD60+CF60)/INDEX(bhpc_data[units_per_carton],MATCH(BZ60,bhpc_data[sku],0)))*INDEX(bhpc_data[gross_weight],MATCH(BZ60,bhpc_data[sku],0)),"")</f>
        <v/>
      </c>
      <c r="CL60" s="485" t="str">
        <f>IFERROR((CB60+CD60+CF60)/INDEX(bhpc_data[units_per_carton],MATCH(BZ60,bhpc_data[sku],0))*INDEX(bhpc_data[lenght],MATCH(BZ60,bhpc_data[sku],0))*INDEX(bhpc_data[width],MATCH(BZ60,bhpc_data[sku],0))*INDEX(bhpc_data[height],MATCH(BZ60,bhpc_data[sku],0))/1000000000,"")</f>
        <v/>
      </c>
      <c r="CM60" s="486" t="str">
        <f>IFERROR(INDEX(bhpc_data[category],MATCH(BZ60,bhpc_data[sku],0)),"")</f>
        <v/>
      </c>
      <c r="CN60" s="486" t="str">
        <f>IFERROR(INDEX(bhpc_data[size1],MATCH(BZ60,bhpc_data[sku],0)),"")</f>
        <v/>
      </c>
      <c r="CO60" s="487" t="str">
        <f>IFERROR(INDEX(bhpc_data[hs_code],MATCH(BZ60,bhpc_data[sku],0)),"")</f>
        <v/>
      </c>
      <c r="CP60" s="500"/>
      <c r="CQ60" s="488" t="str">
        <f>IFERROR(IF(BZ60="","",IF($BX$15="SALE",INDEX(inventory[COSTO UNITARIO],MATCH(BZ60,inventory[ARTICOLO],0)),IF($BX$15="SAMPLING",INDEX(inventory[COSTO UNITARIO],MATCH(BZ60,inventory[ARTICOLO],0)),""))),"")</f>
        <v/>
      </c>
      <c r="CR60" s="488" t="str">
        <f t="shared" si="5"/>
        <v/>
      </c>
      <c r="CS60" s="489" t="str">
        <f t="shared" si="6"/>
        <v/>
      </c>
      <c r="CT60" s="573" t="str">
        <f t="shared" si="7"/>
        <v/>
      </c>
      <c r="DA60" s="350" t="str">
        <f>IFERROR(VLOOKUP(BZ60,bhpc_data[],22,FALSE),"")</f>
        <v/>
      </c>
      <c r="EE60" s="547" t="str" cm="1">
        <f t="array" ref="EE60">IFERROR(IF($EC$9="",IF($EC$11="",IF($EC$13="",INDEX(bhpc_data[sku],SMALL(MATCH(ROW(bhpc_data[sku]),ROW(bhpc_data[sku])),ROWS($A$15:A65)+$B$3)),INDEX(bhpc_data[sku],SMALL(IF(ISNUMBER(MATCH(bhpc_data[size1],$EC$13,0)),MATCH(ROW(bhpc_data[sku]),ROW(bhpc_data[sku])),""),ROWS($A$15:A65)+$B$3))),IF($EC$13="",INDEX(bhpc_data[sku],SMALL(IF(ISNUMBER(MATCH(bhpc_data[sex],$EC$11,0)),MATCH(ROW(bhpc_data[sku]),ROW(bhpc_data[sku])),""),ROWS($A$15:A65)+$B$3)),INDEX(bhpc_data[sku],SMALL(IF(ISNUMBER(MATCH(bhpc_data[sex],$EC$11,0)*MATCH(bhpc_data[size1],$EC$13,0)),MATCH(ROW(bhpc_data[sku]),ROW(bhpc_data[sku])),""),ROWS($A$15:A65)+$B$3)))),IF($EC$11="",IF($EC$13="",INDEX(bhpc_data[sku],SMALL(IF(ISNUMBER(MATCH(bhpc_data[category],$EC$9,0)),MATCH(ROW(bhpc_data[sku]),ROW(bhpc_data[sku])),""),ROWS($A$15:A65)+$B$3)),INDEX(bhpc_data[sku],SMALL(IF(ISNUMBER(MATCH(bhpc_data[category],$EC$9,0)*MATCH(bhpc_data[size1],$EC$13,0)),MATCH(ROW(bhpc_data[sku]),ROW(bhpc_data[sku])),""),ROWS($A$15:A65)+$B$3))),IF($EC$13="",INDEX(bhpc_data[sku],SMALL(IF(ISNUMBER(MATCH(bhpc_data[category],$EC$9,0)*MATCH(bhpc_data[sex],$EC$11,0)),MATCH(ROW(bhpc_data[sku]),ROW(bhpc_data[sku])),""),ROWS($A$15:A65)+$B$3)),INDEX(bhpc_data[sku],SMALL(IF(ISNUMBER(MATCH(bhpc_data[category],$EC$9,0)*MATCH(bhpc_data[sex],$EC$11,0)*MATCH(bhpc_data[size1],$EC$13,0)),MATCH(ROW(bhpc_data[sku]),ROW(bhpc_data[sku])),""),ROWS($A$15:A65)+$B$3))))),"")</f>
        <v>P05028</v>
      </c>
      <c r="EF60" s="548" t="str" cm="1">
        <f t="array" ref="EF60">IFERROR(IF($EC$9="",IF($EC$11="",IF($EC$13="",INDEX(bhpc_data[description],SMALL(MATCH(ROW(bhpc_data[sku]),ROW(bhpc_data[sku])),ROWS($A$15:A65)+$B$3)),INDEX(bhpc_data[description],SMALL(IF(ISNUMBER(MATCH(bhpc_data[size1],$EC$13,0)),MATCH(ROW(bhpc_data[sku]),ROW(bhpc_data[sku])),""),ROWS($A$15:A65)+$B$3))),IF($EC$13="",INDEX(bhpc_data[description],SMALL(IF(ISNUMBER(MATCH(bhpc_data[sex],$EC$11,0)),MATCH(ROW(bhpc_data[sku]),ROW(bhpc_data[sku])),""),ROWS($A$15:A65)+$B$3)),INDEX(bhpc_data[description],SMALL(IF(ISNUMBER(MATCH(bhpc_data[sex],$EC$11,0)*MATCH(bhpc_data[size1],$EC$13,0)),MATCH(ROW(bhpc_data[sku]),ROW(bhpc_data[sku])),""),ROWS($A$15:A65)+$B$3)))),IF($EC$11="",IF($EC$13="",INDEX(bhpc_data[description],SMALL(IF(ISNUMBER(MATCH(bhpc_data[category],$EC$9,0)),MATCH(ROW(bhpc_data[sku]),ROW(bhpc_data[sku])),""),ROWS($A$15:A65)+$B$3)),INDEX(bhpc_data[description],SMALL(IF(ISNUMBER(MATCH(bhpc_data[category],$EC$9,0)*MATCH(bhpc_data[size1],$EC$13,0)),MATCH(ROW(bhpc_data[sku]),ROW(bhpc_data[sku])),""),ROWS($A$15:A65)+$B$3))),IF($EC$13="",INDEX(bhpc_data[description],SMALL(IF(ISNUMBER(MATCH(bhpc_data[category],$EC$9,0)*MATCH(bhpc_data[sex],$EC$11,0)),MATCH(ROW(bhpc_data[sku]),ROW(bhpc_data[sku])),""),ROWS($A$15:A65)+$B$3)),INDEX(bhpc_data[description],SMALL(IF(ISNUMBER(MATCH(bhpc_data[category],$EC$9,0)*MATCH(bhpc_data[sex],$EC$11,0)*MATCH(bhpc_data[size1],$EC$13,0)),MATCH(ROW(bhpc_data[sku]),ROW(bhpc_data[sku])),""),ROWS($A$15:A65)+$B$3))))),"")</f>
        <v>BHPC WOMEN 1 EDP 50ML</v>
      </c>
      <c r="EG60" s="549">
        <f>IFERROR(IF('BHPC MANAGER'!$EE60="","",INDEX(inventory[ESISTENZA],MATCH('BHPC MANAGER'!$EE60,inventory[ARTICOLO],0))),0)</f>
        <v>0</v>
      </c>
      <c r="EH60" s="550">
        <v>10137</v>
      </c>
      <c r="EI60" s="550">
        <f t="shared" si="3"/>
        <v>10137</v>
      </c>
      <c r="EJ60" s="551">
        <v>0</v>
      </c>
      <c r="EK60" s="552">
        <f t="shared" si="4"/>
        <v>10137</v>
      </c>
      <c r="EO60" s="245" t="str">
        <f t="array" ref="EO60">IFERROR(INDEX(orderHistory[order_no],SMALL(IF(ISNUMBER(MATCH(orderHistory[status],$EO$7,0)),MATCH(ROW(orderHistory[order_no]),ROW(orderHistory[order_no])),""),ROWS($A$15:A65))),"")</f>
        <v/>
      </c>
    </row>
    <row r="61" spans="10:145" ht="15" customHeight="1" x14ac:dyDescent="0.35">
      <c r="M61" s="245"/>
      <c r="BG61" s="245"/>
      <c r="BK61" s="366"/>
      <c r="BL61" s="367"/>
      <c r="BM61" s="368"/>
      <c r="BN61" s="367"/>
      <c r="BO61" s="368"/>
      <c r="BZ61" s="497"/>
      <c r="CA61" s="477" t="str">
        <f>IF(BZ61="","",INDEX(bhpc_data[description],MATCH(BZ61,bhpc_data[sku],0)))</f>
        <v/>
      </c>
      <c r="CB61" s="480"/>
      <c r="CC61" s="479"/>
      <c r="CD61" s="498"/>
      <c r="CE61" s="499"/>
      <c r="CF61" s="500"/>
      <c r="CG61" s="483" t="str">
        <f>IFERROR(ROUNDUP(CB61/INDEX(bhpc_data[units_per_carton],MATCH(BZ61,bhpc_data[sku],0)),0),"")</f>
        <v/>
      </c>
      <c r="CH61" s="484" t="str">
        <f>IFERROR(ROUNDUP(CD61/INDEX(bhpc_data[units_per_carton],MATCH(BZ61,bhpc_data[sku],0)),0),"")</f>
        <v/>
      </c>
      <c r="CI61" s="484" t="str">
        <f>IFERROR(ROUNDUP(CF61/INDEX(bhpc_data[units_per_carton],MATCH(BZ61,bhpc_data[sku])),0),"")</f>
        <v/>
      </c>
      <c r="CJ61" s="484" t="str">
        <f>IFERROR(((CB61+CD61+CF61)/INDEX(bhpc_data[units_per_carton],MATCH(BZ61,bhpc_data[sku],0)))*INDEX(bhpc_data[net_weight],MATCH(BZ61,bhpc_data[sku],0)),"")</f>
        <v/>
      </c>
      <c r="CK61" s="484" t="str">
        <f>IFERROR(((CB61+CD61+CF61)/INDEX(bhpc_data[units_per_carton],MATCH(BZ61,bhpc_data[sku],0)))*INDEX(bhpc_data[gross_weight],MATCH(BZ61,bhpc_data[sku],0)),"")</f>
        <v/>
      </c>
      <c r="CL61" s="485" t="str">
        <f>IFERROR((CB61+CD61+CF61)/INDEX(bhpc_data[units_per_carton],MATCH(BZ61,bhpc_data[sku],0))*INDEX(bhpc_data[lenght],MATCH(BZ61,bhpc_data[sku],0))*INDEX(bhpc_data[width],MATCH(BZ61,bhpc_data[sku],0))*INDEX(bhpc_data[height],MATCH(BZ61,bhpc_data[sku],0))/1000000000,"")</f>
        <v/>
      </c>
      <c r="CM61" s="486" t="str">
        <f>IFERROR(INDEX(bhpc_data[category],MATCH(BZ61,bhpc_data[sku],0)),"")</f>
        <v/>
      </c>
      <c r="CN61" s="486" t="str">
        <f>IFERROR(INDEX(bhpc_data[size1],MATCH(BZ61,bhpc_data[sku],0)),"")</f>
        <v/>
      </c>
      <c r="CO61" s="487" t="str">
        <f>IFERROR(INDEX(bhpc_data[hs_code],MATCH(BZ61,bhpc_data[sku],0)),"")</f>
        <v/>
      </c>
      <c r="CP61" s="500"/>
      <c r="CQ61" s="488" t="str">
        <f>IFERROR(IF(BZ61="","",IF($BX$15="SALE",INDEX(inventory[COSTO UNITARIO],MATCH(BZ61,inventory[ARTICOLO],0)),IF($BX$15="SAMPLING",INDEX(inventory[COSTO UNITARIO],MATCH(BZ61,inventory[ARTICOLO],0)),""))),"")</f>
        <v/>
      </c>
      <c r="CR61" s="488" t="str">
        <f t="shared" si="5"/>
        <v/>
      </c>
      <c r="CS61" s="489" t="str">
        <f t="shared" si="6"/>
        <v/>
      </c>
      <c r="CT61" s="573" t="str">
        <f t="shared" si="7"/>
        <v/>
      </c>
      <c r="DA61" s="350" t="str">
        <f>IFERROR(VLOOKUP(BZ61,bhpc_data[],22,FALSE),"")</f>
        <v/>
      </c>
      <c r="EE61" s="541" t="str" cm="1">
        <f t="array" ref="EE61">IFERROR(IF($EC$9="",IF($EC$11="",IF($EC$13="",INDEX(bhpc_data[sku],SMALL(MATCH(ROW(bhpc_data[sku]),ROW(bhpc_data[sku])),ROWS($A$15:A66)+$B$3)),INDEX(bhpc_data[sku],SMALL(IF(ISNUMBER(MATCH(bhpc_data[size1],$EC$13,0)),MATCH(ROW(bhpc_data[sku]),ROW(bhpc_data[sku])),""),ROWS($A$15:A66)+$B$3))),IF($EC$13="",INDEX(bhpc_data[sku],SMALL(IF(ISNUMBER(MATCH(bhpc_data[sex],$EC$11,0)),MATCH(ROW(bhpc_data[sku]),ROW(bhpc_data[sku])),""),ROWS($A$15:A66)+$B$3)),INDEX(bhpc_data[sku],SMALL(IF(ISNUMBER(MATCH(bhpc_data[sex],$EC$11,0)*MATCH(bhpc_data[size1],$EC$13,0)),MATCH(ROW(bhpc_data[sku]),ROW(bhpc_data[sku])),""),ROWS($A$15:A66)+$B$3)))),IF($EC$11="",IF($EC$13="",INDEX(bhpc_data[sku],SMALL(IF(ISNUMBER(MATCH(bhpc_data[category],$EC$9,0)),MATCH(ROW(bhpc_data[sku]),ROW(bhpc_data[sku])),""),ROWS($A$15:A66)+$B$3)),INDEX(bhpc_data[sku],SMALL(IF(ISNUMBER(MATCH(bhpc_data[category],$EC$9,0)*MATCH(bhpc_data[size1],$EC$13,0)),MATCH(ROW(bhpc_data[sku]),ROW(bhpc_data[sku])),""),ROWS($A$15:A66)+$B$3))),IF($EC$13="",INDEX(bhpc_data[sku],SMALL(IF(ISNUMBER(MATCH(bhpc_data[category],$EC$9,0)*MATCH(bhpc_data[sex],$EC$11,0)),MATCH(ROW(bhpc_data[sku]),ROW(bhpc_data[sku])),""),ROWS($A$15:A66)+$B$3)),INDEX(bhpc_data[sku],SMALL(IF(ISNUMBER(MATCH(bhpc_data[category],$EC$9,0)*MATCH(bhpc_data[sex],$EC$11,0)*MATCH(bhpc_data[size1],$EC$13,0)),MATCH(ROW(bhpc_data[sku]),ROW(bhpc_data[sku])),""),ROWS($A$15:A66)+$B$3))))),"")</f>
        <v>P05029</v>
      </c>
      <c r="EF61" s="542" t="str" cm="1">
        <f t="array" ref="EF61">IFERROR(IF($EC$9="",IF($EC$11="",IF($EC$13="",INDEX(bhpc_data[description],SMALL(MATCH(ROW(bhpc_data[sku]),ROW(bhpc_data[sku])),ROWS($A$15:A66)+$B$3)),INDEX(bhpc_data[description],SMALL(IF(ISNUMBER(MATCH(bhpc_data[size1],$EC$13,0)),MATCH(ROW(bhpc_data[sku]),ROW(bhpc_data[sku])),""),ROWS($A$15:A66)+$B$3))),IF($EC$13="",INDEX(bhpc_data[description],SMALL(IF(ISNUMBER(MATCH(bhpc_data[sex],$EC$11,0)),MATCH(ROW(bhpc_data[sku]),ROW(bhpc_data[sku])),""),ROWS($A$15:A66)+$B$3)),INDEX(bhpc_data[description],SMALL(IF(ISNUMBER(MATCH(bhpc_data[sex],$EC$11,0)*MATCH(bhpc_data[size1],$EC$13,0)),MATCH(ROW(bhpc_data[sku]),ROW(bhpc_data[sku])),""),ROWS($A$15:A66)+$B$3)))),IF($EC$11="",IF($EC$13="",INDEX(bhpc_data[description],SMALL(IF(ISNUMBER(MATCH(bhpc_data[category],$EC$9,0)),MATCH(ROW(bhpc_data[sku]),ROW(bhpc_data[sku])),""),ROWS($A$15:A66)+$B$3)),INDEX(bhpc_data[description],SMALL(IF(ISNUMBER(MATCH(bhpc_data[category],$EC$9,0)*MATCH(bhpc_data[size1],$EC$13,0)),MATCH(ROW(bhpc_data[sku]),ROW(bhpc_data[sku])),""),ROWS($A$15:A66)+$B$3))),IF($EC$13="",INDEX(bhpc_data[description],SMALL(IF(ISNUMBER(MATCH(bhpc_data[category],$EC$9,0)*MATCH(bhpc_data[sex],$EC$11,0)),MATCH(ROW(bhpc_data[sku]),ROW(bhpc_data[sku])),""),ROWS($A$15:A66)+$B$3)),INDEX(bhpc_data[description],SMALL(IF(ISNUMBER(MATCH(bhpc_data[category],$EC$9,0)*MATCH(bhpc_data[sex],$EC$11,0)*MATCH(bhpc_data[size1],$EC$13,0)),MATCH(ROW(bhpc_data[sku]),ROW(bhpc_data[sku])),""),ROWS($A$15:A66)+$B$3))))),"")</f>
        <v>BHPC WOMEN 9 EDP 50ML</v>
      </c>
      <c r="EG61" s="543">
        <f>IFERROR(IF('BHPC MANAGER'!$EE61="","",INDEX(inventory[ESISTENZA],MATCH('BHPC MANAGER'!$EE61,inventory[ARTICOLO],0))),0)</f>
        <v>0</v>
      </c>
      <c r="EH61" s="544">
        <v>10111</v>
      </c>
      <c r="EI61" s="544">
        <f t="shared" si="3"/>
        <v>10111</v>
      </c>
      <c r="EJ61" s="545">
        <v>0</v>
      </c>
      <c r="EK61" s="546">
        <f t="shared" si="4"/>
        <v>10111</v>
      </c>
    </row>
    <row r="62" spans="10:145" ht="15" customHeight="1" x14ac:dyDescent="0.35">
      <c r="M62" s="245"/>
      <c r="BG62" s="245"/>
      <c r="BK62" s="366"/>
      <c r="BL62" s="367"/>
      <c r="BM62" s="368"/>
      <c r="BN62" s="367"/>
      <c r="BO62" s="368"/>
      <c r="BZ62" s="497"/>
      <c r="CA62" s="477" t="str">
        <f>IF(BZ62="","",INDEX(bhpc_data[description],MATCH(BZ62,bhpc_data[sku],0)))</f>
        <v/>
      </c>
      <c r="CB62" s="480"/>
      <c r="CC62" s="479"/>
      <c r="CD62" s="498"/>
      <c r="CE62" s="499"/>
      <c r="CF62" s="500"/>
      <c r="CG62" s="483" t="str">
        <f>IFERROR(ROUNDUP(CB62/INDEX(bhpc_data[units_per_carton],MATCH(BZ62,bhpc_data[sku],0)),0),"")</f>
        <v/>
      </c>
      <c r="CH62" s="484" t="str">
        <f>IFERROR(ROUNDUP(CD62/INDEX(bhpc_data[units_per_carton],MATCH(BZ62,bhpc_data[sku],0)),0),"")</f>
        <v/>
      </c>
      <c r="CI62" s="484" t="str">
        <f>IFERROR(ROUNDUP(CF62/INDEX(bhpc_data[units_per_carton],MATCH(BZ62,bhpc_data[sku])),0),"")</f>
        <v/>
      </c>
      <c r="CJ62" s="484" t="str">
        <f>IFERROR(((CB62+CD62+CF62)/INDEX(bhpc_data[units_per_carton],MATCH(BZ62,bhpc_data[sku],0)))*INDEX(bhpc_data[net_weight],MATCH(BZ62,bhpc_data[sku],0)),"")</f>
        <v/>
      </c>
      <c r="CK62" s="484" t="str">
        <f>IFERROR(((CB62+CD62+CF62)/INDEX(bhpc_data[units_per_carton],MATCH(BZ62,bhpc_data[sku],0)))*INDEX(bhpc_data[gross_weight],MATCH(BZ62,bhpc_data[sku],0)),"")</f>
        <v/>
      </c>
      <c r="CL62" s="485" t="str">
        <f>IFERROR((CB62+CD62+CF62)/INDEX(bhpc_data[units_per_carton],MATCH(BZ62,bhpc_data[sku],0))*INDEX(bhpc_data[lenght],MATCH(BZ62,bhpc_data[sku],0))*INDEX(bhpc_data[width],MATCH(BZ62,bhpc_data[sku],0))*INDEX(bhpc_data[height],MATCH(BZ62,bhpc_data[sku],0))/1000000000,"")</f>
        <v/>
      </c>
      <c r="CM62" s="486" t="str">
        <f>IFERROR(INDEX(bhpc_data[category],MATCH(BZ62,bhpc_data[sku],0)),"")</f>
        <v/>
      </c>
      <c r="CN62" s="486" t="str">
        <f>IFERROR(INDEX(bhpc_data[size1],MATCH(BZ62,bhpc_data[sku],0)),"")</f>
        <v/>
      </c>
      <c r="CO62" s="487" t="str">
        <f>IFERROR(INDEX(bhpc_data[hs_code],MATCH(BZ62,bhpc_data[sku],0)),"")</f>
        <v/>
      </c>
      <c r="CP62" s="500"/>
      <c r="CQ62" s="488" t="str">
        <f>IFERROR(IF(BZ62="","",IF($BX$15="SALE",INDEX(inventory[COSTO UNITARIO],MATCH(BZ62,inventory[ARTICOLO],0)),IF($BX$15="SAMPLING",INDEX(inventory[COSTO UNITARIO],MATCH(BZ62,inventory[ARTICOLO],0)),""))),"")</f>
        <v/>
      </c>
      <c r="CR62" s="488" t="str">
        <f t="shared" si="5"/>
        <v/>
      </c>
      <c r="CS62" s="489" t="str">
        <f t="shared" si="6"/>
        <v/>
      </c>
      <c r="CT62" s="573" t="str">
        <f t="shared" si="7"/>
        <v/>
      </c>
      <c r="DA62" s="350" t="str">
        <f>IFERROR(VLOOKUP(BZ62,bhpc_data[],22,FALSE),"")</f>
        <v/>
      </c>
      <c r="EE62" s="547" t="str" cm="1">
        <f t="array" ref="EE62">IFERROR(IF($EC$9="",IF($EC$11="",IF($EC$13="",INDEX(bhpc_data[sku],SMALL(MATCH(ROW(bhpc_data[sku]),ROW(bhpc_data[sku])),ROWS($A$15:A67)+$B$3)),INDEX(bhpc_data[sku],SMALL(IF(ISNUMBER(MATCH(bhpc_data[size1],$EC$13,0)),MATCH(ROW(bhpc_data[sku]),ROW(bhpc_data[sku])),""),ROWS($A$15:A67)+$B$3))),IF($EC$13="",INDEX(bhpc_data[sku],SMALL(IF(ISNUMBER(MATCH(bhpc_data[sex],$EC$11,0)),MATCH(ROW(bhpc_data[sku]),ROW(bhpc_data[sku])),""),ROWS($A$15:A67)+$B$3)),INDEX(bhpc_data[sku],SMALL(IF(ISNUMBER(MATCH(bhpc_data[sex],$EC$11,0)*MATCH(bhpc_data[size1],$EC$13,0)),MATCH(ROW(bhpc_data[sku]),ROW(bhpc_data[sku])),""),ROWS($A$15:A67)+$B$3)))),IF($EC$11="",IF($EC$13="",INDEX(bhpc_data[sku],SMALL(IF(ISNUMBER(MATCH(bhpc_data[category],$EC$9,0)),MATCH(ROW(bhpc_data[sku]),ROW(bhpc_data[sku])),""),ROWS($A$15:A67)+$B$3)),INDEX(bhpc_data[sku],SMALL(IF(ISNUMBER(MATCH(bhpc_data[category],$EC$9,0)*MATCH(bhpc_data[size1],$EC$13,0)),MATCH(ROW(bhpc_data[sku]),ROW(bhpc_data[sku])),""),ROWS($A$15:A67)+$B$3))),IF($EC$13="",INDEX(bhpc_data[sku],SMALL(IF(ISNUMBER(MATCH(bhpc_data[category],$EC$9,0)*MATCH(bhpc_data[sex],$EC$11,0)),MATCH(ROW(bhpc_data[sku]),ROW(bhpc_data[sku])),""),ROWS($A$15:A67)+$B$3)),INDEX(bhpc_data[sku],SMALL(IF(ISNUMBER(MATCH(bhpc_data[category],$EC$9,0)*MATCH(bhpc_data[sex],$EC$11,0)*MATCH(bhpc_data[size1],$EC$13,0)),MATCH(ROW(bhpc_data[sku]),ROW(bhpc_data[sku])),""),ROWS($A$15:A67)+$B$3))))),"")</f>
        <v>P05030</v>
      </c>
      <c r="EF62" s="548" t="str" cm="1">
        <f t="array" ref="EF62">IFERROR(IF($EC$9="",IF($EC$11="",IF($EC$13="",INDEX(bhpc_data[description],SMALL(MATCH(ROW(bhpc_data[sku]),ROW(bhpc_data[sku])),ROWS($A$15:A67)+$B$3)),INDEX(bhpc_data[description],SMALL(IF(ISNUMBER(MATCH(bhpc_data[size1],$EC$13,0)),MATCH(ROW(bhpc_data[sku]),ROW(bhpc_data[sku])),""),ROWS($A$15:A67)+$B$3))),IF($EC$13="",INDEX(bhpc_data[description],SMALL(IF(ISNUMBER(MATCH(bhpc_data[sex],$EC$11,0)),MATCH(ROW(bhpc_data[sku]),ROW(bhpc_data[sku])),""),ROWS($A$15:A67)+$B$3)),INDEX(bhpc_data[description],SMALL(IF(ISNUMBER(MATCH(bhpc_data[sex],$EC$11,0)*MATCH(bhpc_data[size1],$EC$13,0)),MATCH(ROW(bhpc_data[sku]),ROW(bhpc_data[sku])),""),ROWS($A$15:A67)+$B$3)))),IF($EC$11="",IF($EC$13="",INDEX(bhpc_data[description],SMALL(IF(ISNUMBER(MATCH(bhpc_data[category],$EC$9,0)),MATCH(ROW(bhpc_data[sku]),ROW(bhpc_data[sku])),""),ROWS($A$15:A67)+$B$3)),INDEX(bhpc_data[description],SMALL(IF(ISNUMBER(MATCH(bhpc_data[category],$EC$9,0)*MATCH(bhpc_data[size1],$EC$13,0)),MATCH(ROW(bhpc_data[sku]),ROW(bhpc_data[sku])),""),ROWS($A$15:A67)+$B$3))),IF($EC$13="",INDEX(bhpc_data[description],SMALL(IF(ISNUMBER(MATCH(bhpc_data[category],$EC$9,0)*MATCH(bhpc_data[sex],$EC$11,0)),MATCH(ROW(bhpc_data[sku]),ROW(bhpc_data[sku])),""),ROWS($A$15:A67)+$B$3)),INDEX(bhpc_data[description],SMALL(IF(ISNUMBER(MATCH(bhpc_data[category],$EC$9,0)*MATCH(bhpc_data[sex],$EC$11,0)*MATCH(bhpc_data[size1],$EC$13,0)),MATCH(ROW(bhpc_data[sku]),ROW(bhpc_data[sku])),""),ROWS($A$15:A67)+$B$3))))),"")</f>
        <v>BHPC WOMEN 8 EDP 50ML</v>
      </c>
      <c r="EG62" s="549">
        <f>IFERROR(IF('BHPC MANAGER'!$EE62="","",INDEX(inventory[ESISTENZA],MATCH('BHPC MANAGER'!$EE62,inventory[ARTICOLO],0))),0)</f>
        <v>0</v>
      </c>
      <c r="EH62" s="550">
        <v>10132</v>
      </c>
      <c r="EI62" s="550">
        <f t="shared" si="3"/>
        <v>10132</v>
      </c>
      <c r="EJ62" s="551">
        <v>0</v>
      </c>
      <c r="EK62" s="552">
        <f t="shared" si="4"/>
        <v>10132</v>
      </c>
    </row>
    <row r="63" spans="10:145" ht="15" customHeight="1" x14ac:dyDescent="0.35">
      <c r="M63" s="245"/>
      <c r="BG63" s="245"/>
      <c r="BK63" s="366"/>
      <c r="BL63" s="367"/>
      <c r="BM63" s="368"/>
      <c r="BN63" s="367"/>
      <c r="BO63" s="368"/>
      <c r="BZ63" s="497"/>
      <c r="CA63" s="477" t="str">
        <f>IF(BZ63="","",INDEX(bhpc_data[description],MATCH(BZ63,bhpc_data[sku],0)))</f>
        <v/>
      </c>
      <c r="CB63" s="480"/>
      <c r="CC63" s="479"/>
      <c r="CD63" s="498"/>
      <c r="CE63" s="499"/>
      <c r="CF63" s="500"/>
      <c r="CG63" s="483" t="str">
        <f>IFERROR(ROUNDUP(CB63/INDEX(bhpc_data[units_per_carton],MATCH(BZ63,bhpc_data[sku],0)),0),"")</f>
        <v/>
      </c>
      <c r="CH63" s="484" t="str">
        <f>IFERROR(ROUNDUP(CD63/INDEX(bhpc_data[units_per_carton],MATCH(BZ63,bhpc_data[sku],0)),0),"")</f>
        <v/>
      </c>
      <c r="CI63" s="484" t="str">
        <f>IFERROR(ROUNDUP(CF63/INDEX(bhpc_data[units_per_carton],MATCH(BZ63,bhpc_data[sku])),0),"")</f>
        <v/>
      </c>
      <c r="CJ63" s="484" t="str">
        <f>IFERROR(((CB63+CD63+CF63)/INDEX(bhpc_data[units_per_carton],MATCH(BZ63,bhpc_data[sku],0)))*INDEX(bhpc_data[net_weight],MATCH(BZ63,bhpc_data[sku],0)),"")</f>
        <v/>
      </c>
      <c r="CK63" s="484" t="str">
        <f>IFERROR(((CB63+CD63+CF63)/INDEX(bhpc_data[units_per_carton],MATCH(BZ63,bhpc_data[sku],0)))*INDEX(bhpc_data[gross_weight],MATCH(BZ63,bhpc_data[sku],0)),"")</f>
        <v/>
      </c>
      <c r="CL63" s="485" t="str">
        <f>IFERROR((CB63+CD63+CF63)/INDEX(bhpc_data[units_per_carton],MATCH(BZ63,bhpc_data[sku],0))*INDEX(bhpc_data[lenght],MATCH(BZ63,bhpc_data[sku],0))*INDEX(bhpc_data[width],MATCH(BZ63,bhpc_data[sku],0))*INDEX(bhpc_data[height],MATCH(BZ63,bhpc_data[sku],0))/1000000000,"")</f>
        <v/>
      </c>
      <c r="CM63" s="486" t="str">
        <f>IFERROR(INDEX(bhpc_data[category],MATCH(BZ63,bhpc_data[sku],0)),"")</f>
        <v/>
      </c>
      <c r="CN63" s="486" t="str">
        <f>IFERROR(INDEX(bhpc_data[size1],MATCH(BZ63,bhpc_data[sku],0)),"")</f>
        <v/>
      </c>
      <c r="CO63" s="487" t="str">
        <f>IFERROR(INDEX(bhpc_data[hs_code],MATCH(BZ63,bhpc_data[sku],0)),"")</f>
        <v/>
      </c>
      <c r="CP63" s="500"/>
      <c r="CQ63" s="488" t="str">
        <f>IFERROR(IF(BZ63="","",IF($BX$15="SALE",INDEX(inventory[COSTO UNITARIO],MATCH(BZ63,inventory[ARTICOLO],0)),IF($BX$15="SAMPLING",INDEX(inventory[COSTO UNITARIO],MATCH(BZ63,inventory[ARTICOLO],0)),""))),"")</f>
        <v/>
      </c>
      <c r="CR63" s="488" t="str">
        <f t="shared" si="5"/>
        <v/>
      </c>
      <c r="CS63" s="489" t="str">
        <f t="shared" si="6"/>
        <v/>
      </c>
      <c r="CT63" s="573" t="str">
        <f t="shared" si="7"/>
        <v/>
      </c>
      <c r="DA63" s="350" t="str">
        <f>IFERROR(VLOOKUP(BZ63,bhpc_data[],22,FALSE),"")</f>
        <v/>
      </c>
      <c r="EE63" s="541" t="str" cm="1">
        <f t="array" ref="EE63">IFERROR(IF($EC$9="",IF($EC$11="",IF($EC$13="",INDEX(bhpc_data[sku],SMALL(MATCH(ROW(bhpc_data[sku]),ROW(bhpc_data[sku])),ROWS($A$15:A68)+$B$3)),INDEX(bhpc_data[sku],SMALL(IF(ISNUMBER(MATCH(bhpc_data[size1],$EC$13,0)),MATCH(ROW(bhpc_data[sku]),ROW(bhpc_data[sku])),""),ROWS($A$15:A68)+$B$3))),IF($EC$13="",INDEX(bhpc_data[sku],SMALL(IF(ISNUMBER(MATCH(bhpc_data[sex],$EC$11,0)),MATCH(ROW(bhpc_data[sku]),ROW(bhpc_data[sku])),""),ROWS($A$15:A68)+$B$3)),INDEX(bhpc_data[sku],SMALL(IF(ISNUMBER(MATCH(bhpc_data[sex],$EC$11,0)*MATCH(bhpc_data[size1],$EC$13,0)),MATCH(ROW(bhpc_data[sku]),ROW(bhpc_data[sku])),""),ROWS($A$15:A68)+$B$3)))),IF($EC$11="",IF($EC$13="",INDEX(bhpc_data[sku],SMALL(IF(ISNUMBER(MATCH(bhpc_data[category],$EC$9,0)),MATCH(ROW(bhpc_data[sku]),ROW(bhpc_data[sku])),""),ROWS($A$15:A68)+$B$3)),INDEX(bhpc_data[sku],SMALL(IF(ISNUMBER(MATCH(bhpc_data[category],$EC$9,0)*MATCH(bhpc_data[size1],$EC$13,0)),MATCH(ROW(bhpc_data[sku]),ROW(bhpc_data[sku])),""),ROWS($A$15:A68)+$B$3))),IF($EC$13="",INDEX(bhpc_data[sku],SMALL(IF(ISNUMBER(MATCH(bhpc_data[category],$EC$9,0)*MATCH(bhpc_data[sex],$EC$11,0)),MATCH(ROW(bhpc_data[sku]),ROW(bhpc_data[sku])),""),ROWS($A$15:A68)+$B$3)),INDEX(bhpc_data[sku],SMALL(IF(ISNUMBER(MATCH(bhpc_data[category],$EC$9,0)*MATCH(bhpc_data[sex],$EC$11,0)*MATCH(bhpc_data[size1],$EC$13,0)),MATCH(ROW(bhpc_data[sku]),ROW(bhpc_data[sku])),""),ROWS($A$15:A68)+$B$3))))),"")</f>
        <v>P05031</v>
      </c>
      <c r="EF63" s="542" t="str" cm="1">
        <f t="array" ref="EF63">IFERROR(IF($EC$9="",IF($EC$11="",IF($EC$13="",INDEX(bhpc_data[description],SMALL(MATCH(ROW(bhpc_data[sku]),ROW(bhpc_data[sku])),ROWS($A$15:A68)+$B$3)),INDEX(bhpc_data[description],SMALL(IF(ISNUMBER(MATCH(bhpc_data[size1],$EC$13,0)),MATCH(ROW(bhpc_data[sku]),ROW(bhpc_data[sku])),""),ROWS($A$15:A68)+$B$3))),IF($EC$13="",INDEX(bhpc_data[description],SMALL(IF(ISNUMBER(MATCH(bhpc_data[sex],$EC$11,0)),MATCH(ROW(bhpc_data[sku]),ROW(bhpc_data[sku])),""),ROWS($A$15:A68)+$B$3)),INDEX(bhpc_data[description],SMALL(IF(ISNUMBER(MATCH(bhpc_data[sex],$EC$11,0)*MATCH(bhpc_data[size1],$EC$13,0)),MATCH(ROW(bhpc_data[sku]),ROW(bhpc_data[sku])),""),ROWS($A$15:A68)+$B$3)))),IF($EC$11="",IF($EC$13="",INDEX(bhpc_data[description],SMALL(IF(ISNUMBER(MATCH(bhpc_data[category],$EC$9,0)),MATCH(ROW(bhpc_data[sku]),ROW(bhpc_data[sku])),""),ROWS($A$15:A68)+$B$3)),INDEX(bhpc_data[description],SMALL(IF(ISNUMBER(MATCH(bhpc_data[category],$EC$9,0)*MATCH(bhpc_data[size1],$EC$13,0)),MATCH(ROW(bhpc_data[sku]),ROW(bhpc_data[sku])),""),ROWS($A$15:A68)+$B$3))),IF($EC$13="",INDEX(bhpc_data[description],SMALL(IF(ISNUMBER(MATCH(bhpc_data[category],$EC$9,0)*MATCH(bhpc_data[sex],$EC$11,0)),MATCH(ROW(bhpc_data[sku]),ROW(bhpc_data[sku])),""),ROWS($A$15:A68)+$B$3)),INDEX(bhpc_data[description],SMALL(IF(ISNUMBER(MATCH(bhpc_data[category],$EC$9,0)*MATCH(bhpc_data[sex],$EC$11,0)*MATCH(bhpc_data[size1],$EC$13,0)),MATCH(ROW(bhpc_data[sku]),ROW(bhpc_data[sku])),""),ROWS($A$15:A68)+$B$3))))),"")</f>
        <v>BHPC WOMEN 2 EDP 50ML</v>
      </c>
      <c r="EG63" s="543">
        <f>IFERROR(IF('BHPC MANAGER'!$EE63="","",INDEX(inventory[ESISTENZA],MATCH('BHPC MANAGER'!$EE63,inventory[ARTICOLO],0))),0)</f>
        <v>0</v>
      </c>
      <c r="EH63" s="544">
        <v>10032</v>
      </c>
      <c r="EI63" s="544">
        <f t="shared" si="3"/>
        <v>10032</v>
      </c>
      <c r="EJ63" s="545">
        <v>0</v>
      </c>
      <c r="EK63" s="546">
        <f t="shared" si="4"/>
        <v>10032</v>
      </c>
    </row>
    <row r="64" spans="10:145" ht="15" customHeight="1" x14ac:dyDescent="0.35">
      <c r="BG64" s="245"/>
      <c r="BK64" s="366"/>
      <c r="BL64" s="367"/>
      <c r="BM64" s="368"/>
      <c r="BN64" s="367"/>
      <c r="BO64" s="368"/>
      <c r="BZ64" s="497"/>
      <c r="CA64" s="477" t="str">
        <f>IF(BZ64="","",INDEX(bhpc_data[description],MATCH(BZ64,bhpc_data[sku],0)))</f>
        <v/>
      </c>
      <c r="CB64" s="480"/>
      <c r="CC64" s="479"/>
      <c r="CD64" s="498"/>
      <c r="CE64" s="499"/>
      <c r="CF64" s="500"/>
      <c r="CG64" s="483" t="str">
        <f>IFERROR(ROUNDUP(CB64/INDEX(bhpc_data[units_per_carton],MATCH(BZ64,bhpc_data[sku],0)),0),"")</f>
        <v/>
      </c>
      <c r="CH64" s="484" t="str">
        <f>IFERROR(ROUNDUP(CD64/INDEX(bhpc_data[units_per_carton],MATCH(BZ64,bhpc_data[sku],0)),0),"")</f>
        <v/>
      </c>
      <c r="CI64" s="484" t="str">
        <f>IFERROR(ROUNDUP(CF64/INDEX(bhpc_data[units_per_carton],MATCH(BZ64,bhpc_data[sku])),0),"")</f>
        <v/>
      </c>
      <c r="CJ64" s="484" t="str">
        <f>IFERROR(((CB64+CD64+CF64)/INDEX(bhpc_data[units_per_carton],MATCH(BZ64,bhpc_data[sku],0)))*INDEX(bhpc_data[net_weight],MATCH(BZ64,bhpc_data[sku],0)),"")</f>
        <v/>
      </c>
      <c r="CK64" s="484" t="str">
        <f>IFERROR(((CB64+CD64+CF64)/INDEX(bhpc_data[units_per_carton],MATCH(BZ64,bhpc_data[sku],0)))*INDEX(bhpc_data[gross_weight],MATCH(BZ64,bhpc_data[sku],0)),"")</f>
        <v/>
      </c>
      <c r="CL64" s="485" t="str">
        <f>IFERROR((CB64+CD64+CF64)/INDEX(bhpc_data[units_per_carton],MATCH(BZ64,bhpc_data[sku],0))*INDEX(bhpc_data[lenght],MATCH(BZ64,bhpc_data[sku],0))*INDEX(bhpc_data[width],MATCH(BZ64,bhpc_data[sku],0))*INDEX(bhpc_data[height],MATCH(BZ64,bhpc_data[sku],0))/1000000000,"")</f>
        <v/>
      </c>
      <c r="CM64" s="486" t="str">
        <f>IFERROR(INDEX(bhpc_data[category],MATCH(BZ64,bhpc_data[sku],0)),"")</f>
        <v/>
      </c>
      <c r="CN64" s="486" t="str">
        <f>IFERROR(INDEX(bhpc_data[size1],MATCH(BZ64,bhpc_data[sku],0)),"")</f>
        <v/>
      </c>
      <c r="CO64" s="487" t="str">
        <f>IFERROR(INDEX(bhpc_data[hs_code],MATCH(BZ64,bhpc_data[sku],0)),"")</f>
        <v/>
      </c>
      <c r="CP64" s="500"/>
      <c r="CQ64" s="488" t="str">
        <f>IFERROR(IF(BZ64="","",IF($BX$15="SALE",INDEX(inventory[COSTO UNITARIO],MATCH(BZ64,inventory[ARTICOLO],0)),IF($BX$15="SAMPLING",INDEX(inventory[COSTO UNITARIO],MATCH(BZ64,inventory[ARTICOLO],0)),""))),"")</f>
        <v/>
      </c>
      <c r="CR64" s="488" t="str">
        <f t="shared" si="5"/>
        <v/>
      </c>
      <c r="CS64" s="489" t="str">
        <f t="shared" si="6"/>
        <v/>
      </c>
      <c r="CT64" s="573" t="str">
        <f t="shared" si="7"/>
        <v/>
      </c>
      <c r="DA64" s="350" t="str">
        <f>IFERROR(VLOOKUP(BZ64,bhpc_data[],22,FALSE),"")</f>
        <v/>
      </c>
      <c r="EE64" s="547" t="str" cm="1">
        <f t="array" ref="EE64">IFERROR(IF($EC$9="",IF($EC$11="",IF($EC$13="",INDEX(bhpc_data[sku],SMALL(MATCH(ROW(bhpc_data[sku]),ROW(bhpc_data[sku])),ROWS($A$15:A69)+$B$3)),INDEX(bhpc_data[sku],SMALL(IF(ISNUMBER(MATCH(bhpc_data[size1],$EC$13,0)),MATCH(ROW(bhpc_data[sku]),ROW(bhpc_data[sku])),""),ROWS($A$15:A69)+$B$3))),IF($EC$13="",INDEX(bhpc_data[sku],SMALL(IF(ISNUMBER(MATCH(bhpc_data[sex],$EC$11,0)),MATCH(ROW(bhpc_data[sku]),ROW(bhpc_data[sku])),""),ROWS($A$15:A69)+$B$3)),INDEX(bhpc_data[sku],SMALL(IF(ISNUMBER(MATCH(bhpc_data[sex],$EC$11,0)*MATCH(bhpc_data[size1],$EC$13,0)),MATCH(ROW(bhpc_data[sku]),ROW(bhpc_data[sku])),""),ROWS($A$15:A69)+$B$3)))),IF($EC$11="",IF($EC$13="",INDEX(bhpc_data[sku],SMALL(IF(ISNUMBER(MATCH(bhpc_data[category],$EC$9,0)),MATCH(ROW(bhpc_data[sku]),ROW(bhpc_data[sku])),""),ROWS($A$15:A69)+$B$3)),INDEX(bhpc_data[sku],SMALL(IF(ISNUMBER(MATCH(bhpc_data[category],$EC$9,0)*MATCH(bhpc_data[size1],$EC$13,0)),MATCH(ROW(bhpc_data[sku]),ROW(bhpc_data[sku])),""),ROWS($A$15:A69)+$B$3))),IF($EC$13="",INDEX(bhpc_data[sku],SMALL(IF(ISNUMBER(MATCH(bhpc_data[category],$EC$9,0)*MATCH(bhpc_data[sex],$EC$11,0)),MATCH(ROW(bhpc_data[sku]),ROW(bhpc_data[sku])),""),ROWS($A$15:A69)+$B$3)),INDEX(bhpc_data[sku],SMALL(IF(ISNUMBER(MATCH(bhpc_data[category],$EC$9,0)*MATCH(bhpc_data[sex],$EC$11,0)*MATCH(bhpc_data[size1],$EC$13,0)),MATCH(ROW(bhpc_data[sku]),ROW(bhpc_data[sku])),""),ROWS($A$15:A69)+$B$3))))),"")</f>
        <v>P05050</v>
      </c>
      <c r="EF64" s="548" t="str" cm="1">
        <f t="array" ref="EF64">IFERROR(IF($EC$9="",IF($EC$11="",IF($EC$13="",INDEX(bhpc_data[description],SMALL(MATCH(ROW(bhpc_data[sku]),ROW(bhpc_data[sku])),ROWS($A$15:A69)+$B$3)),INDEX(bhpc_data[description],SMALL(IF(ISNUMBER(MATCH(bhpc_data[size1],$EC$13,0)),MATCH(ROW(bhpc_data[sku]),ROW(bhpc_data[sku])),""),ROWS($A$15:A69)+$B$3))),IF($EC$13="",INDEX(bhpc_data[description],SMALL(IF(ISNUMBER(MATCH(bhpc_data[sex],$EC$11,0)),MATCH(ROW(bhpc_data[sku]),ROW(bhpc_data[sku])),""),ROWS($A$15:A69)+$B$3)),INDEX(bhpc_data[description],SMALL(IF(ISNUMBER(MATCH(bhpc_data[sex],$EC$11,0)*MATCH(bhpc_data[size1],$EC$13,0)),MATCH(ROW(bhpc_data[sku]),ROW(bhpc_data[sku])),""),ROWS($A$15:A69)+$B$3)))),IF($EC$11="",IF($EC$13="",INDEX(bhpc_data[description],SMALL(IF(ISNUMBER(MATCH(bhpc_data[category],$EC$9,0)),MATCH(ROW(bhpc_data[sku]),ROW(bhpc_data[sku])),""),ROWS($A$15:A69)+$B$3)),INDEX(bhpc_data[description],SMALL(IF(ISNUMBER(MATCH(bhpc_data[category],$EC$9,0)*MATCH(bhpc_data[size1],$EC$13,0)),MATCH(ROW(bhpc_data[sku]),ROW(bhpc_data[sku])),""),ROWS($A$15:A69)+$B$3))),IF($EC$13="",INDEX(bhpc_data[description],SMALL(IF(ISNUMBER(MATCH(bhpc_data[category],$EC$9,0)*MATCH(bhpc_data[sex],$EC$11,0)),MATCH(ROW(bhpc_data[sku]),ROW(bhpc_data[sku])),""),ROWS($A$15:A69)+$B$3)),INDEX(bhpc_data[description],SMALL(IF(ISNUMBER(MATCH(bhpc_data[category],$EC$9,0)*MATCH(bhpc_data[sex],$EC$11,0)*MATCH(bhpc_data[size1],$EC$13,0)),MATCH(ROW(bhpc_data[sku]),ROW(bhpc_data[sku])),""),ROWS($A$15:A69)+$B$3))))),"")</f>
        <v>BHPC WOMEN 1 EDP 100ML</v>
      </c>
      <c r="EG64" s="549">
        <f>IFERROR(IF('BHPC MANAGER'!$EE64="","",INDEX(inventory[ESISTENZA],MATCH('BHPC MANAGER'!$EE64,inventory[ARTICOLO],0))),0)</f>
        <v>9209</v>
      </c>
      <c r="EH64" s="550">
        <v>-3009</v>
      </c>
      <c r="EI64" s="550">
        <f t="shared" si="3"/>
        <v>6200</v>
      </c>
      <c r="EJ64" s="551">
        <v>-72</v>
      </c>
      <c r="EK64" s="552">
        <f t="shared" si="4"/>
        <v>6128</v>
      </c>
    </row>
    <row r="65" spans="59:141" ht="15" customHeight="1" x14ac:dyDescent="0.35">
      <c r="BG65" s="245"/>
      <c r="BK65" s="366"/>
      <c r="BL65" s="367"/>
      <c r="BM65" s="368"/>
      <c r="BN65" s="367"/>
      <c r="BO65" s="368"/>
      <c r="BZ65" s="497"/>
      <c r="CA65" s="477" t="str">
        <f>IF(BZ65="","",INDEX(bhpc_data[description],MATCH(BZ65,bhpc_data[sku],0)))</f>
        <v/>
      </c>
      <c r="CB65" s="480"/>
      <c r="CC65" s="479"/>
      <c r="CD65" s="498"/>
      <c r="CE65" s="499"/>
      <c r="CF65" s="500"/>
      <c r="CG65" s="483" t="str">
        <f>IFERROR(ROUNDUP(CB65/INDEX(bhpc_data[units_per_carton],MATCH(BZ65,bhpc_data[sku],0)),0),"")</f>
        <v/>
      </c>
      <c r="CH65" s="484" t="str">
        <f>IFERROR(ROUNDUP(CD65/INDEX(bhpc_data[units_per_carton],MATCH(BZ65,bhpc_data[sku],0)),0),"")</f>
        <v/>
      </c>
      <c r="CI65" s="484" t="str">
        <f>IFERROR(ROUNDUP(CF65/INDEX(bhpc_data[units_per_carton],MATCH(BZ65,bhpc_data[sku])),0),"")</f>
        <v/>
      </c>
      <c r="CJ65" s="484" t="str">
        <f>IFERROR(((CB65+CD65+CF65)/INDEX(bhpc_data[units_per_carton],MATCH(BZ65,bhpc_data[sku],0)))*INDEX(bhpc_data[net_weight],MATCH(BZ65,bhpc_data[sku],0)),"")</f>
        <v/>
      </c>
      <c r="CK65" s="484" t="str">
        <f>IFERROR(((CB65+CD65+CF65)/INDEX(bhpc_data[units_per_carton],MATCH(BZ65,bhpc_data[sku],0)))*INDEX(bhpc_data[gross_weight],MATCH(BZ65,bhpc_data[sku],0)),"")</f>
        <v/>
      </c>
      <c r="CL65" s="485" t="str">
        <f>IFERROR((CB65+CD65+CF65)/INDEX(bhpc_data[units_per_carton],MATCH(BZ65,bhpc_data[sku],0))*INDEX(bhpc_data[lenght],MATCH(BZ65,bhpc_data[sku],0))*INDEX(bhpc_data[width],MATCH(BZ65,bhpc_data[sku],0))*INDEX(bhpc_data[height],MATCH(BZ65,bhpc_data[sku],0))/1000000000,"")</f>
        <v/>
      </c>
      <c r="CM65" s="486" t="str">
        <f>IFERROR(INDEX(bhpc_data[category],MATCH(BZ65,bhpc_data[sku],0)),"")</f>
        <v/>
      </c>
      <c r="CN65" s="486" t="str">
        <f>IFERROR(INDEX(bhpc_data[size1],MATCH(BZ65,bhpc_data[sku],0)),"")</f>
        <v/>
      </c>
      <c r="CO65" s="487" t="str">
        <f>IFERROR(INDEX(bhpc_data[hs_code],MATCH(BZ65,bhpc_data[sku],0)),"")</f>
        <v/>
      </c>
      <c r="CP65" s="500"/>
      <c r="CQ65" s="488" t="str">
        <f>IFERROR(IF(BZ65="","",IF($BX$15="SALE",INDEX(inventory[COSTO UNITARIO],MATCH(BZ65,inventory[ARTICOLO],0)),IF($BX$15="SAMPLING",INDEX(inventory[COSTO UNITARIO],MATCH(BZ65,inventory[ARTICOLO],0)),""))),"")</f>
        <v/>
      </c>
      <c r="CR65" s="488" t="str">
        <f t="shared" si="5"/>
        <v/>
      </c>
      <c r="CS65" s="489" t="str">
        <f t="shared" si="6"/>
        <v/>
      </c>
      <c r="CT65" s="573" t="str">
        <f t="shared" si="7"/>
        <v/>
      </c>
      <c r="DA65" s="350" t="str">
        <f>IFERROR(VLOOKUP(BZ65,bhpc_data[],22,FALSE),"")</f>
        <v/>
      </c>
      <c r="EE65" s="541" t="str" cm="1">
        <f t="array" ref="EE65">IFERROR(IF($EC$9="",IF($EC$11="",IF($EC$13="",INDEX(bhpc_data[sku],SMALL(MATCH(ROW(bhpc_data[sku]),ROW(bhpc_data[sku])),ROWS($A$15:A70)+$B$3)),INDEX(bhpc_data[sku],SMALL(IF(ISNUMBER(MATCH(bhpc_data[size1],$EC$13,0)),MATCH(ROW(bhpc_data[sku]),ROW(bhpc_data[sku])),""),ROWS($A$15:A70)+$B$3))),IF($EC$13="",INDEX(bhpc_data[sku],SMALL(IF(ISNUMBER(MATCH(bhpc_data[sex],$EC$11,0)),MATCH(ROW(bhpc_data[sku]),ROW(bhpc_data[sku])),""),ROWS($A$15:A70)+$B$3)),INDEX(bhpc_data[sku],SMALL(IF(ISNUMBER(MATCH(bhpc_data[sex],$EC$11,0)*MATCH(bhpc_data[size1],$EC$13,0)),MATCH(ROW(bhpc_data[sku]),ROW(bhpc_data[sku])),""),ROWS($A$15:A70)+$B$3)))),IF($EC$11="",IF($EC$13="",INDEX(bhpc_data[sku],SMALL(IF(ISNUMBER(MATCH(bhpc_data[category],$EC$9,0)),MATCH(ROW(bhpc_data[sku]),ROW(bhpc_data[sku])),""),ROWS($A$15:A70)+$B$3)),INDEX(bhpc_data[sku],SMALL(IF(ISNUMBER(MATCH(bhpc_data[category],$EC$9,0)*MATCH(bhpc_data[size1],$EC$13,0)),MATCH(ROW(bhpc_data[sku]),ROW(bhpc_data[sku])),""),ROWS($A$15:A70)+$B$3))),IF($EC$13="",INDEX(bhpc_data[sku],SMALL(IF(ISNUMBER(MATCH(bhpc_data[category],$EC$9,0)*MATCH(bhpc_data[sex],$EC$11,0)),MATCH(ROW(bhpc_data[sku]),ROW(bhpc_data[sku])),""),ROWS($A$15:A70)+$B$3)),INDEX(bhpc_data[sku],SMALL(IF(ISNUMBER(MATCH(bhpc_data[category],$EC$9,0)*MATCH(bhpc_data[sex],$EC$11,0)*MATCH(bhpc_data[size1],$EC$13,0)),MATCH(ROW(bhpc_data[sku]),ROW(bhpc_data[sku])),""),ROWS($A$15:A70)+$B$3))))),"")</f>
        <v>P05051</v>
      </c>
      <c r="EF65" s="542" t="str" cm="1">
        <f t="array" ref="EF65">IFERROR(IF($EC$9="",IF($EC$11="",IF($EC$13="",INDEX(bhpc_data[description],SMALL(MATCH(ROW(bhpc_data[sku]),ROW(bhpc_data[sku])),ROWS($A$15:A70)+$B$3)),INDEX(bhpc_data[description],SMALL(IF(ISNUMBER(MATCH(bhpc_data[size1],$EC$13,0)),MATCH(ROW(bhpc_data[sku]),ROW(bhpc_data[sku])),""),ROWS($A$15:A70)+$B$3))),IF($EC$13="",INDEX(bhpc_data[description],SMALL(IF(ISNUMBER(MATCH(bhpc_data[sex],$EC$11,0)),MATCH(ROW(bhpc_data[sku]),ROW(bhpc_data[sku])),""),ROWS($A$15:A70)+$B$3)),INDEX(bhpc_data[description],SMALL(IF(ISNUMBER(MATCH(bhpc_data[sex],$EC$11,0)*MATCH(bhpc_data[size1],$EC$13,0)),MATCH(ROW(bhpc_data[sku]),ROW(bhpc_data[sku])),""),ROWS($A$15:A70)+$B$3)))),IF($EC$11="",IF($EC$13="",INDEX(bhpc_data[description],SMALL(IF(ISNUMBER(MATCH(bhpc_data[category],$EC$9,0)),MATCH(ROW(bhpc_data[sku]),ROW(bhpc_data[sku])),""),ROWS($A$15:A70)+$B$3)),INDEX(bhpc_data[description],SMALL(IF(ISNUMBER(MATCH(bhpc_data[category],$EC$9,0)*MATCH(bhpc_data[size1],$EC$13,0)),MATCH(ROW(bhpc_data[sku]),ROW(bhpc_data[sku])),""),ROWS($A$15:A70)+$B$3))),IF($EC$13="",INDEX(bhpc_data[description],SMALL(IF(ISNUMBER(MATCH(bhpc_data[category],$EC$9,0)*MATCH(bhpc_data[sex],$EC$11,0)),MATCH(ROW(bhpc_data[sku]),ROW(bhpc_data[sku])),""),ROWS($A$15:A70)+$B$3)),INDEX(bhpc_data[description],SMALL(IF(ISNUMBER(MATCH(bhpc_data[category],$EC$9,0)*MATCH(bhpc_data[sex],$EC$11,0)*MATCH(bhpc_data[size1],$EC$13,0)),MATCH(ROW(bhpc_data[sku]),ROW(bhpc_data[sku])),""),ROWS($A$15:A70)+$B$3))))),"")</f>
        <v>BHPC WOMEN 9 EDP 100ML</v>
      </c>
      <c r="EG65" s="543">
        <f>IFERROR(IF('BHPC MANAGER'!$EE65="","",INDEX(inventory[ESISTENZA],MATCH('BHPC MANAGER'!$EE65,inventory[ARTICOLO],0))),0)</f>
        <v>11575</v>
      </c>
      <c r="EH65" s="544">
        <v>-5568</v>
      </c>
      <c r="EI65" s="544">
        <f t="shared" si="3"/>
        <v>6007</v>
      </c>
      <c r="EJ65" s="545">
        <v>-72</v>
      </c>
      <c r="EK65" s="546">
        <f t="shared" si="4"/>
        <v>5935</v>
      </c>
    </row>
    <row r="66" spans="59:141" ht="15" customHeight="1" x14ac:dyDescent="0.35">
      <c r="BG66" s="245"/>
      <c r="BK66" s="366"/>
      <c r="BL66" s="367"/>
      <c r="BM66" s="368"/>
      <c r="BN66" s="367"/>
      <c r="BO66" s="368"/>
      <c r="BZ66" s="497"/>
      <c r="CA66" s="477" t="str">
        <f>IF(BZ66="","",INDEX(bhpc_data[description],MATCH(BZ66,bhpc_data[sku],0)))</f>
        <v/>
      </c>
      <c r="CB66" s="480"/>
      <c r="CC66" s="479"/>
      <c r="CD66" s="498"/>
      <c r="CE66" s="499"/>
      <c r="CF66" s="500"/>
      <c r="CG66" s="483" t="str">
        <f>IFERROR(ROUNDUP(CB66/INDEX(bhpc_data[units_per_carton],MATCH(BZ66,bhpc_data[sku],0)),0),"")</f>
        <v/>
      </c>
      <c r="CH66" s="484" t="str">
        <f>IFERROR(ROUNDUP(CD66/INDEX(bhpc_data[units_per_carton],MATCH(BZ66,bhpc_data[sku],0)),0),"")</f>
        <v/>
      </c>
      <c r="CI66" s="484" t="str">
        <f>IFERROR(ROUNDUP(CF66/INDEX(bhpc_data[units_per_carton],MATCH(BZ66,bhpc_data[sku])),0),"")</f>
        <v/>
      </c>
      <c r="CJ66" s="484" t="str">
        <f>IFERROR(((CB66+CD66+CF66)/INDEX(bhpc_data[units_per_carton],MATCH(BZ66,bhpc_data[sku],0)))*INDEX(bhpc_data[net_weight],MATCH(BZ66,bhpc_data[sku],0)),"")</f>
        <v/>
      </c>
      <c r="CK66" s="484" t="str">
        <f>IFERROR(((CB66+CD66+CF66)/INDEX(bhpc_data[units_per_carton],MATCH(BZ66,bhpc_data[sku],0)))*INDEX(bhpc_data[gross_weight],MATCH(BZ66,bhpc_data[sku],0)),"")</f>
        <v/>
      </c>
      <c r="CL66" s="485" t="str">
        <f>IFERROR((CB66+CD66+CF66)/INDEX(bhpc_data[units_per_carton],MATCH(BZ66,bhpc_data[sku],0))*INDEX(bhpc_data[lenght],MATCH(BZ66,bhpc_data[sku],0))*INDEX(bhpc_data[width],MATCH(BZ66,bhpc_data[sku],0))*INDEX(bhpc_data[height],MATCH(BZ66,bhpc_data[sku],0))/1000000000,"")</f>
        <v/>
      </c>
      <c r="CM66" s="486" t="str">
        <f>IFERROR(INDEX(bhpc_data[category],MATCH(BZ66,bhpc_data[sku],0)),"")</f>
        <v/>
      </c>
      <c r="CN66" s="486" t="str">
        <f>IFERROR(INDEX(bhpc_data[size1],MATCH(BZ66,bhpc_data[sku],0)),"")</f>
        <v/>
      </c>
      <c r="CO66" s="487" t="str">
        <f>IFERROR(INDEX(bhpc_data[hs_code],MATCH(BZ66,bhpc_data[sku],0)),"")</f>
        <v/>
      </c>
      <c r="CP66" s="500"/>
      <c r="CQ66" s="488" t="str">
        <f>IFERROR(IF(BZ66="","",IF($BX$15="SALE",INDEX(inventory[COSTO UNITARIO],MATCH(BZ66,inventory[ARTICOLO],0)),IF($BX$15="SAMPLING",INDEX(inventory[COSTO UNITARIO],MATCH(BZ66,inventory[ARTICOLO],0)),""))),"")</f>
        <v/>
      </c>
      <c r="CR66" s="488" t="str">
        <f t="shared" si="5"/>
        <v/>
      </c>
      <c r="CS66" s="489" t="str">
        <f t="shared" si="6"/>
        <v/>
      </c>
      <c r="CT66" s="573" t="str">
        <f t="shared" si="7"/>
        <v/>
      </c>
      <c r="DA66" s="350" t="str">
        <f>IFERROR(VLOOKUP(BZ66,bhpc_data[],22,FALSE),"")</f>
        <v/>
      </c>
      <c r="EE66" s="547" t="str" cm="1">
        <f t="array" ref="EE66">IFERROR(IF($EC$9="",IF($EC$11="",IF($EC$13="",INDEX(bhpc_data[sku],SMALL(MATCH(ROW(bhpc_data[sku]),ROW(bhpc_data[sku])),ROWS($A$15:A71)+$B$3)),INDEX(bhpc_data[sku],SMALL(IF(ISNUMBER(MATCH(bhpc_data[size1],$EC$13,0)),MATCH(ROW(bhpc_data[sku]),ROW(bhpc_data[sku])),""),ROWS($A$15:A71)+$B$3))),IF($EC$13="",INDEX(bhpc_data[sku],SMALL(IF(ISNUMBER(MATCH(bhpc_data[sex],$EC$11,0)),MATCH(ROW(bhpc_data[sku]),ROW(bhpc_data[sku])),""),ROWS($A$15:A71)+$B$3)),INDEX(bhpc_data[sku],SMALL(IF(ISNUMBER(MATCH(bhpc_data[sex],$EC$11,0)*MATCH(bhpc_data[size1],$EC$13,0)),MATCH(ROW(bhpc_data[sku]),ROW(bhpc_data[sku])),""),ROWS($A$15:A71)+$B$3)))),IF($EC$11="",IF($EC$13="",INDEX(bhpc_data[sku],SMALL(IF(ISNUMBER(MATCH(bhpc_data[category],$EC$9,0)),MATCH(ROW(bhpc_data[sku]),ROW(bhpc_data[sku])),""),ROWS($A$15:A71)+$B$3)),INDEX(bhpc_data[sku],SMALL(IF(ISNUMBER(MATCH(bhpc_data[category],$EC$9,0)*MATCH(bhpc_data[size1],$EC$13,0)),MATCH(ROW(bhpc_data[sku]),ROW(bhpc_data[sku])),""),ROWS($A$15:A71)+$B$3))),IF($EC$13="",INDEX(bhpc_data[sku],SMALL(IF(ISNUMBER(MATCH(bhpc_data[category],$EC$9,0)*MATCH(bhpc_data[sex],$EC$11,0)),MATCH(ROW(bhpc_data[sku]),ROW(bhpc_data[sku])),""),ROWS($A$15:A71)+$B$3)),INDEX(bhpc_data[sku],SMALL(IF(ISNUMBER(MATCH(bhpc_data[category],$EC$9,0)*MATCH(bhpc_data[sex],$EC$11,0)*MATCH(bhpc_data[size1],$EC$13,0)),MATCH(ROW(bhpc_data[sku]),ROW(bhpc_data[sku])),""),ROWS($A$15:A71)+$B$3))))),"")</f>
        <v>P05052</v>
      </c>
      <c r="EF66" s="548" t="str" cm="1">
        <f t="array" ref="EF66">IFERROR(IF($EC$9="",IF($EC$11="",IF($EC$13="",INDEX(bhpc_data[description],SMALL(MATCH(ROW(bhpc_data[sku]),ROW(bhpc_data[sku])),ROWS($A$15:A71)+$B$3)),INDEX(bhpc_data[description],SMALL(IF(ISNUMBER(MATCH(bhpc_data[size1],$EC$13,0)),MATCH(ROW(bhpc_data[sku]),ROW(bhpc_data[sku])),""),ROWS($A$15:A71)+$B$3))),IF($EC$13="",INDEX(bhpc_data[description],SMALL(IF(ISNUMBER(MATCH(bhpc_data[sex],$EC$11,0)),MATCH(ROW(bhpc_data[sku]),ROW(bhpc_data[sku])),""),ROWS($A$15:A71)+$B$3)),INDEX(bhpc_data[description],SMALL(IF(ISNUMBER(MATCH(bhpc_data[sex],$EC$11,0)*MATCH(bhpc_data[size1],$EC$13,0)),MATCH(ROW(bhpc_data[sku]),ROW(bhpc_data[sku])),""),ROWS($A$15:A71)+$B$3)))),IF($EC$11="",IF($EC$13="",INDEX(bhpc_data[description],SMALL(IF(ISNUMBER(MATCH(bhpc_data[category],$EC$9,0)),MATCH(ROW(bhpc_data[sku]),ROW(bhpc_data[sku])),""),ROWS($A$15:A71)+$B$3)),INDEX(bhpc_data[description],SMALL(IF(ISNUMBER(MATCH(bhpc_data[category],$EC$9,0)*MATCH(bhpc_data[size1],$EC$13,0)),MATCH(ROW(bhpc_data[sku]),ROW(bhpc_data[sku])),""),ROWS($A$15:A71)+$B$3))),IF($EC$13="",INDEX(bhpc_data[description],SMALL(IF(ISNUMBER(MATCH(bhpc_data[category],$EC$9,0)*MATCH(bhpc_data[sex],$EC$11,0)),MATCH(ROW(bhpc_data[sku]),ROW(bhpc_data[sku])),""),ROWS($A$15:A71)+$B$3)),INDEX(bhpc_data[description],SMALL(IF(ISNUMBER(MATCH(bhpc_data[category],$EC$9,0)*MATCH(bhpc_data[sex],$EC$11,0)*MATCH(bhpc_data[size1],$EC$13,0)),MATCH(ROW(bhpc_data[sku]),ROW(bhpc_data[sku])),""),ROWS($A$15:A71)+$B$3))))),"")</f>
        <v>BHPC WOMEN 8 EDP 100ML</v>
      </c>
      <c r="EG66" s="549">
        <f>IFERROR(IF('BHPC MANAGER'!$EE66="","",INDEX(inventory[ESISTENZA],MATCH('BHPC MANAGER'!$EE66,inventory[ARTICOLO],0))),0)</f>
        <v>6411</v>
      </c>
      <c r="EH66" s="550">
        <v>-2708</v>
      </c>
      <c r="EI66" s="550">
        <f t="shared" si="3"/>
        <v>3703</v>
      </c>
      <c r="EJ66" s="551">
        <v>-72</v>
      </c>
      <c r="EK66" s="552">
        <f t="shared" si="4"/>
        <v>3631</v>
      </c>
    </row>
    <row r="67" spans="59:141" ht="15" customHeight="1" x14ac:dyDescent="0.35">
      <c r="BG67" s="245"/>
      <c r="BK67" s="366"/>
      <c r="BL67" s="367"/>
      <c r="BM67" s="368"/>
      <c r="BN67" s="367"/>
      <c r="BO67" s="368"/>
      <c r="BZ67" s="497"/>
      <c r="CA67" s="477" t="str">
        <f>IF(BZ67="","",INDEX(bhpc_data[description],MATCH(BZ67,bhpc_data[sku],0)))</f>
        <v/>
      </c>
      <c r="CB67" s="480"/>
      <c r="CC67" s="479"/>
      <c r="CD67" s="498"/>
      <c r="CE67" s="499"/>
      <c r="CF67" s="500"/>
      <c r="CG67" s="483" t="str">
        <f>IFERROR(ROUNDUP(CB67/INDEX(bhpc_data[units_per_carton],MATCH(BZ67,bhpc_data[sku],0)),0),"")</f>
        <v/>
      </c>
      <c r="CH67" s="484" t="str">
        <f>IFERROR(ROUNDUP(CD67/INDEX(bhpc_data[units_per_carton],MATCH(BZ67,bhpc_data[sku],0)),0),"")</f>
        <v/>
      </c>
      <c r="CI67" s="484" t="str">
        <f>IFERROR(ROUNDUP(CF67/INDEX(bhpc_data[units_per_carton],MATCH(BZ67,bhpc_data[sku])),0),"")</f>
        <v/>
      </c>
      <c r="CJ67" s="484" t="str">
        <f>IFERROR(((CB67+CD67+CF67)/INDEX(bhpc_data[units_per_carton],MATCH(BZ67,bhpc_data[sku],0)))*INDEX(bhpc_data[net_weight],MATCH(BZ67,bhpc_data[sku],0)),"")</f>
        <v/>
      </c>
      <c r="CK67" s="484" t="str">
        <f>IFERROR(((CB67+CD67+CF67)/INDEX(bhpc_data[units_per_carton],MATCH(BZ67,bhpc_data[sku],0)))*INDEX(bhpc_data[gross_weight],MATCH(BZ67,bhpc_data[sku],0)),"")</f>
        <v/>
      </c>
      <c r="CL67" s="485" t="str">
        <f>IFERROR((CB67+CD67+CF67)/INDEX(bhpc_data[units_per_carton],MATCH(BZ67,bhpc_data[sku],0))*INDEX(bhpc_data[lenght],MATCH(BZ67,bhpc_data[sku],0))*INDEX(bhpc_data[width],MATCH(BZ67,bhpc_data[sku],0))*INDEX(bhpc_data[height],MATCH(BZ67,bhpc_data[sku],0))/1000000000,"")</f>
        <v/>
      </c>
      <c r="CM67" s="486" t="str">
        <f>IFERROR(INDEX(bhpc_data[category],MATCH(BZ67,bhpc_data[sku],0)),"")</f>
        <v/>
      </c>
      <c r="CN67" s="486" t="str">
        <f>IFERROR(INDEX(bhpc_data[size1],MATCH(BZ67,bhpc_data[sku],0)),"")</f>
        <v/>
      </c>
      <c r="CO67" s="487" t="str">
        <f>IFERROR(INDEX(bhpc_data[hs_code],MATCH(BZ67,bhpc_data[sku],0)),"")</f>
        <v/>
      </c>
      <c r="CP67" s="500"/>
      <c r="CQ67" s="488" t="str">
        <f>IFERROR(IF(BZ67="","",IF($BX$15="SALE",INDEX(inventory[COSTO UNITARIO],MATCH(BZ67,inventory[ARTICOLO],0)),IF($BX$15="SAMPLING",INDEX(inventory[COSTO UNITARIO],MATCH(BZ67,inventory[ARTICOLO],0)),""))),"")</f>
        <v/>
      </c>
      <c r="CR67" s="488" t="str">
        <f t="shared" si="5"/>
        <v/>
      </c>
      <c r="CS67" s="489" t="str">
        <f t="shared" si="6"/>
        <v/>
      </c>
      <c r="CT67" s="573" t="str">
        <f t="shared" si="7"/>
        <v/>
      </c>
      <c r="DA67" s="350" t="str">
        <f>IFERROR(VLOOKUP(BZ67,bhpc_data[],22,FALSE),"")</f>
        <v/>
      </c>
      <c r="EE67" s="541" t="str" cm="1">
        <f t="array" ref="EE67">IFERROR(IF($EC$9="",IF($EC$11="",IF($EC$13="",INDEX(bhpc_data[sku],SMALL(MATCH(ROW(bhpc_data[sku]),ROW(bhpc_data[sku])),ROWS($A$15:A72)+$B$3)),INDEX(bhpc_data[sku],SMALL(IF(ISNUMBER(MATCH(bhpc_data[size1],$EC$13,0)),MATCH(ROW(bhpc_data[sku]),ROW(bhpc_data[sku])),""),ROWS($A$15:A72)+$B$3))),IF($EC$13="",INDEX(bhpc_data[sku],SMALL(IF(ISNUMBER(MATCH(bhpc_data[sex],$EC$11,0)),MATCH(ROW(bhpc_data[sku]),ROW(bhpc_data[sku])),""),ROWS($A$15:A72)+$B$3)),INDEX(bhpc_data[sku],SMALL(IF(ISNUMBER(MATCH(bhpc_data[sex],$EC$11,0)*MATCH(bhpc_data[size1],$EC$13,0)),MATCH(ROW(bhpc_data[sku]),ROW(bhpc_data[sku])),""),ROWS($A$15:A72)+$B$3)))),IF($EC$11="",IF($EC$13="",INDEX(bhpc_data[sku],SMALL(IF(ISNUMBER(MATCH(bhpc_data[category],$EC$9,0)),MATCH(ROW(bhpc_data[sku]),ROW(bhpc_data[sku])),""),ROWS($A$15:A72)+$B$3)),INDEX(bhpc_data[sku],SMALL(IF(ISNUMBER(MATCH(bhpc_data[category],$EC$9,0)*MATCH(bhpc_data[size1],$EC$13,0)),MATCH(ROW(bhpc_data[sku]),ROW(bhpc_data[sku])),""),ROWS($A$15:A72)+$B$3))),IF($EC$13="",INDEX(bhpc_data[sku],SMALL(IF(ISNUMBER(MATCH(bhpc_data[category],$EC$9,0)*MATCH(bhpc_data[sex],$EC$11,0)),MATCH(ROW(bhpc_data[sku]),ROW(bhpc_data[sku])),""),ROWS($A$15:A72)+$B$3)),INDEX(bhpc_data[sku],SMALL(IF(ISNUMBER(MATCH(bhpc_data[category],$EC$9,0)*MATCH(bhpc_data[sex],$EC$11,0)*MATCH(bhpc_data[size1],$EC$13,0)),MATCH(ROW(bhpc_data[sku]),ROW(bhpc_data[sku])),""),ROWS($A$15:A72)+$B$3))))),"")</f>
        <v>P05053</v>
      </c>
      <c r="EF67" s="542" t="str" cm="1">
        <f t="array" ref="EF67">IFERROR(IF($EC$9="",IF($EC$11="",IF($EC$13="",INDEX(bhpc_data[description],SMALL(MATCH(ROW(bhpc_data[sku]),ROW(bhpc_data[sku])),ROWS($A$15:A72)+$B$3)),INDEX(bhpc_data[description],SMALL(IF(ISNUMBER(MATCH(bhpc_data[size1],$EC$13,0)),MATCH(ROW(bhpc_data[sku]),ROW(bhpc_data[sku])),""),ROWS($A$15:A72)+$B$3))),IF($EC$13="",INDEX(bhpc_data[description],SMALL(IF(ISNUMBER(MATCH(bhpc_data[sex],$EC$11,0)),MATCH(ROW(bhpc_data[sku]),ROW(bhpc_data[sku])),""),ROWS($A$15:A72)+$B$3)),INDEX(bhpc_data[description],SMALL(IF(ISNUMBER(MATCH(bhpc_data[sex],$EC$11,0)*MATCH(bhpc_data[size1],$EC$13,0)),MATCH(ROW(bhpc_data[sku]),ROW(bhpc_data[sku])),""),ROWS($A$15:A72)+$B$3)))),IF($EC$11="",IF($EC$13="",INDEX(bhpc_data[description],SMALL(IF(ISNUMBER(MATCH(bhpc_data[category],$EC$9,0)),MATCH(ROW(bhpc_data[sku]),ROW(bhpc_data[sku])),""),ROWS($A$15:A72)+$B$3)),INDEX(bhpc_data[description],SMALL(IF(ISNUMBER(MATCH(bhpc_data[category],$EC$9,0)*MATCH(bhpc_data[size1],$EC$13,0)),MATCH(ROW(bhpc_data[sku]),ROW(bhpc_data[sku])),""),ROWS($A$15:A72)+$B$3))),IF($EC$13="",INDEX(bhpc_data[description],SMALL(IF(ISNUMBER(MATCH(bhpc_data[category],$EC$9,0)*MATCH(bhpc_data[sex],$EC$11,0)),MATCH(ROW(bhpc_data[sku]),ROW(bhpc_data[sku])),""),ROWS($A$15:A72)+$B$3)),INDEX(bhpc_data[description],SMALL(IF(ISNUMBER(MATCH(bhpc_data[category],$EC$9,0)*MATCH(bhpc_data[sex],$EC$11,0)*MATCH(bhpc_data[size1],$EC$13,0)),MATCH(ROW(bhpc_data[sku]),ROW(bhpc_data[sku])),""),ROWS($A$15:A72)+$B$3))))),"")</f>
        <v>BHPC WOMEN 2 EDP 100ML</v>
      </c>
      <c r="EG67" s="543">
        <f>IFERROR(IF('BHPC MANAGER'!$EE67="","",INDEX(inventory[ESISTENZA],MATCH('BHPC MANAGER'!$EE67,inventory[ARTICOLO],0))),0)</f>
        <v>6479</v>
      </c>
      <c r="EH67" s="544">
        <v>-2597</v>
      </c>
      <c r="EI67" s="544">
        <f t="shared" si="3"/>
        <v>3882</v>
      </c>
      <c r="EJ67" s="545">
        <v>-72</v>
      </c>
      <c r="EK67" s="546">
        <f t="shared" si="4"/>
        <v>3810</v>
      </c>
    </row>
    <row r="68" spans="59:141" ht="15" customHeight="1" x14ac:dyDescent="0.35">
      <c r="BG68" s="245"/>
      <c r="BK68" s="366"/>
      <c r="BL68" s="367"/>
      <c r="BM68" s="368"/>
      <c r="BN68" s="367"/>
      <c r="BO68" s="368"/>
      <c r="BZ68" s="497"/>
      <c r="CA68" s="477" t="str">
        <f>IF(BZ68="","",INDEX(bhpc_data[description],MATCH(BZ68,bhpc_data[sku],0)))</f>
        <v/>
      </c>
      <c r="CB68" s="480"/>
      <c r="CC68" s="479"/>
      <c r="CD68" s="498"/>
      <c r="CE68" s="499"/>
      <c r="CF68" s="500"/>
      <c r="CG68" s="483" t="str">
        <f>IFERROR(ROUNDUP(CB68/INDEX(bhpc_data[units_per_carton],MATCH(BZ68,bhpc_data[sku],0)),0),"")</f>
        <v/>
      </c>
      <c r="CH68" s="484" t="str">
        <f>IFERROR(ROUNDUP(CD68/INDEX(bhpc_data[units_per_carton],MATCH(BZ68,bhpc_data[sku],0)),0),"")</f>
        <v/>
      </c>
      <c r="CI68" s="484" t="str">
        <f>IFERROR(ROUNDUP(CF68/INDEX(bhpc_data[units_per_carton],MATCH(BZ68,bhpc_data[sku])),0),"")</f>
        <v/>
      </c>
      <c r="CJ68" s="484" t="str">
        <f>IFERROR(((CB68+CD68+CF68)/INDEX(bhpc_data[units_per_carton],MATCH(BZ68,bhpc_data[sku],0)))*INDEX(bhpc_data[net_weight],MATCH(BZ68,bhpc_data[sku],0)),"")</f>
        <v/>
      </c>
      <c r="CK68" s="484" t="str">
        <f>IFERROR(((CB68+CD68+CF68)/INDEX(bhpc_data[units_per_carton],MATCH(BZ68,bhpc_data[sku],0)))*INDEX(bhpc_data[gross_weight],MATCH(BZ68,bhpc_data[sku],0)),"")</f>
        <v/>
      </c>
      <c r="CL68" s="485" t="str">
        <f>IFERROR((CB68+CD68+CF68)/INDEX(bhpc_data[units_per_carton],MATCH(BZ68,bhpc_data[sku],0))*INDEX(bhpc_data[lenght],MATCH(BZ68,bhpc_data[sku],0))*INDEX(bhpc_data[width],MATCH(BZ68,bhpc_data[sku],0))*INDEX(bhpc_data[height],MATCH(BZ68,bhpc_data[sku],0))/1000000000,"")</f>
        <v/>
      </c>
      <c r="CM68" s="486" t="str">
        <f>IFERROR(INDEX(bhpc_data[category],MATCH(BZ68,bhpc_data[sku],0)),"")</f>
        <v/>
      </c>
      <c r="CN68" s="486" t="str">
        <f>IFERROR(INDEX(bhpc_data[size1],MATCH(BZ68,bhpc_data[sku],0)),"")</f>
        <v/>
      </c>
      <c r="CO68" s="487" t="str">
        <f>IFERROR(INDEX(bhpc_data[hs_code],MATCH(BZ68,bhpc_data[sku],0)),"")</f>
        <v/>
      </c>
      <c r="CP68" s="500"/>
      <c r="CQ68" s="488" t="str">
        <f>IFERROR(IF(BZ68="","",IF($BX$15="SALE",INDEX(inventory[COSTO UNITARIO],MATCH(BZ68,inventory[ARTICOLO],0)),IF($BX$15="SAMPLING",INDEX(inventory[COSTO UNITARIO],MATCH(BZ68,inventory[ARTICOLO],0)),""))),"")</f>
        <v/>
      </c>
      <c r="CR68" s="488" t="str">
        <f t="shared" si="5"/>
        <v/>
      </c>
      <c r="CS68" s="489" t="str">
        <f t="shared" si="6"/>
        <v/>
      </c>
      <c r="CT68" s="573" t="str">
        <f t="shared" si="7"/>
        <v/>
      </c>
      <c r="DA68" s="350" t="str">
        <f>IFERROR(VLOOKUP(BZ68,bhpc_data[],22,FALSE),"")</f>
        <v/>
      </c>
      <c r="EE68" s="547" t="str" cm="1">
        <f t="array" ref="EE68">IFERROR(IF($EC$9="",IF($EC$11="",IF($EC$13="",INDEX(bhpc_data[sku],SMALL(MATCH(ROW(bhpc_data[sku]),ROW(bhpc_data[sku])),ROWS($A$15:A73)+$B$3)),INDEX(bhpc_data[sku],SMALL(IF(ISNUMBER(MATCH(bhpc_data[size1],$EC$13,0)),MATCH(ROW(bhpc_data[sku]),ROW(bhpc_data[sku])),""),ROWS($A$15:A73)+$B$3))),IF($EC$13="",INDEX(bhpc_data[sku],SMALL(IF(ISNUMBER(MATCH(bhpc_data[sex],$EC$11,0)),MATCH(ROW(bhpc_data[sku]),ROW(bhpc_data[sku])),""),ROWS($A$15:A73)+$B$3)),INDEX(bhpc_data[sku],SMALL(IF(ISNUMBER(MATCH(bhpc_data[sex],$EC$11,0)*MATCH(bhpc_data[size1],$EC$13,0)),MATCH(ROW(bhpc_data[sku]),ROW(bhpc_data[sku])),""),ROWS($A$15:A73)+$B$3)))),IF($EC$11="",IF($EC$13="",INDEX(bhpc_data[sku],SMALL(IF(ISNUMBER(MATCH(bhpc_data[category],$EC$9,0)),MATCH(ROW(bhpc_data[sku]),ROW(bhpc_data[sku])),""),ROWS($A$15:A73)+$B$3)),INDEX(bhpc_data[sku],SMALL(IF(ISNUMBER(MATCH(bhpc_data[category],$EC$9,0)*MATCH(bhpc_data[size1],$EC$13,0)),MATCH(ROW(bhpc_data[sku]),ROW(bhpc_data[sku])),""),ROWS($A$15:A73)+$B$3))),IF($EC$13="",INDEX(bhpc_data[sku],SMALL(IF(ISNUMBER(MATCH(bhpc_data[category],$EC$9,0)*MATCH(bhpc_data[sex],$EC$11,0)),MATCH(ROW(bhpc_data[sku]),ROW(bhpc_data[sku])),""),ROWS($A$15:A73)+$B$3)),INDEX(bhpc_data[sku],SMALL(IF(ISNUMBER(MATCH(bhpc_data[category],$EC$9,0)*MATCH(bhpc_data[sex],$EC$11,0)*MATCH(bhpc_data[size1],$EC$13,0)),MATCH(ROW(bhpc_data[sku]),ROW(bhpc_data[sku])),""),ROWS($A$15:A73)+$B$3))))),"")</f>
        <v>P06000</v>
      </c>
      <c r="EF68" s="548" t="str" cm="1">
        <f t="array" ref="EF68">IFERROR(IF($EC$9="",IF($EC$11="",IF($EC$13="",INDEX(bhpc_data[description],SMALL(MATCH(ROW(bhpc_data[sku]),ROW(bhpc_data[sku])),ROWS($A$15:A73)+$B$3)),INDEX(bhpc_data[description],SMALL(IF(ISNUMBER(MATCH(bhpc_data[size1],$EC$13,0)),MATCH(ROW(bhpc_data[sku]),ROW(bhpc_data[sku])),""),ROWS($A$15:A73)+$B$3))),IF($EC$13="",INDEX(bhpc_data[description],SMALL(IF(ISNUMBER(MATCH(bhpc_data[sex],$EC$11,0)),MATCH(ROW(bhpc_data[sku]),ROW(bhpc_data[sku])),""),ROWS($A$15:A73)+$B$3)),INDEX(bhpc_data[description],SMALL(IF(ISNUMBER(MATCH(bhpc_data[sex],$EC$11,0)*MATCH(bhpc_data[size1],$EC$13,0)),MATCH(ROW(bhpc_data[sku]),ROW(bhpc_data[sku])),""),ROWS($A$15:A73)+$B$3)))),IF($EC$11="",IF($EC$13="",INDEX(bhpc_data[description],SMALL(IF(ISNUMBER(MATCH(bhpc_data[category],$EC$9,0)),MATCH(ROW(bhpc_data[sku]),ROW(bhpc_data[sku])),""),ROWS($A$15:A73)+$B$3)),INDEX(bhpc_data[description],SMALL(IF(ISNUMBER(MATCH(bhpc_data[category],$EC$9,0)*MATCH(bhpc_data[size1],$EC$13,0)),MATCH(ROW(bhpc_data[sku]),ROW(bhpc_data[sku])),""),ROWS($A$15:A73)+$B$3))),IF($EC$13="",INDEX(bhpc_data[description],SMALL(IF(ISNUMBER(MATCH(bhpc_data[category],$EC$9,0)*MATCH(bhpc_data[sex],$EC$11,0)),MATCH(ROW(bhpc_data[sku]),ROW(bhpc_data[sku])),""),ROWS($A$15:A73)+$B$3)),INDEX(bhpc_data[description],SMALL(IF(ISNUMBER(MATCH(bhpc_data[category],$EC$9,0)*MATCH(bhpc_data[sex],$EC$11,0)*MATCH(bhpc_data[size1],$EC$13,0)),MATCH(ROW(bhpc_data[sku]),ROW(bhpc_data[sku])),""),ROWS($A$15:A73)+$B$3))))),"")</f>
        <v>BHPC PRESTIGE TROPHY 100ML EDP MEN</v>
      </c>
      <c r="EG68" s="549">
        <f>IFERROR(IF('BHPC MANAGER'!$EE68="","",INDEX(inventory[ESISTENZA],MATCH('BHPC MANAGER'!$EE68,inventory[ARTICOLO],0))),0)</f>
        <v>6926</v>
      </c>
      <c r="EH68" s="550">
        <v>1788</v>
      </c>
      <c r="EI68" s="550">
        <f t="shared" si="3"/>
        <v>8714</v>
      </c>
      <c r="EJ68" s="551">
        <v>0</v>
      </c>
      <c r="EK68" s="552">
        <f t="shared" si="4"/>
        <v>8714</v>
      </c>
    </row>
    <row r="69" spans="59:141" ht="15" customHeight="1" x14ac:dyDescent="0.35">
      <c r="BG69" s="245"/>
      <c r="BK69" s="366"/>
      <c r="BL69" s="367"/>
      <c r="BM69" s="368"/>
      <c r="BN69" s="367"/>
      <c r="BO69" s="368"/>
      <c r="BZ69" s="497"/>
      <c r="CA69" s="477" t="str">
        <f>IF(BZ69="","",INDEX(bhpc_data[description],MATCH(BZ69,bhpc_data[sku],0)))</f>
        <v/>
      </c>
      <c r="CB69" s="480"/>
      <c r="CC69" s="479"/>
      <c r="CD69" s="498"/>
      <c r="CE69" s="499"/>
      <c r="CF69" s="500"/>
      <c r="CG69" s="483" t="str">
        <f>IFERROR(ROUNDUP(CB69/INDEX(bhpc_data[units_per_carton],MATCH(BZ69,bhpc_data[sku],0)),0),"")</f>
        <v/>
      </c>
      <c r="CH69" s="484" t="str">
        <f>IFERROR(ROUNDUP(CD69/INDEX(bhpc_data[units_per_carton],MATCH(BZ69,bhpc_data[sku],0)),0),"")</f>
        <v/>
      </c>
      <c r="CI69" s="484" t="str">
        <f>IFERROR(ROUNDUP(CF69/INDEX(bhpc_data[units_per_carton],MATCH(BZ69,bhpc_data[sku])),0),"")</f>
        <v/>
      </c>
      <c r="CJ69" s="484" t="str">
        <f>IFERROR(((CB69+CD69+CF69)/INDEX(bhpc_data[units_per_carton],MATCH(BZ69,bhpc_data[sku],0)))*INDEX(bhpc_data[net_weight],MATCH(BZ69,bhpc_data[sku],0)),"")</f>
        <v/>
      </c>
      <c r="CK69" s="484" t="str">
        <f>IFERROR(((CB69+CD69+CF69)/INDEX(bhpc_data[units_per_carton],MATCH(BZ69,bhpc_data[sku],0)))*INDEX(bhpc_data[gross_weight],MATCH(BZ69,bhpc_data[sku],0)),"")</f>
        <v/>
      </c>
      <c r="CL69" s="485" t="str">
        <f>IFERROR((CB69+CD69+CF69)/INDEX(bhpc_data[units_per_carton],MATCH(BZ69,bhpc_data[sku],0))*INDEX(bhpc_data[lenght],MATCH(BZ69,bhpc_data[sku],0))*INDEX(bhpc_data[width],MATCH(BZ69,bhpc_data[sku],0))*INDEX(bhpc_data[height],MATCH(BZ69,bhpc_data[sku],0))/1000000000,"")</f>
        <v/>
      </c>
      <c r="CM69" s="486" t="str">
        <f>IFERROR(INDEX(bhpc_data[category],MATCH(BZ69,bhpc_data[sku],0)),"")</f>
        <v/>
      </c>
      <c r="CN69" s="486" t="str">
        <f>IFERROR(INDEX(bhpc_data[size1],MATCH(BZ69,bhpc_data[sku],0)),"")</f>
        <v/>
      </c>
      <c r="CO69" s="487" t="str">
        <f>IFERROR(INDEX(bhpc_data[hs_code],MATCH(BZ69,bhpc_data[sku],0)),"")</f>
        <v/>
      </c>
      <c r="CP69" s="500"/>
      <c r="CQ69" s="488" t="str">
        <f>IFERROR(IF(BZ69="","",IF($BX$15="SALE",INDEX(inventory[COSTO UNITARIO],MATCH(BZ69,inventory[ARTICOLO],0)),IF($BX$15="SAMPLING",INDEX(inventory[COSTO UNITARIO],MATCH(BZ69,inventory[ARTICOLO],0)),""))),"")</f>
        <v/>
      </c>
      <c r="CR69" s="488" t="str">
        <f t="shared" si="5"/>
        <v/>
      </c>
      <c r="CS69" s="489" t="str">
        <f t="shared" si="6"/>
        <v/>
      </c>
      <c r="CT69" s="573" t="str">
        <f t="shared" si="7"/>
        <v/>
      </c>
      <c r="DA69" s="350" t="str">
        <f>IFERROR(VLOOKUP(BZ69,bhpc_data[],22,FALSE),"")</f>
        <v/>
      </c>
      <c r="EE69" s="541" t="str" cm="1">
        <f t="array" ref="EE69">IFERROR(IF($EC$9="",IF($EC$11="",IF($EC$13="",INDEX(bhpc_data[sku],SMALL(MATCH(ROW(bhpc_data[sku]),ROW(bhpc_data[sku])),ROWS($A$15:A74)+$B$3)),INDEX(bhpc_data[sku],SMALL(IF(ISNUMBER(MATCH(bhpc_data[size1],$EC$13,0)),MATCH(ROW(bhpc_data[sku]),ROW(bhpc_data[sku])),""),ROWS($A$15:A74)+$B$3))),IF($EC$13="",INDEX(bhpc_data[sku],SMALL(IF(ISNUMBER(MATCH(bhpc_data[sex],$EC$11,0)),MATCH(ROW(bhpc_data[sku]),ROW(bhpc_data[sku])),""),ROWS($A$15:A74)+$B$3)),INDEX(bhpc_data[sku],SMALL(IF(ISNUMBER(MATCH(bhpc_data[sex],$EC$11,0)*MATCH(bhpc_data[size1],$EC$13,0)),MATCH(ROW(bhpc_data[sku]),ROW(bhpc_data[sku])),""),ROWS($A$15:A74)+$B$3)))),IF($EC$11="",IF($EC$13="",INDEX(bhpc_data[sku],SMALL(IF(ISNUMBER(MATCH(bhpc_data[category],$EC$9,0)),MATCH(ROW(bhpc_data[sku]),ROW(bhpc_data[sku])),""),ROWS($A$15:A74)+$B$3)),INDEX(bhpc_data[sku],SMALL(IF(ISNUMBER(MATCH(bhpc_data[category],$EC$9,0)*MATCH(bhpc_data[size1],$EC$13,0)),MATCH(ROW(bhpc_data[sku]),ROW(bhpc_data[sku])),""),ROWS($A$15:A74)+$B$3))),IF($EC$13="",INDEX(bhpc_data[sku],SMALL(IF(ISNUMBER(MATCH(bhpc_data[category],$EC$9,0)*MATCH(bhpc_data[sex],$EC$11,0)),MATCH(ROW(bhpc_data[sku]),ROW(bhpc_data[sku])),""),ROWS($A$15:A74)+$B$3)),INDEX(bhpc_data[sku],SMALL(IF(ISNUMBER(MATCH(bhpc_data[category],$EC$9,0)*MATCH(bhpc_data[sex],$EC$11,0)*MATCH(bhpc_data[size1],$EC$13,0)),MATCH(ROW(bhpc_data[sku]),ROW(bhpc_data[sku])),""),ROWS($A$15:A74)+$B$3))))),"")</f>
        <v>P06001</v>
      </c>
      <c r="EF69" s="542" t="str" cm="1">
        <f t="array" ref="EF69">IFERROR(IF($EC$9="",IF($EC$11="",IF($EC$13="",INDEX(bhpc_data[description],SMALL(MATCH(ROW(bhpc_data[sku]),ROW(bhpc_data[sku])),ROWS($A$15:A74)+$B$3)),INDEX(bhpc_data[description],SMALL(IF(ISNUMBER(MATCH(bhpc_data[size1],$EC$13,0)),MATCH(ROW(bhpc_data[sku]),ROW(bhpc_data[sku])),""),ROWS($A$15:A74)+$B$3))),IF($EC$13="",INDEX(bhpc_data[description],SMALL(IF(ISNUMBER(MATCH(bhpc_data[sex],$EC$11,0)),MATCH(ROW(bhpc_data[sku]),ROW(bhpc_data[sku])),""),ROWS($A$15:A74)+$B$3)),INDEX(bhpc_data[description],SMALL(IF(ISNUMBER(MATCH(bhpc_data[sex],$EC$11,0)*MATCH(bhpc_data[size1],$EC$13,0)),MATCH(ROW(bhpc_data[sku]),ROW(bhpc_data[sku])),""),ROWS($A$15:A74)+$B$3)))),IF($EC$11="",IF($EC$13="",INDEX(bhpc_data[description],SMALL(IF(ISNUMBER(MATCH(bhpc_data[category],$EC$9,0)),MATCH(ROW(bhpc_data[sku]),ROW(bhpc_data[sku])),""),ROWS($A$15:A74)+$B$3)),INDEX(bhpc_data[description],SMALL(IF(ISNUMBER(MATCH(bhpc_data[category],$EC$9,0)*MATCH(bhpc_data[size1],$EC$13,0)),MATCH(ROW(bhpc_data[sku]),ROW(bhpc_data[sku])),""),ROWS($A$15:A74)+$B$3))),IF($EC$13="",INDEX(bhpc_data[description],SMALL(IF(ISNUMBER(MATCH(bhpc_data[category],$EC$9,0)*MATCH(bhpc_data[sex],$EC$11,0)),MATCH(ROW(bhpc_data[sku]),ROW(bhpc_data[sku])),""),ROWS($A$15:A74)+$B$3)),INDEX(bhpc_data[description],SMALL(IF(ISNUMBER(MATCH(bhpc_data[category],$EC$9,0)*MATCH(bhpc_data[sex],$EC$11,0)*MATCH(bhpc_data[size1],$EC$13,0)),MATCH(ROW(bhpc_data[sku]),ROW(bhpc_data[sku])),""),ROWS($A$15:A74)+$B$3))))),"")</f>
        <v>BHPC PRESTIGE HERITAGE OUD 100ML EDP MEN</v>
      </c>
      <c r="EG69" s="543">
        <f>IFERROR(IF('BHPC MANAGER'!$EE69="","",INDEX(inventory[ESISTENZA],MATCH('BHPC MANAGER'!$EE69,inventory[ARTICOLO],0))),0)</f>
        <v>2925</v>
      </c>
      <c r="EH69" s="544">
        <v>-1975</v>
      </c>
      <c r="EI69" s="544">
        <f t="shared" si="3"/>
        <v>950</v>
      </c>
      <c r="EJ69" s="545">
        <v>0</v>
      </c>
      <c r="EK69" s="546">
        <f t="shared" si="4"/>
        <v>950</v>
      </c>
    </row>
    <row r="70" spans="59:141" ht="15" customHeight="1" x14ac:dyDescent="0.35">
      <c r="BG70" s="245"/>
      <c r="BK70" s="366"/>
      <c r="BL70" s="367"/>
      <c r="BM70" s="368"/>
      <c r="BN70" s="367"/>
      <c r="BO70" s="368"/>
      <c r="BZ70" s="497"/>
      <c r="CA70" s="477" t="str">
        <f>IF(BZ70="","",INDEX(bhpc_data[description],MATCH(BZ70,bhpc_data[sku],0)))</f>
        <v/>
      </c>
      <c r="CB70" s="480"/>
      <c r="CC70" s="479"/>
      <c r="CD70" s="498"/>
      <c r="CE70" s="499"/>
      <c r="CF70" s="500"/>
      <c r="CG70" s="483" t="str">
        <f>IFERROR(ROUNDUP(CB70/INDEX(bhpc_data[units_per_carton],MATCH(BZ70,bhpc_data[sku],0)),0),"")</f>
        <v/>
      </c>
      <c r="CH70" s="484" t="str">
        <f>IFERROR(ROUNDUP(CD70/INDEX(bhpc_data[units_per_carton],MATCH(BZ70,bhpc_data[sku],0)),0),"")</f>
        <v/>
      </c>
      <c r="CI70" s="484" t="str">
        <f>IFERROR(ROUNDUP(CF70/INDEX(bhpc_data[units_per_carton],MATCH(BZ70,bhpc_data[sku])),0),"")</f>
        <v/>
      </c>
      <c r="CJ70" s="484" t="str">
        <f>IFERROR(((CB70+CD70+CF70)/INDEX(bhpc_data[units_per_carton],MATCH(BZ70,bhpc_data[sku],0)))*INDEX(bhpc_data[net_weight],MATCH(BZ70,bhpc_data[sku],0)),"")</f>
        <v/>
      </c>
      <c r="CK70" s="484" t="str">
        <f>IFERROR(((CB70+CD70+CF70)/INDEX(bhpc_data[units_per_carton],MATCH(BZ70,bhpc_data[sku],0)))*INDEX(bhpc_data[gross_weight],MATCH(BZ70,bhpc_data[sku],0)),"")</f>
        <v/>
      </c>
      <c r="CL70" s="485" t="str">
        <f>IFERROR((CB70+CD70+CF70)/INDEX(bhpc_data[units_per_carton],MATCH(BZ70,bhpc_data[sku],0))*INDEX(bhpc_data[lenght],MATCH(BZ70,bhpc_data[sku],0))*INDEX(bhpc_data[width],MATCH(BZ70,bhpc_data[sku],0))*INDEX(bhpc_data[height],MATCH(BZ70,bhpc_data[sku],0))/1000000000,"")</f>
        <v/>
      </c>
      <c r="CM70" s="486" t="str">
        <f>IFERROR(INDEX(bhpc_data[category],MATCH(BZ70,bhpc_data[sku],0)),"")</f>
        <v/>
      </c>
      <c r="CN70" s="486" t="str">
        <f>IFERROR(INDEX(bhpc_data[size1],MATCH(BZ70,bhpc_data[sku],0)),"")</f>
        <v/>
      </c>
      <c r="CO70" s="487" t="str">
        <f>IFERROR(INDEX(bhpc_data[hs_code],MATCH(BZ70,bhpc_data[sku],0)),"")</f>
        <v/>
      </c>
      <c r="CP70" s="500"/>
      <c r="CQ70" s="488" t="str">
        <f>IFERROR(IF(BZ70="","",IF($BX$15="SALE",INDEX(inventory[COSTO UNITARIO],MATCH(BZ70,inventory[ARTICOLO],0)),IF($BX$15="SAMPLING",INDEX(inventory[COSTO UNITARIO],MATCH(BZ70,inventory[ARTICOLO],0)),""))),"")</f>
        <v/>
      </c>
      <c r="CR70" s="488" t="str">
        <f t="shared" si="5"/>
        <v/>
      </c>
      <c r="CS70" s="489" t="str">
        <f t="shared" si="6"/>
        <v/>
      </c>
      <c r="CT70" s="573" t="str">
        <f t="shared" si="7"/>
        <v/>
      </c>
      <c r="DA70" s="350" t="str">
        <f>IFERROR(VLOOKUP(BZ70,bhpc_data[],22,FALSE),"")</f>
        <v/>
      </c>
      <c r="EE70" s="547" t="str" cm="1">
        <f t="array" ref="EE70">IFERROR(IF($EC$9="",IF($EC$11="",IF($EC$13="",INDEX(bhpc_data[sku],SMALL(MATCH(ROW(bhpc_data[sku]),ROW(bhpc_data[sku])),ROWS($A$15:A75)+$B$3)),INDEX(bhpc_data[sku],SMALL(IF(ISNUMBER(MATCH(bhpc_data[size1],$EC$13,0)),MATCH(ROW(bhpc_data[sku]),ROW(bhpc_data[sku])),""),ROWS($A$15:A75)+$B$3))),IF($EC$13="",INDEX(bhpc_data[sku],SMALL(IF(ISNUMBER(MATCH(bhpc_data[sex],$EC$11,0)),MATCH(ROW(bhpc_data[sku]),ROW(bhpc_data[sku])),""),ROWS($A$15:A75)+$B$3)),INDEX(bhpc_data[sku],SMALL(IF(ISNUMBER(MATCH(bhpc_data[sex],$EC$11,0)*MATCH(bhpc_data[size1],$EC$13,0)),MATCH(ROW(bhpc_data[sku]),ROW(bhpc_data[sku])),""),ROWS($A$15:A75)+$B$3)))),IF($EC$11="",IF($EC$13="",INDEX(bhpc_data[sku],SMALL(IF(ISNUMBER(MATCH(bhpc_data[category],$EC$9,0)),MATCH(ROW(bhpc_data[sku]),ROW(bhpc_data[sku])),""),ROWS($A$15:A75)+$B$3)),INDEX(bhpc_data[sku],SMALL(IF(ISNUMBER(MATCH(bhpc_data[category],$EC$9,0)*MATCH(bhpc_data[size1],$EC$13,0)),MATCH(ROW(bhpc_data[sku]),ROW(bhpc_data[sku])),""),ROWS($A$15:A75)+$B$3))),IF($EC$13="",INDEX(bhpc_data[sku],SMALL(IF(ISNUMBER(MATCH(bhpc_data[category],$EC$9,0)*MATCH(bhpc_data[sex],$EC$11,0)),MATCH(ROW(bhpc_data[sku]),ROW(bhpc_data[sku])),""),ROWS($A$15:A75)+$B$3)),INDEX(bhpc_data[sku],SMALL(IF(ISNUMBER(MATCH(bhpc_data[category],$EC$9,0)*MATCH(bhpc_data[sex],$EC$11,0)*MATCH(bhpc_data[size1],$EC$13,0)),MATCH(ROW(bhpc_data[sku]),ROW(bhpc_data[sku])),""),ROWS($A$15:A75)+$B$3))))),"")</f>
        <v>P06002</v>
      </c>
      <c r="EF70" s="548" t="str" cm="1">
        <f t="array" ref="EF70">IFERROR(IF($EC$9="",IF($EC$11="",IF($EC$13="",INDEX(bhpc_data[description],SMALL(MATCH(ROW(bhpc_data[sku]),ROW(bhpc_data[sku])),ROWS($A$15:A75)+$B$3)),INDEX(bhpc_data[description],SMALL(IF(ISNUMBER(MATCH(bhpc_data[size1],$EC$13,0)),MATCH(ROW(bhpc_data[sku]),ROW(bhpc_data[sku])),""),ROWS($A$15:A75)+$B$3))),IF($EC$13="",INDEX(bhpc_data[description],SMALL(IF(ISNUMBER(MATCH(bhpc_data[sex],$EC$11,0)),MATCH(ROW(bhpc_data[sku]),ROW(bhpc_data[sku])),""),ROWS($A$15:A75)+$B$3)),INDEX(bhpc_data[description],SMALL(IF(ISNUMBER(MATCH(bhpc_data[sex],$EC$11,0)*MATCH(bhpc_data[size1],$EC$13,0)),MATCH(ROW(bhpc_data[sku]),ROW(bhpc_data[sku])),""),ROWS($A$15:A75)+$B$3)))),IF($EC$11="",IF($EC$13="",INDEX(bhpc_data[description],SMALL(IF(ISNUMBER(MATCH(bhpc_data[category],$EC$9,0)),MATCH(ROW(bhpc_data[sku]),ROW(bhpc_data[sku])),""),ROWS($A$15:A75)+$B$3)),INDEX(bhpc_data[description],SMALL(IF(ISNUMBER(MATCH(bhpc_data[category],$EC$9,0)*MATCH(bhpc_data[size1],$EC$13,0)),MATCH(ROW(bhpc_data[sku]),ROW(bhpc_data[sku])),""),ROWS($A$15:A75)+$B$3))),IF($EC$13="",INDEX(bhpc_data[description],SMALL(IF(ISNUMBER(MATCH(bhpc_data[category],$EC$9,0)*MATCH(bhpc_data[sex],$EC$11,0)),MATCH(ROW(bhpc_data[sku]),ROW(bhpc_data[sku])),""),ROWS($A$15:A75)+$B$3)),INDEX(bhpc_data[description],SMALL(IF(ISNUMBER(MATCH(bhpc_data[category],$EC$9,0)*MATCH(bhpc_data[sex],$EC$11,0)*MATCH(bhpc_data[size1],$EC$13,0)),MATCH(ROW(bhpc_data[sku]),ROW(bhpc_data[sku])),""),ROWS($A$15:A75)+$B$3))))),"")</f>
        <v>BHPC PRESTIGE TOUR INTENSE 100ML EDP MEN</v>
      </c>
      <c r="EG70" s="549">
        <f>IFERROR(IF('BHPC MANAGER'!$EE70="","",INDEX(inventory[ESISTENZA],MATCH('BHPC MANAGER'!$EE70,inventory[ARTICOLO],0))),0)</f>
        <v>3092</v>
      </c>
      <c r="EH70" s="550">
        <v>572</v>
      </c>
      <c r="EI70" s="550">
        <f t="shared" si="3"/>
        <v>3664</v>
      </c>
      <c r="EJ70" s="551">
        <v>0</v>
      </c>
      <c r="EK70" s="552">
        <f t="shared" si="4"/>
        <v>3664</v>
      </c>
    </row>
    <row r="71" spans="59:141" ht="15" customHeight="1" x14ac:dyDescent="0.35">
      <c r="BG71" s="245"/>
      <c r="BK71" s="366"/>
      <c r="BL71" s="367"/>
      <c r="BM71" s="368"/>
      <c r="BN71" s="367"/>
      <c r="BO71" s="368"/>
      <c r="BZ71" s="497"/>
      <c r="CA71" s="477" t="str">
        <f>IF(BZ71="","",INDEX(bhpc_data[description],MATCH(BZ71,bhpc_data[sku],0)))</f>
        <v/>
      </c>
      <c r="CB71" s="480"/>
      <c r="CC71" s="479"/>
      <c r="CD71" s="498"/>
      <c r="CE71" s="499"/>
      <c r="CF71" s="500"/>
      <c r="CG71" s="483" t="str">
        <f>IFERROR(ROUNDUP(CB71/INDEX(bhpc_data[units_per_carton],MATCH(BZ71,bhpc_data[sku],0)),0),"")</f>
        <v/>
      </c>
      <c r="CH71" s="484" t="str">
        <f>IFERROR(ROUNDUP(CD71/INDEX(bhpc_data[units_per_carton],MATCH(BZ71,bhpc_data[sku],0)),0),"")</f>
        <v/>
      </c>
      <c r="CI71" s="484" t="str">
        <f>IFERROR(ROUNDUP(CF71/INDEX(bhpc_data[units_per_carton],MATCH(BZ71,bhpc_data[sku])),0),"")</f>
        <v/>
      </c>
      <c r="CJ71" s="484" t="str">
        <f>IFERROR(((CB71+CD71+CF71)/INDEX(bhpc_data[units_per_carton],MATCH(BZ71,bhpc_data[sku],0)))*INDEX(bhpc_data[net_weight],MATCH(BZ71,bhpc_data[sku],0)),"")</f>
        <v/>
      </c>
      <c r="CK71" s="484" t="str">
        <f>IFERROR(((CB71+CD71+CF71)/INDEX(bhpc_data[units_per_carton],MATCH(BZ71,bhpc_data[sku],0)))*INDEX(bhpc_data[gross_weight],MATCH(BZ71,bhpc_data[sku],0)),"")</f>
        <v/>
      </c>
      <c r="CL71" s="485" t="str">
        <f>IFERROR((CB71+CD71+CF71)/INDEX(bhpc_data[units_per_carton],MATCH(BZ71,bhpc_data[sku],0))*INDEX(bhpc_data[lenght],MATCH(BZ71,bhpc_data[sku],0))*INDEX(bhpc_data[width],MATCH(BZ71,bhpc_data[sku],0))*INDEX(bhpc_data[height],MATCH(BZ71,bhpc_data[sku],0))/1000000000,"")</f>
        <v/>
      </c>
      <c r="CM71" s="486" t="str">
        <f>IFERROR(INDEX(bhpc_data[category],MATCH(BZ71,bhpc_data[sku],0)),"")</f>
        <v/>
      </c>
      <c r="CN71" s="486" t="str">
        <f>IFERROR(INDEX(bhpc_data[size1],MATCH(BZ71,bhpc_data[sku],0)),"")</f>
        <v/>
      </c>
      <c r="CO71" s="487" t="str">
        <f>IFERROR(INDEX(bhpc_data[hs_code],MATCH(BZ71,bhpc_data[sku],0)),"")</f>
        <v/>
      </c>
      <c r="CP71" s="500"/>
      <c r="CQ71" s="488" t="str">
        <f>IFERROR(IF(BZ71="","",IF($BX$15="SALE",INDEX(inventory[COSTO UNITARIO],MATCH(BZ71,inventory[ARTICOLO],0)),IF($BX$15="SAMPLING",INDEX(inventory[COSTO UNITARIO],MATCH(BZ71,inventory[ARTICOLO],0)),""))),"")</f>
        <v/>
      </c>
      <c r="CR71" s="488" t="str">
        <f t="shared" si="5"/>
        <v/>
      </c>
      <c r="CS71" s="489" t="str">
        <f t="shared" si="6"/>
        <v/>
      </c>
      <c r="CT71" s="573" t="str">
        <f t="shared" si="7"/>
        <v/>
      </c>
      <c r="DA71" s="350" t="str">
        <f>IFERROR(VLOOKUP(BZ71,bhpc_data[],22,FALSE),"")</f>
        <v/>
      </c>
      <c r="EE71" s="541" t="str" cm="1">
        <f t="array" ref="EE71">IFERROR(IF($EC$9="",IF($EC$11="",IF($EC$13="",INDEX(bhpc_data[sku],SMALL(MATCH(ROW(bhpc_data[sku]),ROW(bhpc_data[sku])),ROWS($A$15:A76)+$B$3)),INDEX(bhpc_data[sku],SMALL(IF(ISNUMBER(MATCH(bhpc_data[size1],$EC$13,0)),MATCH(ROW(bhpc_data[sku]),ROW(bhpc_data[sku])),""),ROWS($A$15:A76)+$B$3))),IF($EC$13="",INDEX(bhpc_data[sku],SMALL(IF(ISNUMBER(MATCH(bhpc_data[sex],$EC$11,0)),MATCH(ROW(bhpc_data[sku]),ROW(bhpc_data[sku])),""),ROWS($A$15:A76)+$B$3)),INDEX(bhpc_data[sku],SMALL(IF(ISNUMBER(MATCH(bhpc_data[sex],$EC$11,0)*MATCH(bhpc_data[size1],$EC$13,0)),MATCH(ROW(bhpc_data[sku]),ROW(bhpc_data[sku])),""),ROWS($A$15:A76)+$B$3)))),IF($EC$11="",IF($EC$13="",INDEX(bhpc_data[sku],SMALL(IF(ISNUMBER(MATCH(bhpc_data[category],$EC$9,0)),MATCH(ROW(bhpc_data[sku]),ROW(bhpc_data[sku])),""),ROWS($A$15:A76)+$B$3)),INDEX(bhpc_data[sku],SMALL(IF(ISNUMBER(MATCH(bhpc_data[category],$EC$9,0)*MATCH(bhpc_data[size1],$EC$13,0)),MATCH(ROW(bhpc_data[sku]),ROW(bhpc_data[sku])),""),ROWS($A$15:A76)+$B$3))),IF($EC$13="",INDEX(bhpc_data[sku],SMALL(IF(ISNUMBER(MATCH(bhpc_data[category],$EC$9,0)*MATCH(bhpc_data[sex],$EC$11,0)),MATCH(ROW(bhpc_data[sku]),ROW(bhpc_data[sku])),""),ROWS($A$15:A76)+$B$3)),INDEX(bhpc_data[sku],SMALL(IF(ISNUMBER(MATCH(bhpc_data[category],$EC$9,0)*MATCH(bhpc_data[sex],$EC$11,0)*MATCH(bhpc_data[size1],$EC$13,0)),MATCH(ROW(bhpc_data[sku]),ROW(bhpc_data[sku])),""),ROWS($A$15:A76)+$B$3))))),"")</f>
        <v>P06003</v>
      </c>
      <c r="EF71" s="542" t="str" cm="1">
        <f t="array" ref="EF71">IFERROR(IF($EC$9="",IF($EC$11="",IF($EC$13="",INDEX(bhpc_data[description],SMALL(MATCH(ROW(bhpc_data[sku]),ROW(bhpc_data[sku])),ROWS($A$15:A76)+$B$3)),INDEX(bhpc_data[description],SMALL(IF(ISNUMBER(MATCH(bhpc_data[size1],$EC$13,0)),MATCH(ROW(bhpc_data[sku]),ROW(bhpc_data[sku])),""),ROWS($A$15:A76)+$B$3))),IF($EC$13="",INDEX(bhpc_data[description],SMALL(IF(ISNUMBER(MATCH(bhpc_data[sex],$EC$11,0)),MATCH(ROW(bhpc_data[sku]),ROW(bhpc_data[sku])),""),ROWS($A$15:A76)+$B$3)),INDEX(bhpc_data[description],SMALL(IF(ISNUMBER(MATCH(bhpc_data[sex],$EC$11,0)*MATCH(bhpc_data[size1],$EC$13,0)),MATCH(ROW(bhpc_data[sku]),ROW(bhpc_data[sku])),""),ROWS($A$15:A76)+$B$3)))),IF($EC$11="",IF($EC$13="",INDEX(bhpc_data[description],SMALL(IF(ISNUMBER(MATCH(bhpc_data[category],$EC$9,0)),MATCH(ROW(bhpc_data[sku]),ROW(bhpc_data[sku])),""),ROWS($A$15:A76)+$B$3)),INDEX(bhpc_data[description],SMALL(IF(ISNUMBER(MATCH(bhpc_data[category],$EC$9,0)*MATCH(bhpc_data[size1],$EC$13,0)),MATCH(ROW(bhpc_data[sku]),ROW(bhpc_data[sku])),""),ROWS($A$15:A76)+$B$3))),IF($EC$13="",INDEX(bhpc_data[description],SMALL(IF(ISNUMBER(MATCH(bhpc_data[category],$EC$9,0)*MATCH(bhpc_data[sex],$EC$11,0)),MATCH(ROW(bhpc_data[sku]),ROW(bhpc_data[sku])),""),ROWS($A$15:A76)+$B$3)),INDEX(bhpc_data[description],SMALL(IF(ISNUMBER(MATCH(bhpc_data[category],$EC$9,0)*MATCH(bhpc_data[sex],$EC$11,0)*MATCH(bhpc_data[size1],$EC$13,0)),MATCH(ROW(bhpc_data[sku]),ROW(bhpc_data[sku])),""),ROWS($A$15:A76)+$B$3))))),"")</f>
        <v>BHPC PRESTIGE TITAN 100ML EDP MEN</v>
      </c>
      <c r="EG71" s="543">
        <f>IFERROR(IF('BHPC MANAGER'!$EE71="","",INDEX(inventory[ESISTENZA],MATCH('BHPC MANAGER'!$EE71,inventory[ARTICOLO],0))),0)</f>
        <v>7313</v>
      </c>
      <c r="EH71" s="544">
        <v>-5186</v>
      </c>
      <c r="EI71" s="544">
        <f t="shared" si="3"/>
        <v>2127</v>
      </c>
      <c r="EJ71" s="545">
        <v>0</v>
      </c>
      <c r="EK71" s="546">
        <f t="shared" si="4"/>
        <v>2127</v>
      </c>
    </row>
    <row r="72" spans="59:141" ht="15" customHeight="1" x14ac:dyDescent="0.35">
      <c r="BG72" s="245"/>
      <c r="BK72" s="366"/>
      <c r="BL72" s="367"/>
      <c r="BM72" s="368"/>
      <c r="BN72" s="367"/>
      <c r="BO72" s="368"/>
      <c r="BZ72" s="497"/>
      <c r="CA72" s="477" t="str">
        <f>IF(BZ72="","",INDEX(bhpc_data[description],MATCH(BZ72,bhpc_data[sku],0)))</f>
        <v/>
      </c>
      <c r="CB72" s="480"/>
      <c r="CC72" s="479"/>
      <c r="CD72" s="498"/>
      <c r="CE72" s="499"/>
      <c r="CF72" s="500"/>
      <c r="CG72" s="483" t="str">
        <f>IFERROR(ROUNDUP(CB72/INDEX(bhpc_data[units_per_carton],MATCH(BZ72,bhpc_data[sku],0)),0),"")</f>
        <v/>
      </c>
      <c r="CH72" s="484" t="str">
        <f>IFERROR(ROUNDUP(CD72/INDEX(bhpc_data[units_per_carton],MATCH(BZ72,bhpc_data[sku],0)),0),"")</f>
        <v/>
      </c>
      <c r="CI72" s="484" t="str">
        <f>IFERROR(ROUNDUP(CF72/INDEX(bhpc_data[units_per_carton],MATCH(BZ72,bhpc_data[sku])),0),"")</f>
        <v/>
      </c>
      <c r="CJ72" s="484" t="str">
        <f>IFERROR(((CB72+CD72+CF72)/INDEX(bhpc_data[units_per_carton],MATCH(BZ72,bhpc_data[sku],0)))*INDEX(bhpc_data[net_weight],MATCH(BZ72,bhpc_data[sku],0)),"")</f>
        <v/>
      </c>
      <c r="CK72" s="484" t="str">
        <f>IFERROR(((CB72+CD72+CF72)/INDEX(bhpc_data[units_per_carton],MATCH(BZ72,bhpc_data[sku],0)))*INDEX(bhpc_data[gross_weight],MATCH(BZ72,bhpc_data[sku],0)),"")</f>
        <v/>
      </c>
      <c r="CL72" s="485" t="str">
        <f>IFERROR((CB72+CD72+CF72)/INDEX(bhpc_data[units_per_carton],MATCH(BZ72,bhpc_data[sku],0))*INDEX(bhpc_data[lenght],MATCH(BZ72,bhpc_data[sku],0))*INDEX(bhpc_data[width],MATCH(BZ72,bhpc_data[sku],0))*INDEX(bhpc_data[height],MATCH(BZ72,bhpc_data[sku],0))/1000000000,"")</f>
        <v/>
      </c>
      <c r="CM72" s="486" t="str">
        <f>IFERROR(INDEX(bhpc_data[category],MATCH(BZ72,bhpc_data[sku],0)),"")</f>
        <v/>
      </c>
      <c r="CN72" s="486" t="str">
        <f>IFERROR(INDEX(bhpc_data[size1],MATCH(BZ72,bhpc_data[sku],0)),"")</f>
        <v/>
      </c>
      <c r="CO72" s="487" t="str">
        <f>IFERROR(INDEX(bhpc_data[hs_code],MATCH(BZ72,bhpc_data[sku],0)),"")</f>
        <v/>
      </c>
      <c r="CP72" s="500"/>
      <c r="CQ72" s="488" t="str">
        <f>IFERROR(IF(BZ72="","",IF($BX$15="SALE",INDEX(inventory[COSTO UNITARIO],MATCH(BZ72,inventory[ARTICOLO],0)),IF($BX$15="SAMPLING",INDEX(inventory[COSTO UNITARIO],MATCH(BZ72,inventory[ARTICOLO],0)),""))),"")</f>
        <v/>
      </c>
      <c r="CR72" s="488" t="str">
        <f t="shared" si="5"/>
        <v/>
      </c>
      <c r="CS72" s="489" t="str">
        <f t="shared" si="6"/>
        <v/>
      </c>
      <c r="CT72" s="573" t="str">
        <f t="shared" si="7"/>
        <v/>
      </c>
      <c r="DA72" s="350" t="str">
        <f>IFERROR(VLOOKUP(BZ72,bhpc_data[],22,FALSE),"")</f>
        <v/>
      </c>
      <c r="EE72" s="547" t="str" cm="1">
        <f t="array" ref="EE72">IFERROR(IF($EC$9="",IF($EC$11="",IF($EC$13="",INDEX(bhpc_data[sku],SMALL(MATCH(ROW(bhpc_data[sku]),ROW(bhpc_data[sku])),ROWS($A$15:A77)+$B$3)),INDEX(bhpc_data[sku],SMALL(IF(ISNUMBER(MATCH(bhpc_data[size1],$EC$13,0)),MATCH(ROW(bhpc_data[sku]),ROW(bhpc_data[sku])),""),ROWS($A$15:A77)+$B$3))),IF($EC$13="",INDEX(bhpc_data[sku],SMALL(IF(ISNUMBER(MATCH(bhpc_data[sex],$EC$11,0)),MATCH(ROW(bhpc_data[sku]),ROW(bhpc_data[sku])),""),ROWS($A$15:A77)+$B$3)),INDEX(bhpc_data[sku],SMALL(IF(ISNUMBER(MATCH(bhpc_data[sex],$EC$11,0)*MATCH(bhpc_data[size1],$EC$13,0)),MATCH(ROW(bhpc_data[sku]),ROW(bhpc_data[sku])),""),ROWS($A$15:A77)+$B$3)))),IF($EC$11="",IF($EC$13="",INDEX(bhpc_data[sku],SMALL(IF(ISNUMBER(MATCH(bhpc_data[category],$EC$9,0)),MATCH(ROW(bhpc_data[sku]),ROW(bhpc_data[sku])),""),ROWS($A$15:A77)+$B$3)),INDEX(bhpc_data[sku],SMALL(IF(ISNUMBER(MATCH(bhpc_data[category],$EC$9,0)*MATCH(bhpc_data[size1],$EC$13,0)),MATCH(ROW(bhpc_data[sku]),ROW(bhpc_data[sku])),""),ROWS($A$15:A77)+$B$3))),IF($EC$13="",INDEX(bhpc_data[sku],SMALL(IF(ISNUMBER(MATCH(bhpc_data[category],$EC$9,0)*MATCH(bhpc_data[sex],$EC$11,0)),MATCH(ROW(bhpc_data[sku]),ROW(bhpc_data[sku])),""),ROWS($A$15:A77)+$B$3)),INDEX(bhpc_data[sku],SMALL(IF(ISNUMBER(MATCH(bhpc_data[category],$EC$9,0)*MATCH(bhpc_data[sex],$EC$11,0)*MATCH(bhpc_data[size1],$EC$13,0)),MATCH(ROW(bhpc_data[sku]),ROW(bhpc_data[sku])),""),ROWS($A$15:A77)+$B$3))))),"")</f>
        <v>P06004</v>
      </c>
      <c r="EF72" s="548" t="str" cm="1">
        <f t="array" ref="EF72">IFERROR(IF($EC$9="",IF($EC$11="",IF($EC$13="",INDEX(bhpc_data[description],SMALL(MATCH(ROW(bhpc_data[sku]),ROW(bhpc_data[sku])),ROWS($A$15:A77)+$B$3)),INDEX(bhpc_data[description],SMALL(IF(ISNUMBER(MATCH(bhpc_data[size1],$EC$13,0)),MATCH(ROW(bhpc_data[sku]),ROW(bhpc_data[sku])),""),ROWS($A$15:A77)+$B$3))),IF($EC$13="",INDEX(bhpc_data[description],SMALL(IF(ISNUMBER(MATCH(bhpc_data[sex],$EC$11,0)),MATCH(ROW(bhpc_data[sku]),ROW(bhpc_data[sku])),""),ROWS($A$15:A77)+$B$3)),INDEX(bhpc_data[description],SMALL(IF(ISNUMBER(MATCH(bhpc_data[sex],$EC$11,0)*MATCH(bhpc_data[size1],$EC$13,0)),MATCH(ROW(bhpc_data[sku]),ROW(bhpc_data[sku])),""),ROWS($A$15:A77)+$B$3)))),IF($EC$11="",IF($EC$13="",INDEX(bhpc_data[description],SMALL(IF(ISNUMBER(MATCH(bhpc_data[category],$EC$9,0)),MATCH(ROW(bhpc_data[sku]),ROW(bhpc_data[sku])),""),ROWS($A$15:A77)+$B$3)),INDEX(bhpc_data[description],SMALL(IF(ISNUMBER(MATCH(bhpc_data[category],$EC$9,0)*MATCH(bhpc_data[size1],$EC$13,0)),MATCH(ROW(bhpc_data[sku]),ROW(bhpc_data[sku])),""),ROWS($A$15:A77)+$B$3))),IF($EC$13="",INDEX(bhpc_data[description],SMALL(IF(ISNUMBER(MATCH(bhpc_data[category],$EC$9,0)*MATCH(bhpc_data[sex],$EC$11,0)),MATCH(ROW(bhpc_data[sku]),ROW(bhpc_data[sku])),""),ROWS($A$15:A77)+$B$3)),INDEX(bhpc_data[description],SMALL(IF(ISNUMBER(MATCH(bhpc_data[category],$EC$9,0)*MATCH(bhpc_data[sex],$EC$11,0)*MATCH(bhpc_data[size1],$EC$13,0)),MATCH(ROW(bhpc_data[sku]),ROW(bhpc_data[sku])),""),ROWS($A$15:A77)+$B$3))))),"")</f>
        <v>BHPC PRESTIGE ELEGANCE 100ML EDP WOMEN</v>
      </c>
      <c r="EG72" s="549">
        <f>IFERROR(IF('BHPC MANAGER'!$EE72="","",INDEX(inventory[ESISTENZA],MATCH('BHPC MANAGER'!$EE72,inventory[ARTICOLO],0))),0)</f>
        <v>2226</v>
      </c>
      <c r="EH72" s="550">
        <v>-2066</v>
      </c>
      <c r="EI72" s="550">
        <f t="shared" si="3"/>
        <v>160</v>
      </c>
      <c r="EJ72" s="551">
        <v>0</v>
      </c>
      <c r="EK72" s="552">
        <f t="shared" si="4"/>
        <v>160</v>
      </c>
    </row>
    <row r="73" spans="59:141" ht="15" customHeight="1" x14ac:dyDescent="0.35">
      <c r="BG73" s="245"/>
      <c r="BK73" s="366"/>
      <c r="BL73" s="367"/>
      <c r="BM73" s="368"/>
      <c r="BN73" s="367"/>
      <c r="BO73" s="368"/>
      <c r="BZ73" s="497"/>
      <c r="CA73" s="477" t="str">
        <f>IF(BZ73="","",INDEX(bhpc_data[description],MATCH(BZ73,bhpc_data[sku],0)))</f>
        <v/>
      </c>
      <c r="CB73" s="480"/>
      <c r="CC73" s="479"/>
      <c r="CD73" s="498"/>
      <c r="CE73" s="499"/>
      <c r="CF73" s="500"/>
      <c r="CG73" s="483" t="str">
        <f>IFERROR(ROUNDUP(CB73/INDEX(bhpc_data[units_per_carton],MATCH(BZ73,bhpc_data[sku],0)),0),"")</f>
        <v/>
      </c>
      <c r="CH73" s="484" t="str">
        <f>IFERROR(ROUNDUP(CD73/INDEX(bhpc_data[units_per_carton],MATCH(BZ73,bhpc_data[sku],0)),0),"")</f>
        <v/>
      </c>
      <c r="CI73" s="484" t="str">
        <f>IFERROR(ROUNDUP(CF73/INDEX(bhpc_data[units_per_carton],MATCH(BZ73,bhpc_data[sku])),0),"")</f>
        <v/>
      </c>
      <c r="CJ73" s="484" t="str">
        <f>IFERROR(((CB73+CD73+CF73)/INDEX(bhpc_data[units_per_carton],MATCH(BZ73,bhpc_data[sku],0)))*INDEX(bhpc_data[net_weight],MATCH(BZ73,bhpc_data[sku],0)),"")</f>
        <v/>
      </c>
      <c r="CK73" s="484" t="str">
        <f>IFERROR(((CB73+CD73+CF73)/INDEX(bhpc_data[units_per_carton],MATCH(BZ73,bhpc_data[sku],0)))*INDEX(bhpc_data[gross_weight],MATCH(BZ73,bhpc_data[sku],0)),"")</f>
        <v/>
      </c>
      <c r="CL73" s="485" t="str">
        <f>IFERROR((CB73+CD73+CF73)/INDEX(bhpc_data[units_per_carton],MATCH(BZ73,bhpc_data[sku],0))*INDEX(bhpc_data[lenght],MATCH(BZ73,bhpc_data[sku],0))*INDEX(bhpc_data[width],MATCH(BZ73,bhpc_data[sku],0))*INDEX(bhpc_data[height],MATCH(BZ73,bhpc_data[sku],0))/1000000000,"")</f>
        <v/>
      </c>
      <c r="CM73" s="486" t="str">
        <f>IFERROR(INDEX(bhpc_data[category],MATCH(BZ73,bhpc_data[sku],0)),"")</f>
        <v/>
      </c>
      <c r="CN73" s="486" t="str">
        <f>IFERROR(INDEX(bhpc_data[size1],MATCH(BZ73,bhpc_data[sku],0)),"")</f>
        <v/>
      </c>
      <c r="CO73" s="487" t="str">
        <f>IFERROR(INDEX(bhpc_data[hs_code],MATCH(BZ73,bhpc_data[sku],0)),"")</f>
        <v/>
      </c>
      <c r="CP73" s="500"/>
      <c r="CQ73" s="488" t="str">
        <f>IFERROR(IF(BZ73="","",IF($BX$15="SALE",INDEX(inventory[COSTO UNITARIO],MATCH(BZ73,inventory[ARTICOLO],0)),IF($BX$15="SAMPLING",INDEX(inventory[COSTO UNITARIO],MATCH(BZ73,inventory[ARTICOLO],0)),""))),"")</f>
        <v/>
      </c>
      <c r="CR73" s="488" t="str">
        <f t="shared" si="5"/>
        <v/>
      </c>
      <c r="CS73" s="489" t="str">
        <f t="shared" si="6"/>
        <v/>
      </c>
      <c r="CT73" s="573" t="str">
        <f t="shared" si="7"/>
        <v/>
      </c>
      <c r="DA73" s="350" t="str">
        <f>IFERROR(VLOOKUP(BZ73,bhpc_data[],22,FALSE),"")</f>
        <v/>
      </c>
      <c r="EE73" s="541" t="str" cm="1">
        <f t="array" ref="EE73">IFERROR(IF($EC$9="",IF($EC$11="",IF($EC$13="",INDEX(bhpc_data[sku],SMALL(MATCH(ROW(bhpc_data[sku]),ROW(bhpc_data[sku])),ROWS($A$15:A78)+$B$3)),INDEX(bhpc_data[sku],SMALL(IF(ISNUMBER(MATCH(bhpc_data[size1],$EC$13,0)),MATCH(ROW(bhpc_data[sku]),ROW(bhpc_data[sku])),""),ROWS($A$15:A78)+$B$3))),IF($EC$13="",INDEX(bhpc_data[sku],SMALL(IF(ISNUMBER(MATCH(bhpc_data[sex],$EC$11,0)),MATCH(ROW(bhpc_data[sku]),ROW(bhpc_data[sku])),""),ROWS($A$15:A78)+$B$3)),INDEX(bhpc_data[sku],SMALL(IF(ISNUMBER(MATCH(bhpc_data[sex],$EC$11,0)*MATCH(bhpc_data[size1],$EC$13,0)),MATCH(ROW(bhpc_data[sku]),ROW(bhpc_data[sku])),""),ROWS($A$15:A78)+$B$3)))),IF($EC$11="",IF($EC$13="",INDEX(bhpc_data[sku],SMALL(IF(ISNUMBER(MATCH(bhpc_data[category],$EC$9,0)),MATCH(ROW(bhpc_data[sku]),ROW(bhpc_data[sku])),""),ROWS($A$15:A78)+$B$3)),INDEX(bhpc_data[sku],SMALL(IF(ISNUMBER(MATCH(bhpc_data[category],$EC$9,0)*MATCH(bhpc_data[size1],$EC$13,0)),MATCH(ROW(bhpc_data[sku]),ROW(bhpc_data[sku])),""),ROWS($A$15:A78)+$B$3))),IF($EC$13="",INDEX(bhpc_data[sku],SMALL(IF(ISNUMBER(MATCH(bhpc_data[category],$EC$9,0)*MATCH(bhpc_data[sex],$EC$11,0)),MATCH(ROW(bhpc_data[sku]),ROW(bhpc_data[sku])),""),ROWS($A$15:A78)+$B$3)),INDEX(bhpc_data[sku],SMALL(IF(ISNUMBER(MATCH(bhpc_data[category],$EC$9,0)*MATCH(bhpc_data[sex],$EC$11,0)*MATCH(bhpc_data[size1],$EC$13,0)),MATCH(ROW(bhpc_data[sku]),ROW(bhpc_data[sku])),""),ROWS($A$15:A78)+$B$3))))),"")</f>
        <v>P06005</v>
      </c>
      <c r="EF73" s="542" t="str" cm="1">
        <f t="array" ref="EF73">IFERROR(IF($EC$9="",IF($EC$11="",IF($EC$13="",INDEX(bhpc_data[description],SMALL(MATCH(ROW(bhpc_data[sku]),ROW(bhpc_data[sku])),ROWS($A$15:A78)+$B$3)),INDEX(bhpc_data[description],SMALL(IF(ISNUMBER(MATCH(bhpc_data[size1],$EC$13,0)),MATCH(ROW(bhpc_data[sku]),ROW(bhpc_data[sku])),""),ROWS($A$15:A78)+$B$3))),IF($EC$13="",INDEX(bhpc_data[description],SMALL(IF(ISNUMBER(MATCH(bhpc_data[sex],$EC$11,0)),MATCH(ROW(bhpc_data[sku]),ROW(bhpc_data[sku])),""),ROWS($A$15:A78)+$B$3)),INDEX(bhpc_data[description],SMALL(IF(ISNUMBER(MATCH(bhpc_data[sex],$EC$11,0)*MATCH(bhpc_data[size1],$EC$13,0)),MATCH(ROW(bhpc_data[sku]),ROW(bhpc_data[sku])),""),ROWS($A$15:A78)+$B$3)))),IF($EC$11="",IF($EC$13="",INDEX(bhpc_data[description],SMALL(IF(ISNUMBER(MATCH(bhpc_data[category],$EC$9,0)),MATCH(ROW(bhpc_data[sku]),ROW(bhpc_data[sku])),""),ROWS($A$15:A78)+$B$3)),INDEX(bhpc_data[description],SMALL(IF(ISNUMBER(MATCH(bhpc_data[category],$EC$9,0)*MATCH(bhpc_data[size1],$EC$13,0)),MATCH(ROW(bhpc_data[sku]),ROW(bhpc_data[sku])),""),ROWS($A$15:A78)+$B$3))),IF($EC$13="",INDEX(bhpc_data[description],SMALL(IF(ISNUMBER(MATCH(bhpc_data[category],$EC$9,0)*MATCH(bhpc_data[sex],$EC$11,0)),MATCH(ROW(bhpc_data[sku]),ROW(bhpc_data[sku])),""),ROWS($A$15:A78)+$B$3)),INDEX(bhpc_data[description],SMALL(IF(ISNUMBER(MATCH(bhpc_data[category],$EC$9,0)*MATCH(bhpc_data[sex],$EC$11,0)*MATCH(bhpc_data[size1],$EC$13,0)),MATCH(ROW(bhpc_data[sku]),ROW(bhpc_data[sku])),""),ROWS($A$15:A78)+$B$3))))),"")</f>
        <v>BHPC PRESTIGE CHALLENGE 100ML EDP WOMEN</v>
      </c>
      <c r="EG73" s="543">
        <f>IFERROR(IF('BHPC MANAGER'!$EE73="","",INDEX(inventory[ESISTENZA],MATCH('BHPC MANAGER'!$EE73,inventory[ARTICOLO],0))),0)</f>
        <v>1937</v>
      </c>
      <c r="EH73" s="544">
        <v>2553</v>
      </c>
      <c r="EI73" s="544">
        <f t="shared" si="3"/>
        <v>4490</v>
      </c>
      <c r="EJ73" s="545">
        <v>0</v>
      </c>
      <c r="EK73" s="546">
        <f t="shared" si="4"/>
        <v>4490</v>
      </c>
    </row>
    <row r="74" spans="59:141" ht="15" customHeight="1" x14ac:dyDescent="0.35">
      <c r="BG74" s="245"/>
      <c r="BK74" s="366"/>
      <c r="BL74" s="367"/>
      <c r="BM74" s="368"/>
      <c r="BN74" s="367"/>
      <c r="BO74" s="368"/>
      <c r="BZ74" s="497"/>
      <c r="CA74" s="477" t="str">
        <f>IF(BZ74="","",INDEX(bhpc_data[description],MATCH(BZ74,bhpc_data[sku],0)))</f>
        <v/>
      </c>
      <c r="CB74" s="480"/>
      <c r="CC74" s="479"/>
      <c r="CD74" s="498"/>
      <c r="CE74" s="499"/>
      <c r="CF74" s="500"/>
      <c r="CG74" s="483" t="str">
        <f>IFERROR(ROUNDUP(CB74/INDEX(bhpc_data[units_per_carton],MATCH(BZ74,bhpc_data[sku],0)),0),"")</f>
        <v/>
      </c>
      <c r="CH74" s="484" t="str">
        <f>IFERROR(ROUNDUP(CD74/INDEX(bhpc_data[units_per_carton],MATCH(BZ74,bhpc_data[sku],0)),0),"")</f>
        <v/>
      </c>
      <c r="CI74" s="484" t="str">
        <f>IFERROR(ROUNDUP(CF74/INDEX(bhpc_data[units_per_carton],MATCH(BZ74,bhpc_data[sku])),0),"")</f>
        <v/>
      </c>
      <c r="CJ74" s="484" t="str">
        <f>IFERROR(((CB74+CD74+CF74)/INDEX(bhpc_data[units_per_carton],MATCH(BZ74,bhpc_data[sku],0)))*INDEX(bhpc_data[net_weight],MATCH(BZ74,bhpc_data[sku],0)),"")</f>
        <v/>
      </c>
      <c r="CK74" s="484" t="str">
        <f>IFERROR(((CB74+CD74+CF74)/INDEX(bhpc_data[units_per_carton],MATCH(BZ74,bhpc_data[sku],0)))*INDEX(bhpc_data[gross_weight],MATCH(BZ74,bhpc_data[sku],0)),"")</f>
        <v/>
      </c>
      <c r="CL74" s="485" t="str">
        <f>IFERROR((CB74+CD74+CF74)/INDEX(bhpc_data[units_per_carton],MATCH(BZ74,bhpc_data[sku],0))*INDEX(bhpc_data[lenght],MATCH(BZ74,bhpc_data[sku],0))*INDEX(bhpc_data[width],MATCH(BZ74,bhpc_data[sku],0))*INDEX(bhpc_data[height],MATCH(BZ74,bhpc_data[sku],0))/1000000000,"")</f>
        <v/>
      </c>
      <c r="CM74" s="486" t="str">
        <f>IFERROR(INDEX(bhpc_data[category],MATCH(BZ74,bhpc_data[sku],0)),"")</f>
        <v/>
      </c>
      <c r="CN74" s="486" t="str">
        <f>IFERROR(INDEX(bhpc_data[size1],MATCH(BZ74,bhpc_data[sku],0)),"")</f>
        <v/>
      </c>
      <c r="CO74" s="487" t="str">
        <f>IFERROR(INDEX(bhpc_data[hs_code],MATCH(BZ74,bhpc_data[sku],0)),"")</f>
        <v/>
      </c>
      <c r="CP74" s="500"/>
      <c r="CQ74" s="488" t="str">
        <f>IFERROR(IF(BZ74="","",IF($BX$15="SALE",INDEX(inventory[COSTO UNITARIO],MATCH(BZ74,inventory[ARTICOLO],0)),IF($BX$15="SAMPLING",INDEX(inventory[COSTO UNITARIO],MATCH(BZ74,inventory[ARTICOLO],0)),""))),"")</f>
        <v/>
      </c>
      <c r="CR74" s="488" t="str">
        <f t="shared" ref="CR74:CR105" si="8">IFERROR(IF(BZ74="","",(CB74+CD74)*CQ74),"")</f>
        <v/>
      </c>
      <c r="CS74" s="489" t="str">
        <f t="shared" ref="CS74:CS110" si="9">IF(BZ74="","",CB74*CC74+CD74*CE74)</f>
        <v/>
      </c>
      <c r="CT74" s="573" t="str">
        <f t="shared" ref="CT74:CT110" si="10">IF(BZ74="","",IF(OR($BX$15="PRODUCTION",$BX$15="SUPPLY"),"",IF($CX$32="VERO","OK",VLOOKUP(BZ74,$EE$8:$EK$250,7,FALSE)+IF(OR($BX$15="SALE",$BX$15="SAMPLING"),-(CB74+CD74+CF74),(CB74+CD74+CF74)))))</f>
        <v/>
      </c>
      <c r="DA74" s="350" t="str">
        <f>IFERROR(VLOOKUP(BZ74,bhpc_data[],22,FALSE),"")</f>
        <v/>
      </c>
      <c r="EE74" s="547" t="str" cm="1">
        <f t="array" ref="EE74">IFERROR(IF($EC$9="",IF($EC$11="",IF($EC$13="",INDEX(bhpc_data[sku],SMALL(MATCH(ROW(bhpc_data[sku]),ROW(bhpc_data[sku])),ROWS($A$15:A79)+$B$3)),INDEX(bhpc_data[sku],SMALL(IF(ISNUMBER(MATCH(bhpc_data[size1],$EC$13,0)),MATCH(ROW(bhpc_data[sku]),ROW(bhpc_data[sku])),""),ROWS($A$15:A79)+$B$3))),IF($EC$13="",INDEX(bhpc_data[sku],SMALL(IF(ISNUMBER(MATCH(bhpc_data[sex],$EC$11,0)),MATCH(ROW(bhpc_data[sku]),ROW(bhpc_data[sku])),""),ROWS($A$15:A79)+$B$3)),INDEX(bhpc_data[sku],SMALL(IF(ISNUMBER(MATCH(bhpc_data[sex],$EC$11,0)*MATCH(bhpc_data[size1],$EC$13,0)),MATCH(ROW(bhpc_data[sku]),ROW(bhpc_data[sku])),""),ROWS($A$15:A79)+$B$3)))),IF($EC$11="",IF($EC$13="",INDEX(bhpc_data[sku],SMALL(IF(ISNUMBER(MATCH(bhpc_data[category],$EC$9,0)),MATCH(ROW(bhpc_data[sku]),ROW(bhpc_data[sku])),""),ROWS($A$15:A79)+$B$3)),INDEX(bhpc_data[sku],SMALL(IF(ISNUMBER(MATCH(bhpc_data[category],$EC$9,0)*MATCH(bhpc_data[size1],$EC$13,0)),MATCH(ROW(bhpc_data[sku]),ROW(bhpc_data[sku])),""),ROWS($A$15:A79)+$B$3))),IF($EC$13="",INDEX(bhpc_data[sku],SMALL(IF(ISNUMBER(MATCH(bhpc_data[category],$EC$9,0)*MATCH(bhpc_data[sex],$EC$11,0)),MATCH(ROW(bhpc_data[sku]),ROW(bhpc_data[sku])),""),ROWS($A$15:A79)+$B$3)),INDEX(bhpc_data[sku],SMALL(IF(ISNUMBER(MATCH(bhpc_data[category],$EC$9,0)*MATCH(bhpc_data[sex],$EC$11,0)*MATCH(bhpc_data[size1],$EC$13,0)),MATCH(ROW(bhpc_data[sku]),ROW(bhpc_data[sku])),""),ROWS($A$15:A79)+$B$3))))),"")</f>
        <v>P06006</v>
      </c>
      <c r="EF74" s="548" t="str" cm="1">
        <f t="array" ref="EF74">IFERROR(IF($EC$9="",IF($EC$11="",IF($EC$13="",INDEX(bhpc_data[description],SMALL(MATCH(ROW(bhpc_data[sku]),ROW(bhpc_data[sku])),ROWS($A$15:A79)+$B$3)),INDEX(bhpc_data[description],SMALL(IF(ISNUMBER(MATCH(bhpc_data[size1],$EC$13,0)),MATCH(ROW(bhpc_data[sku]),ROW(bhpc_data[sku])),""),ROWS($A$15:A79)+$B$3))),IF($EC$13="",INDEX(bhpc_data[description],SMALL(IF(ISNUMBER(MATCH(bhpc_data[sex],$EC$11,0)),MATCH(ROW(bhpc_data[sku]),ROW(bhpc_data[sku])),""),ROWS($A$15:A79)+$B$3)),INDEX(bhpc_data[description],SMALL(IF(ISNUMBER(MATCH(bhpc_data[sex],$EC$11,0)*MATCH(bhpc_data[size1],$EC$13,0)),MATCH(ROW(bhpc_data[sku]),ROW(bhpc_data[sku])),""),ROWS($A$15:A79)+$B$3)))),IF($EC$11="",IF($EC$13="",INDEX(bhpc_data[description],SMALL(IF(ISNUMBER(MATCH(bhpc_data[category],$EC$9,0)),MATCH(ROW(bhpc_data[sku]),ROW(bhpc_data[sku])),""),ROWS($A$15:A79)+$B$3)),INDEX(bhpc_data[description],SMALL(IF(ISNUMBER(MATCH(bhpc_data[category],$EC$9,0)*MATCH(bhpc_data[size1],$EC$13,0)),MATCH(ROW(bhpc_data[sku]),ROW(bhpc_data[sku])),""),ROWS($A$15:A79)+$B$3))),IF($EC$13="",INDEX(bhpc_data[description],SMALL(IF(ISNUMBER(MATCH(bhpc_data[category],$EC$9,0)*MATCH(bhpc_data[sex],$EC$11,0)),MATCH(ROW(bhpc_data[sku]),ROW(bhpc_data[sku])),""),ROWS($A$15:A79)+$B$3)),INDEX(bhpc_data[description],SMALL(IF(ISNUMBER(MATCH(bhpc_data[category],$EC$9,0)*MATCH(bhpc_data[sex],$EC$11,0)*MATCH(bhpc_data[size1],$EC$13,0)),MATCH(ROW(bhpc_data[sku]),ROW(bhpc_data[sku])),""),ROWS($A$15:A79)+$B$3))))),"")</f>
        <v>BHPC PRESTIGE MYSTIQUE 100ML EDP WOMEN</v>
      </c>
      <c r="EG74" s="549">
        <f>IFERROR(IF('BHPC MANAGER'!$EE74="","",INDEX(inventory[ESISTENZA],MATCH('BHPC MANAGER'!$EE74,inventory[ARTICOLO],0))),0)</f>
        <v>3370</v>
      </c>
      <c r="EH74" s="550">
        <v>195</v>
      </c>
      <c r="EI74" s="550">
        <f t="shared" si="3"/>
        <v>3565</v>
      </c>
      <c r="EJ74" s="551">
        <v>0</v>
      </c>
      <c r="EK74" s="552">
        <f t="shared" si="4"/>
        <v>3565</v>
      </c>
    </row>
    <row r="75" spans="59:141" ht="15" customHeight="1" x14ac:dyDescent="0.35">
      <c r="BG75" s="245"/>
      <c r="BK75" s="366"/>
      <c r="BL75" s="367"/>
      <c r="BM75" s="368"/>
      <c r="BN75" s="367"/>
      <c r="BO75" s="368"/>
      <c r="BZ75" s="497"/>
      <c r="CA75" s="477" t="str">
        <f>IF(BZ75="","",INDEX(bhpc_data[description],MATCH(BZ75,bhpc_data[sku],0)))</f>
        <v/>
      </c>
      <c r="CB75" s="480"/>
      <c r="CC75" s="479"/>
      <c r="CD75" s="498"/>
      <c r="CE75" s="499"/>
      <c r="CF75" s="500"/>
      <c r="CG75" s="483" t="str">
        <f>IFERROR(ROUNDUP(CB75/INDEX(bhpc_data[units_per_carton],MATCH(BZ75,bhpc_data[sku],0)),0),"")</f>
        <v/>
      </c>
      <c r="CH75" s="484" t="str">
        <f>IFERROR(ROUNDUP(CD75/INDEX(bhpc_data[units_per_carton],MATCH(BZ75,bhpc_data[sku],0)),0),"")</f>
        <v/>
      </c>
      <c r="CI75" s="484" t="str">
        <f>IFERROR(ROUNDUP(CF75/INDEX(bhpc_data[units_per_carton],MATCH(BZ75,bhpc_data[sku])),0),"")</f>
        <v/>
      </c>
      <c r="CJ75" s="484" t="str">
        <f>IFERROR(((CB75+CD75+CF75)/INDEX(bhpc_data[units_per_carton],MATCH(BZ75,bhpc_data[sku],0)))*INDEX(bhpc_data[net_weight],MATCH(BZ75,bhpc_data[sku],0)),"")</f>
        <v/>
      </c>
      <c r="CK75" s="484" t="str">
        <f>IFERROR(((CB75+CD75+CF75)/INDEX(bhpc_data[units_per_carton],MATCH(BZ75,bhpc_data[sku],0)))*INDEX(bhpc_data[gross_weight],MATCH(BZ75,bhpc_data[sku],0)),"")</f>
        <v/>
      </c>
      <c r="CL75" s="485" t="str">
        <f>IFERROR((CB75+CD75+CF75)/INDEX(bhpc_data[units_per_carton],MATCH(BZ75,bhpc_data[sku],0))*INDEX(bhpc_data[lenght],MATCH(BZ75,bhpc_data[sku],0))*INDEX(bhpc_data[width],MATCH(BZ75,bhpc_data[sku],0))*INDEX(bhpc_data[height],MATCH(BZ75,bhpc_data[sku],0))/1000000000,"")</f>
        <v/>
      </c>
      <c r="CM75" s="486" t="str">
        <f>IFERROR(INDEX(bhpc_data[category],MATCH(BZ75,bhpc_data[sku],0)),"")</f>
        <v/>
      </c>
      <c r="CN75" s="486" t="str">
        <f>IFERROR(INDEX(bhpc_data[size1],MATCH(BZ75,bhpc_data[sku],0)),"")</f>
        <v/>
      </c>
      <c r="CO75" s="487" t="str">
        <f>IFERROR(INDEX(bhpc_data[hs_code],MATCH(BZ75,bhpc_data[sku],0)),"")</f>
        <v/>
      </c>
      <c r="CP75" s="500"/>
      <c r="CQ75" s="488" t="str">
        <f>IFERROR(IF(BZ75="","",IF($BX$15="SALE",INDEX(inventory[COSTO UNITARIO],MATCH(BZ75,inventory[ARTICOLO],0)),IF($BX$15="SAMPLING",INDEX(inventory[COSTO UNITARIO],MATCH(BZ75,inventory[ARTICOLO],0)),""))),"")</f>
        <v/>
      </c>
      <c r="CR75" s="488" t="str">
        <f t="shared" si="8"/>
        <v/>
      </c>
      <c r="CS75" s="489" t="str">
        <f t="shared" si="9"/>
        <v/>
      </c>
      <c r="CT75" s="573" t="str">
        <f t="shared" si="10"/>
        <v/>
      </c>
      <c r="DA75" s="350" t="str">
        <f>IFERROR(VLOOKUP(BZ75,bhpc_data[],22,FALSE),"")</f>
        <v/>
      </c>
      <c r="EE75" s="541" t="str" cm="1">
        <f t="array" ref="EE75">IFERROR(IF($EC$9="",IF($EC$11="",IF($EC$13="",INDEX(bhpc_data[sku],SMALL(MATCH(ROW(bhpc_data[sku]),ROW(bhpc_data[sku])),ROWS($A$15:A80)+$B$3)),INDEX(bhpc_data[sku],SMALL(IF(ISNUMBER(MATCH(bhpc_data[size1],$EC$13,0)),MATCH(ROW(bhpc_data[sku]),ROW(bhpc_data[sku])),""),ROWS($A$15:A80)+$B$3))),IF($EC$13="",INDEX(bhpc_data[sku],SMALL(IF(ISNUMBER(MATCH(bhpc_data[sex],$EC$11,0)),MATCH(ROW(bhpc_data[sku]),ROW(bhpc_data[sku])),""),ROWS($A$15:A80)+$B$3)),INDEX(bhpc_data[sku],SMALL(IF(ISNUMBER(MATCH(bhpc_data[sex],$EC$11,0)*MATCH(bhpc_data[size1],$EC$13,0)),MATCH(ROW(bhpc_data[sku]),ROW(bhpc_data[sku])),""),ROWS($A$15:A80)+$B$3)))),IF($EC$11="",IF($EC$13="",INDEX(bhpc_data[sku],SMALL(IF(ISNUMBER(MATCH(bhpc_data[category],$EC$9,0)),MATCH(ROW(bhpc_data[sku]),ROW(bhpc_data[sku])),""),ROWS($A$15:A80)+$B$3)),INDEX(bhpc_data[sku],SMALL(IF(ISNUMBER(MATCH(bhpc_data[category],$EC$9,0)*MATCH(bhpc_data[size1],$EC$13,0)),MATCH(ROW(bhpc_data[sku]),ROW(bhpc_data[sku])),""),ROWS($A$15:A80)+$B$3))),IF($EC$13="",INDEX(bhpc_data[sku],SMALL(IF(ISNUMBER(MATCH(bhpc_data[category],$EC$9,0)*MATCH(bhpc_data[sex],$EC$11,0)),MATCH(ROW(bhpc_data[sku]),ROW(bhpc_data[sku])),""),ROWS($A$15:A80)+$B$3)),INDEX(bhpc_data[sku],SMALL(IF(ISNUMBER(MATCH(bhpc_data[category],$EC$9,0)*MATCH(bhpc_data[sex],$EC$11,0)*MATCH(bhpc_data[size1],$EC$13,0)),MATCH(ROW(bhpc_data[sku]),ROW(bhpc_data[sku])),""),ROWS($A$15:A80)+$B$3))))),"")</f>
        <v>P06007</v>
      </c>
      <c r="EF75" s="542" t="str" cm="1">
        <f t="array" ref="EF75">IFERROR(IF($EC$9="",IF($EC$11="",IF($EC$13="",INDEX(bhpc_data[description],SMALL(MATCH(ROW(bhpc_data[sku]),ROW(bhpc_data[sku])),ROWS($A$15:A80)+$B$3)),INDEX(bhpc_data[description],SMALL(IF(ISNUMBER(MATCH(bhpc_data[size1],$EC$13,0)),MATCH(ROW(bhpc_data[sku]),ROW(bhpc_data[sku])),""),ROWS($A$15:A80)+$B$3))),IF($EC$13="",INDEX(bhpc_data[description],SMALL(IF(ISNUMBER(MATCH(bhpc_data[sex],$EC$11,0)),MATCH(ROW(bhpc_data[sku]),ROW(bhpc_data[sku])),""),ROWS($A$15:A80)+$B$3)),INDEX(bhpc_data[description],SMALL(IF(ISNUMBER(MATCH(bhpc_data[sex],$EC$11,0)*MATCH(bhpc_data[size1],$EC$13,0)),MATCH(ROW(bhpc_data[sku]),ROW(bhpc_data[sku])),""),ROWS($A$15:A80)+$B$3)))),IF($EC$11="",IF($EC$13="",INDEX(bhpc_data[description],SMALL(IF(ISNUMBER(MATCH(bhpc_data[category],$EC$9,0)),MATCH(ROW(bhpc_data[sku]),ROW(bhpc_data[sku])),""),ROWS($A$15:A80)+$B$3)),INDEX(bhpc_data[description],SMALL(IF(ISNUMBER(MATCH(bhpc_data[category],$EC$9,0)*MATCH(bhpc_data[size1],$EC$13,0)),MATCH(ROW(bhpc_data[sku]),ROW(bhpc_data[sku])),""),ROWS($A$15:A80)+$B$3))),IF($EC$13="",INDEX(bhpc_data[description],SMALL(IF(ISNUMBER(MATCH(bhpc_data[category],$EC$9,0)*MATCH(bhpc_data[sex],$EC$11,0)),MATCH(ROW(bhpc_data[sku]),ROW(bhpc_data[sku])),""),ROWS($A$15:A80)+$B$3)),INDEX(bhpc_data[description],SMALL(IF(ISNUMBER(MATCH(bhpc_data[category],$EC$9,0)*MATCH(bhpc_data[sex],$EC$11,0)*MATCH(bhpc_data[size1],$EC$13,0)),MATCH(ROW(bhpc_data[sku]),ROW(bhpc_data[sku])),""),ROWS($A$15:A80)+$B$3))))),"")</f>
        <v>BHPC PRESTIGE PASSION 100ML EDP WOMEN</v>
      </c>
      <c r="EG75" s="543">
        <f>IFERROR(IF('BHPC MANAGER'!$EE75="","",INDEX(inventory[ESISTENZA],MATCH('BHPC MANAGER'!$EE75,inventory[ARTICOLO],0))),0)</f>
        <v>4040</v>
      </c>
      <c r="EH75" s="544">
        <v>-2116</v>
      </c>
      <c r="EI75" s="544">
        <f t="shared" ref="EI75:EI138" si="11">IF(EE75="","",IFERROR(EG75+EH75,EG75))</f>
        <v>1924</v>
      </c>
      <c r="EJ75" s="545">
        <v>0</v>
      </c>
      <c r="EK75" s="546">
        <f t="shared" ref="EK75:EK138" si="12">IF(EE75="","",IFERROR(EI75+EJ75,EI75))</f>
        <v>1924</v>
      </c>
    </row>
    <row r="76" spans="59:141" ht="15" customHeight="1" x14ac:dyDescent="0.35">
      <c r="BG76" s="245"/>
      <c r="BK76" s="366"/>
      <c r="BL76" s="367"/>
      <c r="BM76" s="368"/>
      <c r="BN76" s="367"/>
      <c r="BO76" s="368"/>
      <c r="BZ76" s="497"/>
      <c r="CA76" s="477" t="str">
        <f>IF(BZ76="","",INDEX(bhpc_data[description],MATCH(BZ76,bhpc_data[sku],0)))</f>
        <v/>
      </c>
      <c r="CB76" s="480"/>
      <c r="CC76" s="479"/>
      <c r="CD76" s="498"/>
      <c r="CE76" s="499"/>
      <c r="CF76" s="500"/>
      <c r="CG76" s="483" t="str">
        <f>IFERROR(ROUNDUP(CB76/INDEX(bhpc_data[units_per_carton],MATCH(BZ76,bhpc_data[sku],0)),0),"")</f>
        <v/>
      </c>
      <c r="CH76" s="484" t="str">
        <f>IFERROR(ROUNDUP(CD76/INDEX(bhpc_data[units_per_carton],MATCH(BZ76,bhpc_data[sku],0)),0),"")</f>
        <v/>
      </c>
      <c r="CI76" s="484" t="str">
        <f>IFERROR(ROUNDUP(CF76/INDEX(bhpc_data[units_per_carton],MATCH(BZ76,bhpc_data[sku])),0),"")</f>
        <v/>
      </c>
      <c r="CJ76" s="484" t="str">
        <f>IFERROR(((CB76+CD76+CF76)/INDEX(bhpc_data[units_per_carton],MATCH(BZ76,bhpc_data[sku],0)))*INDEX(bhpc_data[net_weight],MATCH(BZ76,bhpc_data[sku],0)),"")</f>
        <v/>
      </c>
      <c r="CK76" s="484" t="str">
        <f>IFERROR(((CB76+CD76+CF76)/INDEX(bhpc_data[units_per_carton],MATCH(BZ76,bhpc_data[sku],0)))*INDEX(bhpc_data[gross_weight],MATCH(BZ76,bhpc_data[sku],0)),"")</f>
        <v/>
      </c>
      <c r="CL76" s="485" t="str">
        <f>IFERROR((CB76+CD76+CF76)/INDEX(bhpc_data[units_per_carton],MATCH(BZ76,bhpc_data[sku],0))*INDEX(bhpc_data[lenght],MATCH(BZ76,bhpc_data[sku],0))*INDEX(bhpc_data[width],MATCH(BZ76,bhpc_data[sku],0))*INDEX(bhpc_data[height],MATCH(BZ76,bhpc_data[sku],0))/1000000000,"")</f>
        <v/>
      </c>
      <c r="CM76" s="486" t="str">
        <f>IFERROR(INDEX(bhpc_data[category],MATCH(BZ76,bhpc_data[sku],0)),"")</f>
        <v/>
      </c>
      <c r="CN76" s="486" t="str">
        <f>IFERROR(INDEX(bhpc_data[size1],MATCH(BZ76,bhpc_data[sku],0)),"")</f>
        <v/>
      </c>
      <c r="CO76" s="487" t="str">
        <f>IFERROR(INDEX(bhpc_data[hs_code],MATCH(BZ76,bhpc_data[sku],0)),"")</f>
        <v/>
      </c>
      <c r="CP76" s="500"/>
      <c r="CQ76" s="488" t="str">
        <f>IFERROR(IF(BZ76="","",IF($BX$15="SALE",INDEX(inventory[COSTO UNITARIO],MATCH(BZ76,inventory[ARTICOLO],0)),IF($BX$15="SAMPLING",INDEX(inventory[COSTO UNITARIO],MATCH(BZ76,inventory[ARTICOLO],0)),""))),"")</f>
        <v/>
      </c>
      <c r="CR76" s="488" t="str">
        <f t="shared" si="8"/>
        <v/>
      </c>
      <c r="CS76" s="489" t="str">
        <f t="shared" si="9"/>
        <v/>
      </c>
      <c r="CT76" s="573" t="str">
        <f t="shared" si="10"/>
        <v/>
      </c>
      <c r="DA76" s="350" t="str">
        <f>IFERROR(VLOOKUP(BZ76,bhpc_data[],22,FALSE),"")</f>
        <v/>
      </c>
      <c r="EE76" s="547" t="str" cm="1">
        <f t="array" ref="EE76">IFERROR(IF($EC$9="",IF($EC$11="",IF($EC$13="",INDEX(bhpc_data[sku],SMALL(MATCH(ROW(bhpc_data[sku]),ROW(bhpc_data[sku])),ROWS($A$15:A81)+$B$3)),INDEX(bhpc_data[sku],SMALL(IF(ISNUMBER(MATCH(bhpc_data[size1],$EC$13,0)),MATCH(ROW(bhpc_data[sku]),ROW(bhpc_data[sku])),""),ROWS($A$15:A81)+$B$3))),IF($EC$13="",INDEX(bhpc_data[sku],SMALL(IF(ISNUMBER(MATCH(bhpc_data[sex],$EC$11,0)),MATCH(ROW(bhpc_data[sku]),ROW(bhpc_data[sku])),""),ROWS($A$15:A81)+$B$3)),INDEX(bhpc_data[sku],SMALL(IF(ISNUMBER(MATCH(bhpc_data[sex],$EC$11,0)*MATCH(bhpc_data[size1],$EC$13,0)),MATCH(ROW(bhpc_data[sku]),ROW(bhpc_data[sku])),""),ROWS($A$15:A81)+$B$3)))),IF($EC$11="",IF($EC$13="",INDEX(bhpc_data[sku],SMALL(IF(ISNUMBER(MATCH(bhpc_data[category],$EC$9,0)),MATCH(ROW(bhpc_data[sku]),ROW(bhpc_data[sku])),""),ROWS($A$15:A81)+$B$3)),INDEX(bhpc_data[sku],SMALL(IF(ISNUMBER(MATCH(bhpc_data[category],$EC$9,0)*MATCH(bhpc_data[size1],$EC$13,0)),MATCH(ROW(bhpc_data[sku]),ROW(bhpc_data[sku])),""),ROWS($A$15:A81)+$B$3))),IF($EC$13="",INDEX(bhpc_data[sku],SMALL(IF(ISNUMBER(MATCH(bhpc_data[category],$EC$9,0)*MATCH(bhpc_data[sex],$EC$11,0)),MATCH(ROW(bhpc_data[sku]),ROW(bhpc_data[sku])),""),ROWS($A$15:A81)+$B$3)),INDEX(bhpc_data[sku],SMALL(IF(ISNUMBER(MATCH(bhpc_data[category],$EC$9,0)*MATCH(bhpc_data[sex],$EC$11,0)*MATCH(bhpc_data[size1],$EC$13,0)),MATCH(ROW(bhpc_data[sku]),ROW(bhpc_data[sku])),""),ROWS($A$15:A81)+$B$3))))),"")</f>
        <v>P06008</v>
      </c>
      <c r="EF76" s="548" t="str" cm="1">
        <f t="array" ref="EF76">IFERROR(IF($EC$9="",IF($EC$11="",IF($EC$13="",INDEX(bhpc_data[description],SMALL(MATCH(ROW(bhpc_data[sku]),ROW(bhpc_data[sku])),ROWS($A$15:A81)+$B$3)),INDEX(bhpc_data[description],SMALL(IF(ISNUMBER(MATCH(bhpc_data[size1],$EC$13,0)),MATCH(ROW(bhpc_data[sku]),ROW(bhpc_data[sku])),""),ROWS($A$15:A81)+$B$3))),IF($EC$13="",INDEX(bhpc_data[description],SMALL(IF(ISNUMBER(MATCH(bhpc_data[sex],$EC$11,0)),MATCH(ROW(bhpc_data[sku]),ROW(bhpc_data[sku])),""),ROWS($A$15:A81)+$B$3)),INDEX(bhpc_data[description],SMALL(IF(ISNUMBER(MATCH(bhpc_data[sex],$EC$11,0)*MATCH(bhpc_data[size1],$EC$13,0)),MATCH(ROW(bhpc_data[sku]),ROW(bhpc_data[sku])),""),ROWS($A$15:A81)+$B$3)))),IF($EC$11="",IF($EC$13="",INDEX(bhpc_data[description],SMALL(IF(ISNUMBER(MATCH(bhpc_data[category],$EC$9,0)),MATCH(ROW(bhpc_data[sku]),ROW(bhpc_data[sku])),""),ROWS($A$15:A81)+$B$3)),INDEX(bhpc_data[description],SMALL(IF(ISNUMBER(MATCH(bhpc_data[category],$EC$9,0)*MATCH(bhpc_data[size1],$EC$13,0)),MATCH(ROW(bhpc_data[sku]),ROW(bhpc_data[sku])),""),ROWS($A$15:A81)+$B$3))),IF($EC$13="",INDEX(bhpc_data[description],SMALL(IF(ISNUMBER(MATCH(bhpc_data[category],$EC$9,0)*MATCH(bhpc_data[sex],$EC$11,0)),MATCH(ROW(bhpc_data[sku]),ROW(bhpc_data[sku])),""),ROWS($A$15:A81)+$B$3)),INDEX(bhpc_data[description],SMALL(IF(ISNUMBER(MATCH(bhpc_data[category],$EC$9,0)*MATCH(bhpc_data[sex],$EC$11,0)*MATCH(bhpc_data[size1],$EC$13,0)),MATCH(ROW(bhpc_data[sku]),ROW(bhpc_data[sku])),""),ROWS($A$15:A81)+$B$3))))),"")</f>
        <v>BHPC ELEGANCE HAIR MIST 250ML</v>
      </c>
      <c r="EG76" s="549">
        <f>IFERROR(IF('BHPC MANAGER'!$EE76="","",INDEX(inventory[ESISTENZA],MATCH('BHPC MANAGER'!$EE76,inventory[ARTICOLO],0))),0)</f>
        <v>0</v>
      </c>
      <c r="EH76" s="550">
        <v>4992</v>
      </c>
      <c r="EI76" s="550">
        <f t="shared" si="11"/>
        <v>4992</v>
      </c>
      <c r="EJ76" s="551">
        <v>0</v>
      </c>
      <c r="EK76" s="552">
        <f t="shared" si="12"/>
        <v>4992</v>
      </c>
    </row>
    <row r="77" spans="59:141" ht="15" customHeight="1" x14ac:dyDescent="0.35">
      <c r="BG77" s="245"/>
      <c r="BK77" s="366"/>
      <c r="BL77" s="367"/>
      <c r="BM77" s="368"/>
      <c r="BN77" s="367"/>
      <c r="BO77" s="368"/>
      <c r="BZ77" s="497"/>
      <c r="CA77" s="477" t="str">
        <f>IF(BZ77="","",INDEX(bhpc_data[description],MATCH(BZ77,bhpc_data[sku],0)))</f>
        <v/>
      </c>
      <c r="CB77" s="480"/>
      <c r="CC77" s="479"/>
      <c r="CD77" s="498"/>
      <c r="CE77" s="499"/>
      <c r="CF77" s="500"/>
      <c r="CG77" s="483" t="str">
        <f>IFERROR(ROUNDUP(CB77/INDEX(bhpc_data[units_per_carton],MATCH(BZ77,bhpc_data[sku],0)),0),"")</f>
        <v/>
      </c>
      <c r="CH77" s="484" t="str">
        <f>IFERROR(ROUNDUP(CD77/INDEX(bhpc_data[units_per_carton],MATCH(BZ77,bhpc_data[sku],0)),0),"")</f>
        <v/>
      </c>
      <c r="CI77" s="484" t="str">
        <f>IFERROR(ROUNDUP(CF77/INDEX(bhpc_data[units_per_carton],MATCH(BZ77,bhpc_data[sku])),0),"")</f>
        <v/>
      </c>
      <c r="CJ77" s="484" t="str">
        <f>IFERROR(((CB77+CD77+CF77)/INDEX(bhpc_data[units_per_carton],MATCH(BZ77,bhpc_data[sku],0)))*INDEX(bhpc_data[net_weight],MATCH(BZ77,bhpc_data[sku],0)),"")</f>
        <v/>
      </c>
      <c r="CK77" s="484" t="str">
        <f>IFERROR(((CB77+CD77+CF77)/INDEX(bhpc_data[units_per_carton],MATCH(BZ77,bhpc_data[sku],0)))*INDEX(bhpc_data[gross_weight],MATCH(BZ77,bhpc_data[sku],0)),"")</f>
        <v/>
      </c>
      <c r="CL77" s="485" t="str">
        <f>IFERROR((CB77+CD77+CF77)/INDEX(bhpc_data[units_per_carton],MATCH(BZ77,bhpc_data[sku],0))*INDEX(bhpc_data[lenght],MATCH(BZ77,bhpc_data[sku],0))*INDEX(bhpc_data[width],MATCH(BZ77,bhpc_data[sku],0))*INDEX(bhpc_data[height],MATCH(BZ77,bhpc_data[sku],0))/1000000000,"")</f>
        <v/>
      </c>
      <c r="CM77" s="486" t="str">
        <f>IFERROR(INDEX(bhpc_data[category],MATCH(BZ77,bhpc_data[sku],0)),"")</f>
        <v/>
      </c>
      <c r="CN77" s="486" t="str">
        <f>IFERROR(INDEX(bhpc_data[size1],MATCH(BZ77,bhpc_data[sku],0)),"")</f>
        <v/>
      </c>
      <c r="CO77" s="487" t="str">
        <f>IFERROR(INDEX(bhpc_data[hs_code],MATCH(BZ77,bhpc_data[sku],0)),"")</f>
        <v/>
      </c>
      <c r="CP77" s="500"/>
      <c r="CQ77" s="488" t="str">
        <f>IFERROR(IF(BZ77="","",IF($BX$15="SALE",INDEX(inventory[COSTO UNITARIO],MATCH(BZ77,inventory[ARTICOLO],0)),IF($BX$15="SAMPLING",INDEX(inventory[COSTO UNITARIO],MATCH(BZ77,inventory[ARTICOLO],0)),""))),"")</f>
        <v/>
      </c>
      <c r="CR77" s="488" t="str">
        <f t="shared" si="8"/>
        <v/>
      </c>
      <c r="CS77" s="489" t="str">
        <f t="shared" si="9"/>
        <v/>
      </c>
      <c r="CT77" s="573" t="str">
        <f t="shared" si="10"/>
        <v/>
      </c>
      <c r="DA77" s="350" t="str">
        <f>IFERROR(VLOOKUP(BZ77,bhpc_data[],22,FALSE),"")</f>
        <v/>
      </c>
      <c r="EE77" s="541" t="str" cm="1">
        <f t="array" ref="EE77">IFERROR(IF($EC$9="",IF($EC$11="",IF($EC$13="",INDEX(bhpc_data[sku],SMALL(MATCH(ROW(bhpc_data[sku]),ROW(bhpc_data[sku])),ROWS($A$15:A82)+$B$3)),INDEX(bhpc_data[sku],SMALL(IF(ISNUMBER(MATCH(bhpc_data[size1],$EC$13,0)),MATCH(ROW(bhpc_data[sku]),ROW(bhpc_data[sku])),""),ROWS($A$15:A82)+$B$3))),IF($EC$13="",INDEX(bhpc_data[sku],SMALL(IF(ISNUMBER(MATCH(bhpc_data[sex],$EC$11,0)),MATCH(ROW(bhpc_data[sku]),ROW(bhpc_data[sku])),""),ROWS($A$15:A82)+$B$3)),INDEX(bhpc_data[sku],SMALL(IF(ISNUMBER(MATCH(bhpc_data[sex],$EC$11,0)*MATCH(bhpc_data[size1],$EC$13,0)),MATCH(ROW(bhpc_data[sku]),ROW(bhpc_data[sku])),""),ROWS($A$15:A82)+$B$3)))),IF($EC$11="",IF($EC$13="",INDEX(bhpc_data[sku],SMALL(IF(ISNUMBER(MATCH(bhpc_data[category],$EC$9,0)),MATCH(ROW(bhpc_data[sku]),ROW(bhpc_data[sku])),""),ROWS($A$15:A82)+$B$3)),INDEX(bhpc_data[sku],SMALL(IF(ISNUMBER(MATCH(bhpc_data[category],$EC$9,0)*MATCH(bhpc_data[size1],$EC$13,0)),MATCH(ROW(bhpc_data[sku]),ROW(bhpc_data[sku])),""),ROWS($A$15:A82)+$B$3))),IF($EC$13="",INDEX(bhpc_data[sku],SMALL(IF(ISNUMBER(MATCH(bhpc_data[category],$EC$9,0)*MATCH(bhpc_data[sex],$EC$11,0)),MATCH(ROW(bhpc_data[sku]),ROW(bhpc_data[sku])),""),ROWS($A$15:A82)+$B$3)),INDEX(bhpc_data[sku],SMALL(IF(ISNUMBER(MATCH(bhpc_data[category],$EC$9,0)*MATCH(bhpc_data[sex],$EC$11,0)*MATCH(bhpc_data[size1],$EC$13,0)),MATCH(ROW(bhpc_data[sku]),ROW(bhpc_data[sku])),""),ROWS($A$15:A82)+$B$3))))),"")</f>
        <v>P06009</v>
      </c>
      <c r="EF77" s="542" t="str" cm="1">
        <f t="array" ref="EF77">IFERROR(IF($EC$9="",IF($EC$11="",IF($EC$13="",INDEX(bhpc_data[description],SMALL(MATCH(ROW(bhpc_data[sku]),ROW(bhpc_data[sku])),ROWS($A$15:A82)+$B$3)),INDEX(bhpc_data[description],SMALL(IF(ISNUMBER(MATCH(bhpc_data[size1],$EC$13,0)),MATCH(ROW(bhpc_data[sku]),ROW(bhpc_data[sku])),""),ROWS($A$15:A82)+$B$3))),IF($EC$13="",INDEX(bhpc_data[description],SMALL(IF(ISNUMBER(MATCH(bhpc_data[sex],$EC$11,0)),MATCH(ROW(bhpc_data[sku]),ROW(bhpc_data[sku])),""),ROWS($A$15:A82)+$B$3)),INDEX(bhpc_data[description],SMALL(IF(ISNUMBER(MATCH(bhpc_data[sex],$EC$11,0)*MATCH(bhpc_data[size1],$EC$13,0)),MATCH(ROW(bhpc_data[sku]),ROW(bhpc_data[sku])),""),ROWS($A$15:A82)+$B$3)))),IF($EC$11="",IF($EC$13="",INDEX(bhpc_data[description],SMALL(IF(ISNUMBER(MATCH(bhpc_data[category],$EC$9,0)),MATCH(ROW(bhpc_data[sku]),ROW(bhpc_data[sku])),""),ROWS($A$15:A82)+$B$3)),INDEX(bhpc_data[description],SMALL(IF(ISNUMBER(MATCH(bhpc_data[category],$EC$9,0)*MATCH(bhpc_data[size1],$EC$13,0)),MATCH(ROW(bhpc_data[sku]),ROW(bhpc_data[sku])),""),ROWS($A$15:A82)+$B$3))),IF($EC$13="",INDEX(bhpc_data[description],SMALL(IF(ISNUMBER(MATCH(bhpc_data[category],$EC$9,0)*MATCH(bhpc_data[sex],$EC$11,0)),MATCH(ROW(bhpc_data[sku]),ROW(bhpc_data[sku])),""),ROWS($A$15:A82)+$B$3)),INDEX(bhpc_data[description],SMALL(IF(ISNUMBER(MATCH(bhpc_data[category],$EC$9,0)*MATCH(bhpc_data[sex],$EC$11,0)*MATCH(bhpc_data[size1],$EC$13,0)),MATCH(ROW(bhpc_data[sku]),ROW(bhpc_data[sku])),""),ROWS($A$15:A82)+$B$3))))),"")</f>
        <v>BHPC CHALLENGE BODY MIST 250ML</v>
      </c>
      <c r="EG77" s="543">
        <f>IFERROR(IF('BHPC MANAGER'!$EE77="","",INDEX(inventory[ESISTENZA],MATCH('BHPC MANAGER'!$EE77,inventory[ARTICOLO],0))),0)</f>
        <v>0</v>
      </c>
      <c r="EH77" s="544">
        <v>4992</v>
      </c>
      <c r="EI77" s="544">
        <f t="shared" si="11"/>
        <v>4992</v>
      </c>
      <c r="EJ77" s="545">
        <v>0</v>
      </c>
      <c r="EK77" s="546">
        <f t="shared" si="12"/>
        <v>4992</v>
      </c>
    </row>
    <row r="78" spans="59:141" ht="15" customHeight="1" x14ac:dyDescent="0.35">
      <c r="BG78" s="245"/>
      <c r="BK78" s="366"/>
      <c r="BL78" s="367"/>
      <c r="BM78" s="368"/>
      <c r="BN78" s="367"/>
      <c r="BO78" s="368"/>
      <c r="BZ78" s="497"/>
      <c r="CA78" s="477" t="str">
        <f>IF(BZ78="","",INDEX(bhpc_data[description],MATCH(BZ78,bhpc_data[sku],0)))</f>
        <v/>
      </c>
      <c r="CB78" s="480"/>
      <c r="CC78" s="479"/>
      <c r="CD78" s="498"/>
      <c r="CE78" s="499"/>
      <c r="CF78" s="500"/>
      <c r="CG78" s="483" t="str">
        <f>IFERROR(ROUNDUP(CB78/INDEX(bhpc_data[units_per_carton],MATCH(BZ78,bhpc_data[sku],0)),0),"")</f>
        <v/>
      </c>
      <c r="CH78" s="484" t="str">
        <f>IFERROR(ROUNDUP(CD78/INDEX(bhpc_data[units_per_carton],MATCH(BZ78,bhpc_data[sku],0)),0),"")</f>
        <v/>
      </c>
      <c r="CI78" s="484" t="str">
        <f>IFERROR(ROUNDUP(CF78/INDEX(bhpc_data[units_per_carton],MATCH(BZ78,bhpc_data[sku])),0),"")</f>
        <v/>
      </c>
      <c r="CJ78" s="484" t="str">
        <f>IFERROR(((CB78+CD78+CF78)/INDEX(bhpc_data[units_per_carton],MATCH(BZ78,bhpc_data[sku],0)))*INDEX(bhpc_data[net_weight],MATCH(BZ78,bhpc_data[sku],0)),"")</f>
        <v/>
      </c>
      <c r="CK78" s="484" t="str">
        <f>IFERROR(((CB78+CD78+CF78)/INDEX(bhpc_data[units_per_carton],MATCH(BZ78,bhpc_data[sku],0)))*INDEX(bhpc_data[gross_weight],MATCH(BZ78,bhpc_data[sku],0)),"")</f>
        <v/>
      </c>
      <c r="CL78" s="485" t="str">
        <f>IFERROR((CB78+CD78+CF78)/INDEX(bhpc_data[units_per_carton],MATCH(BZ78,bhpc_data[sku],0))*INDEX(bhpc_data[lenght],MATCH(BZ78,bhpc_data[sku],0))*INDEX(bhpc_data[width],MATCH(BZ78,bhpc_data[sku],0))*INDEX(bhpc_data[height],MATCH(BZ78,bhpc_data[sku],0))/1000000000,"")</f>
        <v/>
      </c>
      <c r="CM78" s="486" t="str">
        <f>IFERROR(INDEX(bhpc_data[category],MATCH(BZ78,bhpc_data[sku],0)),"")</f>
        <v/>
      </c>
      <c r="CN78" s="486" t="str">
        <f>IFERROR(INDEX(bhpc_data[size1],MATCH(BZ78,bhpc_data[sku],0)),"")</f>
        <v/>
      </c>
      <c r="CO78" s="487" t="str">
        <f>IFERROR(INDEX(bhpc_data[hs_code],MATCH(BZ78,bhpc_data[sku],0)),"")</f>
        <v/>
      </c>
      <c r="CP78" s="500"/>
      <c r="CQ78" s="488" t="str">
        <f>IFERROR(IF(BZ78="","",IF($BX$15="SALE",INDEX(inventory[COSTO UNITARIO],MATCH(BZ78,inventory[ARTICOLO],0)),IF($BX$15="SAMPLING",INDEX(inventory[COSTO UNITARIO],MATCH(BZ78,inventory[ARTICOLO],0)),""))),"")</f>
        <v/>
      </c>
      <c r="CR78" s="488" t="str">
        <f t="shared" si="8"/>
        <v/>
      </c>
      <c r="CS78" s="489" t="str">
        <f t="shared" si="9"/>
        <v/>
      </c>
      <c r="CT78" s="573" t="str">
        <f t="shared" si="10"/>
        <v/>
      </c>
      <c r="DA78" s="350" t="str">
        <f>IFERROR(VLOOKUP(BZ78,bhpc_data[],22,FALSE),"")</f>
        <v/>
      </c>
      <c r="EE78" s="547" t="str" cm="1">
        <f t="array" ref="EE78">IFERROR(IF($EC$9="",IF($EC$11="",IF($EC$13="",INDEX(bhpc_data[sku],SMALL(MATCH(ROW(bhpc_data[sku]),ROW(bhpc_data[sku])),ROWS($A$15:A83)+$B$3)),INDEX(bhpc_data[sku],SMALL(IF(ISNUMBER(MATCH(bhpc_data[size1],$EC$13,0)),MATCH(ROW(bhpc_data[sku]),ROW(bhpc_data[sku])),""),ROWS($A$15:A83)+$B$3))),IF($EC$13="",INDEX(bhpc_data[sku],SMALL(IF(ISNUMBER(MATCH(bhpc_data[sex],$EC$11,0)),MATCH(ROW(bhpc_data[sku]),ROW(bhpc_data[sku])),""),ROWS($A$15:A83)+$B$3)),INDEX(bhpc_data[sku],SMALL(IF(ISNUMBER(MATCH(bhpc_data[sex],$EC$11,0)*MATCH(bhpc_data[size1],$EC$13,0)),MATCH(ROW(bhpc_data[sku]),ROW(bhpc_data[sku])),""),ROWS($A$15:A83)+$B$3)))),IF($EC$11="",IF($EC$13="",INDEX(bhpc_data[sku],SMALL(IF(ISNUMBER(MATCH(bhpc_data[category],$EC$9,0)),MATCH(ROW(bhpc_data[sku]),ROW(bhpc_data[sku])),""),ROWS($A$15:A83)+$B$3)),INDEX(bhpc_data[sku],SMALL(IF(ISNUMBER(MATCH(bhpc_data[category],$EC$9,0)*MATCH(bhpc_data[size1],$EC$13,0)),MATCH(ROW(bhpc_data[sku]),ROW(bhpc_data[sku])),""),ROWS($A$15:A83)+$B$3))),IF($EC$13="",INDEX(bhpc_data[sku],SMALL(IF(ISNUMBER(MATCH(bhpc_data[category],$EC$9,0)*MATCH(bhpc_data[sex],$EC$11,0)),MATCH(ROW(bhpc_data[sku]),ROW(bhpc_data[sku])),""),ROWS($A$15:A83)+$B$3)),INDEX(bhpc_data[sku],SMALL(IF(ISNUMBER(MATCH(bhpc_data[category],$EC$9,0)*MATCH(bhpc_data[sex],$EC$11,0)*MATCH(bhpc_data[size1],$EC$13,0)),MATCH(ROW(bhpc_data[sku]),ROW(bhpc_data[sku])),""),ROWS($A$15:A83)+$B$3))))),"")</f>
        <v>P06010</v>
      </c>
      <c r="EF78" s="548" t="str" cm="1">
        <f t="array" ref="EF78">IFERROR(IF($EC$9="",IF($EC$11="",IF($EC$13="",INDEX(bhpc_data[description],SMALL(MATCH(ROW(bhpc_data[sku]),ROW(bhpc_data[sku])),ROWS($A$15:A83)+$B$3)),INDEX(bhpc_data[description],SMALL(IF(ISNUMBER(MATCH(bhpc_data[size1],$EC$13,0)),MATCH(ROW(bhpc_data[sku]),ROW(bhpc_data[sku])),""),ROWS($A$15:A83)+$B$3))),IF($EC$13="",INDEX(bhpc_data[description],SMALL(IF(ISNUMBER(MATCH(bhpc_data[sex],$EC$11,0)),MATCH(ROW(bhpc_data[sku]),ROW(bhpc_data[sku])),""),ROWS($A$15:A83)+$B$3)),INDEX(bhpc_data[description],SMALL(IF(ISNUMBER(MATCH(bhpc_data[sex],$EC$11,0)*MATCH(bhpc_data[size1],$EC$13,0)),MATCH(ROW(bhpc_data[sku]),ROW(bhpc_data[sku])),""),ROWS($A$15:A83)+$B$3)))),IF($EC$11="",IF($EC$13="",INDEX(bhpc_data[description],SMALL(IF(ISNUMBER(MATCH(bhpc_data[category],$EC$9,0)),MATCH(ROW(bhpc_data[sku]),ROW(bhpc_data[sku])),""),ROWS($A$15:A83)+$B$3)),INDEX(bhpc_data[description],SMALL(IF(ISNUMBER(MATCH(bhpc_data[category],$EC$9,0)*MATCH(bhpc_data[size1],$EC$13,0)),MATCH(ROW(bhpc_data[sku]),ROW(bhpc_data[sku])),""),ROWS($A$15:A83)+$B$3))),IF($EC$13="",INDEX(bhpc_data[description],SMALL(IF(ISNUMBER(MATCH(bhpc_data[category],$EC$9,0)*MATCH(bhpc_data[sex],$EC$11,0)),MATCH(ROW(bhpc_data[sku]),ROW(bhpc_data[sku])),""),ROWS($A$15:A83)+$B$3)),INDEX(bhpc_data[description],SMALL(IF(ISNUMBER(MATCH(bhpc_data[category],$EC$9,0)*MATCH(bhpc_data[sex],$EC$11,0)*MATCH(bhpc_data[size1],$EC$13,0)),MATCH(ROW(bhpc_data[sku]),ROW(bhpc_data[sku])),""),ROWS($A$15:A83)+$B$3))))),"")</f>
        <v>BHPC MYSTIQUE BODY MIST 250ML</v>
      </c>
      <c r="EG78" s="549">
        <f>IFERROR(IF('BHPC MANAGER'!$EE78="","",INDEX(inventory[ESISTENZA],MATCH('BHPC MANAGER'!$EE78,inventory[ARTICOLO],0))),0)</f>
        <v>0</v>
      </c>
      <c r="EH78" s="550">
        <v>4992</v>
      </c>
      <c r="EI78" s="550">
        <f t="shared" si="11"/>
        <v>4992</v>
      </c>
      <c r="EJ78" s="551">
        <v>0</v>
      </c>
      <c r="EK78" s="552">
        <f t="shared" si="12"/>
        <v>4992</v>
      </c>
    </row>
    <row r="79" spans="59:141" ht="15" customHeight="1" x14ac:dyDescent="0.35">
      <c r="BG79" s="245"/>
      <c r="BK79" s="366"/>
      <c r="BL79" s="367"/>
      <c r="BM79" s="368"/>
      <c r="BN79" s="367"/>
      <c r="BO79" s="368"/>
      <c r="BZ79" s="497"/>
      <c r="CA79" s="477" t="str">
        <f>IF(BZ79="","",INDEX(bhpc_data[description],MATCH(BZ79,bhpc_data[sku],0)))</f>
        <v/>
      </c>
      <c r="CB79" s="480"/>
      <c r="CC79" s="479"/>
      <c r="CD79" s="498"/>
      <c r="CE79" s="499"/>
      <c r="CF79" s="500"/>
      <c r="CG79" s="483" t="str">
        <f>IFERROR(ROUNDUP(CB79/INDEX(bhpc_data[units_per_carton],MATCH(BZ79,bhpc_data[sku],0)),0),"")</f>
        <v/>
      </c>
      <c r="CH79" s="484" t="str">
        <f>IFERROR(ROUNDUP(CD79/INDEX(bhpc_data[units_per_carton],MATCH(BZ79,bhpc_data[sku],0)),0),"")</f>
        <v/>
      </c>
      <c r="CI79" s="484" t="str">
        <f>IFERROR(ROUNDUP(CF79/INDEX(bhpc_data[units_per_carton],MATCH(BZ79,bhpc_data[sku])),0),"")</f>
        <v/>
      </c>
      <c r="CJ79" s="484" t="str">
        <f>IFERROR(((CB79+CD79+CF79)/INDEX(bhpc_data[units_per_carton],MATCH(BZ79,bhpc_data[sku],0)))*INDEX(bhpc_data[net_weight],MATCH(BZ79,bhpc_data[sku],0)),"")</f>
        <v/>
      </c>
      <c r="CK79" s="484" t="str">
        <f>IFERROR(((CB79+CD79+CF79)/INDEX(bhpc_data[units_per_carton],MATCH(BZ79,bhpc_data[sku],0)))*INDEX(bhpc_data[gross_weight],MATCH(BZ79,bhpc_data[sku],0)),"")</f>
        <v/>
      </c>
      <c r="CL79" s="485" t="str">
        <f>IFERROR((CB79+CD79+CF79)/INDEX(bhpc_data[units_per_carton],MATCH(BZ79,bhpc_data[sku],0))*INDEX(bhpc_data[lenght],MATCH(BZ79,bhpc_data[sku],0))*INDEX(bhpc_data[width],MATCH(BZ79,bhpc_data[sku],0))*INDEX(bhpc_data[height],MATCH(BZ79,bhpc_data[sku],0))/1000000000,"")</f>
        <v/>
      </c>
      <c r="CM79" s="486" t="str">
        <f>IFERROR(INDEX(bhpc_data[category],MATCH(BZ79,bhpc_data[sku],0)),"")</f>
        <v/>
      </c>
      <c r="CN79" s="486" t="str">
        <f>IFERROR(INDEX(bhpc_data[size1],MATCH(BZ79,bhpc_data[sku],0)),"")</f>
        <v/>
      </c>
      <c r="CO79" s="487" t="str">
        <f>IFERROR(INDEX(bhpc_data[hs_code],MATCH(BZ79,bhpc_data[sku],0)),"")</f>
        <v/>
      </c>
      <c r="CP79" s="500"/>
      <c r="CQ79" s="488" t="str">
        <f>IFERROR(IF(BZ79="","",IF($BX$15="SALE",INDEX(inventory[COSTO UNITARIO],MATCH(BZ79,inventory[ARTICOLO],0)),IF($BX$15="SAMPLING",INDEX(inventory[COSTO UNITARIO],MATCH(BZ79,inventory[ARTICOLO],0)),""))),"")</f>
        <v/>
      </c>
      <c r="CR79" s="488" t="str">
        <f t="shared" si="8"/>
        <v/>
      </c>
      <c r="CS79" s="489" t="str">
        <f t="shared" si="9"/>
        <v/>
      </c>
      <c r="CT79" s="573" t="str">
        <f t="shared" si="10"/>
        <v/>
      </c>
      <c r="DA79" s="350" t="str">
        <f>IFERROR(VLOOKUP(BZ79,bhpc_data[],22,FALSE),"")</f>
        <v/>
      </c>
      <c r="EE79" s="541" t="str" cm="1">
        <f t="array" ref="EE79">IFERROR(IF($EC$9="",IF($EC$11="",IF($EC$13="",INDEX(bhpc_data[sku],SMALL(MATCH(ROW(bhpc_data[sku]),ROW(bhpc_data[sku])),ROWS($A$15:A84)+$B$3)),INDEX(bhpc_data[sku],SMALL(IF(ISNUMBER(MATCH(bhpc_data[size1],$EC$13,0)),MATCH(ROW(bhpc_data[sku]),ROW(bhpc_data[sku])),""),ROWS($A$15:A84)+$B$3))),IF($EC$13="",INDEX(bhpc_data[sku],SMALL(IF(ISNUMBER(MATCH(bhpc_data[sex],$EC$11,0)),MATCH(ROW(bhpc_data[sku]),ROW(bhpc_data[sku])),""),ROWS($A$15:A84)+$B$3)),INDEX(bhpc_data[sku],SMALL(IF(ISNUMBER(MATCH(bhpc_data[sex],$EC$11,0)*MATCH(bhpc_data[size1],$EC$13,0)),MATCH(ROW(bhpc_data[sku]),ROW(bhpc_data[sku])),""),ROWS($A$15:A84)+$B$3)))),IF($EC$11="",IF($EC$13="",INDEX(bhpc_data[sku],SMALL(IF(ISNUMBER(MATCH(bhpc_data[category],$EC$9,0)),MATCH(ROW(bhpc_data[sku]),ROW(bhpc_data[sku])),""),ROWS($A$15:A84)+$B$3)),INDEX(bhpc_data[sku],SMALL(IF(ISNUMBER(MATCH(bhpc_data[category],$EC$9,0)*MATCH(bhpc_data[size1],$EC$13,0)),MATCH(ROW(bhpc_data[sku]),ROW(bhpc_data[sku])),""),ROWS($A$15:A84)+$B$3))),IF($EC$13="",INDEX(bhpc_data[sku],SMALL(IF(ISNUMBER(MATCH(bhpc_data[category],$EC$9,0)*MATCH(bhpc_data[sex],$EC$11,0)),MATCH(ROW(bhpc_data[sku]),ROW(bhpc_data[sku])),""),ROWS($A$15:A84)+$B$3)),INDEX(bhpc_data[sku],SMALL(IF(ISNUMBER(MATCH(bhpc_data[category],$EC$9,0)*MATCH(bhpc_data[sex],$EC$11,0)*MATCH(bhpc_data[size1],$EC$13,0)),MATCH(ROW(bhpc_data[sku]),ROW(bhpc_data[sku])),""),ROWS($A$15:A84)+$B$3))))),"")</f>
        <v>P06011</v>
      </c>
      <c r="EF79" s="542" t="str" cm="1">
        <f t="array" ref="EF79">IFERROR(IF($EC$9="",IF($EC$11="",IF($EC$13="",INDEX(bhpc_data[description],SMALL(MATCH(ROW(bhpc_data[sku]),ROW(bhpc_data[sku])),ROWS($A$15:A84)+$B$3)),INDEX(bhpc_data[description],SMALL(IF(ISNUMBER(MATCH(bhpc_data[size1],$EC$13,0)),MATCH(ROW(bhpc_data[sku]),ROW(bhpc_data[sku])),""),ROWS($A$15:A84)+$B$3))),IF($EC$13="",INDEX(bhpc_data[description],SMALL(IF(ISNUMBER(MATCH(bhpc_data[sex],$EC$11,0)),MATCH(ROW(bhpc_data[sku]),ROW(bhpc_data[sku])),""),ROWS($A$15:A84)+$B$3)),INDEX(bhpc_data[description],SMALL(IF(ISNUMBER(MATCH(bhpc_data[sex],$EC$11,0)*MATCH(bhpc_data[size1],$EC$13,0)),MATCH(ROW(bhpc_data[sku]),ROW(bhpc_data[sku])),""),ROWS($A$15:A84)+$B$3)))),IF($EC$11="",IF($EC$13="",INDEX(bhpc_data[description],SMALL(IF(ISNUMBER(MATCH(bhpc_data[category],$EC$9,0)),MATCH(ROW(bhpc_data[sku]),ROW(bhpc_data[sku])),""),ROWS($A$15:A84)+$B$3)),INDEX(bhpc_data[description],SMALL(IF(ISNUMBER(MATCH(bhpc_data[category],$EC$9,0)*MATCH(bhpc_data[size1],$EC$13,0)),MATCH(ROW(bhpc_data[sku]),ROW(bhpc_data[sku])),""),ROWS($A$15:A84)+$B$3))),IF($EC$13="",INDEX(bhpc_data[description],SMALL(IF(ISNUMBER(MATCH(bhpc_data[category],$EC$9,0)*MATCH(bhpc_data[sex],$EC$11,0)),MATCH(ROW(bhpc_data[sku]),ROW(bhpc_data[sku])),""),ROWS($A$15:A84)+$B$3)),INDEX(bhpc_data[description],SMALL(IF(ISNUMBER(MATCH(bhpc_data[category],$EC$9,0)*MATCH(bhpc_data[sex],$EC$11,0)*MATCH(bhpc_data[size1],$EC$13,0)),MATCH(ROW(bhpc_data[sku]),ROW(bhpc_data[sku])),""),ROWS($A$15:A84)+$B$3))))),"")</f>
        <v>BHPC PASSION BODY MIST 250ML</v>
      </c>
      <c r="EG79" s="543">
        <f>IFERROR(IF('BHPC MANAGER'!$EE79="","",INDEX(inventory[ESISTENZA],MATCH('BHPC MANAGER'!$EE79,inventory[ARTICOLO],0))),0)</f>
        <v>0</v>
      </c>
      <c r="EH79" s="544">
        <v>4992</v>
      </c>
      <c r="EI79" s="544">
        <f t="shared" si="11"/>
        <v>4992</v>
      </c>
      <c r="EJ79" s="545">
        <v>0</v>
      </c>
      <c r="EK79" s="546">
        <f t="shared" si="12"/>
        <v>4992</v>
      </c>
    </row>
    <row r="80" spans="59:141" ht="15" customHeight="1" x14ac:dyDescent="0.35">
      <c r="BG80" s="245"/>
      <c r="BK80" s="366"/>
      <c r="BL80" s="367"/>
      <c r="BM80" s="368"/>
      <c r="BN80" s="367"/>
      <c r="BO80" s="368"/>
      <c r="BZ80" s="497"/>
      <c r="CA80" s="477" t="str">
        <f>IF(BZ80="","",INDEX(bhpc_data[description],MATCH(BZ80,bhpc_data[sku],0)))</f>
        <v/>
      </c>
      <c r="CB80" s="480"/>
      <c r="CC80" s="479"/>
      <c r="CD80" s="498"/>
      <c r="CE80" s="499"/>
      <c r="CF80" s="500"/>
      <c r="CG80" s="483" t="str">
        <f>IFERROR(ROUNDUP(CB80/INDEX(bhpc_data[units_per_carton],MATCH(BZ80,bhpc_data[sku],0)),0),"")</f>
        <v/>
      </c>
      <c r="CH80" s="484" t="str">
        <f>IFERROR(ROUNDUP(CD80/INDEX(bhpc_data[units_per_carton],MATCH(BZ80,bhpc_data[sku],0)),0),"")</f>
        <v/>
      </c>
      <c r="CI80" s="484" t="str">
        <f>IFERROR(ROUNDUP(CF80/INDEX(bhpc_data[units_per_carton],MATCH(BZ80,bhpc_data[sku])),0),"")</f>
        <v/>
      </c>
      <c r="CJ80" s="484" t="str">
        <f>IFERROR(((CB80+CD80+CF80)/INDEX(bhpc_data[units_per_carton],MATCH(BZ80,bhpc_data[sku],0)))*INDEX(bhpc_data[net_weight],MATCH(BZ80,bhpc_data[sku],0)),"")</f>
        <v/>
      </c>
      <c r="CK80" s="484" t="str">
        <f>IFERROR(((CB80+CD80+CF80)/INDEX(bhpc_data[units_per_carton],MATCH(BZ80,bhpc_data[sku],0)))*INDEX(bhpc_data[gross_weight],MATCH(BZ80,bhpc_data[sku],0)),"")</f>
        <v/>
      </c>
      <c r="CL80" s="485" t="str">
        <f>IFERROR((CB80+CD80+CF80)/INDEX(bhpc_data[units_per_carton],MATCH(BZ80,bhpc_data[sku],0))*INDEX(bhpc_data[lenght],MATCH(BZ80,bhpc_data[sku],0))*INDEX(bhpc_data[width],MATCH(BZ80,bhpc_data[sku],0))*INDEX(bhpc_data[height],MATCH(BZ80,bhpc_data[sku],0))/1000000000,"")</f>
        <v/>
      </c>
      <c r="CM80" s="486" t="str">
        <f>IFERROR(INDEX(bhpc_data[category],MATCH(BZ80,bhpc_data[sku],0)),"")</f>
        <v/>
      </c>
      <c r="CN80" s="486" t="str">
        <f>IFERROR(INDEX(bhpc_data[size1],MATCH(BZ80,bhpc_data[sku],0)),"")</f>
        <v/>
      </c>
      <c r="CO80" s="487" t="str">
        <f>IFERROR(INDEX(bhpc_data[hs_code],MATCH(BZ80,bhpc_data[sku],0)),"")</f>
        <v/>
      </c>
      <c r="CP80" s="500"/>
      <c r="CQ80" s="488" t="str">
        <f>IFERROR(IF(BZ80="","",IF($BX$15="SALE",INDEX(inventory[COSTO UNITARIO],MATCH(BZ80,inventory[ARTICOLO],0)),IF($BX$15="SAMPLING",INDEX(inventory[COSTO UNITARIO],MATCH(BZ80,inventory[ARTICOLO],0)),""))),"")</f>
        <v/>
      </c>
      <c r="CR80" s="488" t="str">
        <f t="shared" si="8"/>
        <v/>
      </c>
      <c r="CS80" s="489" t="str">
        <f t="shared" si="9"/>
        <v/>
      </c>
      <c r="CT80" s="573" t="str">
        <f t="shared" si="10"/>
        <v/>
      </c>
      <c r="DA80" s="350" t="str">
        <f>IFERROR(VLOOKUP(BZ80,bhpc_data[],22,FALSE),"")</f>
        <v/>
      </c>
      <c r="EE80" s="547" t="str" cm="1">
        <f t="array" ref="EE80">IFERROR(IF($EC$9="",IF($EC$11="",IF($EC$13="",INDEX(bhpc_data[sku],SMALL(MATCH(ROW(bhpc_data[sku]),ROW(bhpc_data[sku])),ROWS($A$15:A85)+$B$3)),INDEX(bhpc_data[sku],SMALL(IF(ISNUMBER(MATCH(bhpc_data[size1],$EC$13,0)),MATCH(ROW(bhpc_data[sku]),ROW(bhpc_data[sku])),""),ROWS($A$15:A85)+$B$3))),IF($EC$13="",INDEX(bhpc_data[sku],SMALL(IF(ISNUMBER(MATCH(bhpc_data[sex],$EC$11,0)),MATCH(ROW(bhpc_data[sku]),ROW(bhpc_data[sku])),""),ROWS($A$15:A85)+$B$3)),INDEX(bhpc_data[sku],SMALL(IF(ISNUMBER(MATCH(bhpc_data[sex],$EC$11,0)*MATCH(bhpc_data[size1],$EC$13,0)),MATCH(ROW(bhpc_data[sku]),ROW(bhpc_data[sku])),""),ROWS($A$15:A85)+$B$3)))),IF($EC$11="",IF($EC$13="",INDEX(bhpc_data[sku],SMALL(IF(ISNUMBER(MATCH(bhpc_data[category],$EC$9,0)),MATCH(ROW(bhpc_data[sku]),ROW(bhpc_data[sku])),""),ROWS($A$15:A85)+$B$3)),INDEX(bhpc_data[sku],SMALL(IF(ISNUMBER(MATCH(bhpc_data[category],$EC$9,0)*MATCH(bhpc_data[size1],$EC$13,0)),MATCH(ROW(bhpc_data[sku]),ROW(bhpc_data[sku])),""),ROWS($A$15:A85)+$B$3))),IF($EC$13="",INDEX(bhpc_data[sku],SMALL(IF(ISNUMBER(MATCH(bhpc_data[category],$EC$9,0)*MATCH(bhpc_data[sex],$EC$11,0)),MATCH(ROW(bhpc_data[sku]),ROW(bhpc_data[sku])),""),ROWS($A$15:A85)+$B$3)),INDEX(bhpc_data[sku],SMALL(IF(ISNUMBER(MATCH(bhpc_data[category],$EC$9,0)*MATCH(bhpc_data[sex],$EC$11,0)*MATCH(bhpc_data[size1],$EC$13,0)),MATCH(ROW(bhpc_data[sku]),ROW(bhpc_data[sku])),""),ROWS($A$15:A85)+$B$3))))),"")</f>
        <v>P06012</v>
      </c>
      <c r="EF80" s="548" t="str" cm="1">
        <f t="array" ref="EF80">IFERROR(IF($EC$9="",IF($EC$11="",IF($EC$13="",INDEX(bhpc_data[description],SMALL(MATCH(ROW(bhpc_data[sku]),ROW(bhpc_data[sku])),ROWS($A$15:A85)+$B$3)),INDEX(bhpc_data[description],SMALL(IF(ISNUMBER(MATCH(bhpc_data[size1],$EC$13,0)),MATCH(ROW(bhpc_data[sku]),ROW(bhpc_data[sku])),""),ROWS($A$15:A85)+$B$3))),IF($EC$13="",INDEX(bhpc_data[description],SMALL(IF(ISNUMBER(MATCH(bhpc_data[sex],$EC$11,0)),MATCH(ROW(bhpc_data[sku]),ROW(bhpc_data[sku])),""),ROWS($A$15:A85)+$B$3)),INDEX(bhpc_data[description],SMALL(IF(ISNUMBER(MATCH(bhpc_data[sex],$EC$11,0)*MATCH(bhpc_data[size1],$EC$13,0)),MATCH(ROW(bhpc_data[sku]),ROW(bhpc_data[sku])),""),ROWS($A$15:A85)+$B$3)))),IF($EC$11="",IF($EC$13="",INDEX(bhpc_data[description],SMALL(IF(ISNUMBER(MATCH(bhpc_data[category],$EC$9,0)),MATCH(ROW(bhpc_data[sku]),ROW(bhpc_data[sku])),""),ROWS($A$15:A85)+$B$3)),INDEX(bhpc_data[description],SMALL(IF(ISNUMBER(MATCH(bhpc_data[category],$EC$9,0)*MATCH(bhpc_data[size1],$EC$13,0)),MATCH(ROW(bhpc_data[sku]),ROW(bhpc_data[sku])),""),ROWS($A$15:A85)+$B$3))),IF($EC$13="",INDEX(bhpc_data[description],SMALL(IF(ISNUMBER(MATCH(bhpc_data[category],$EC$9,0)*MATCH(bhpc_data[sex],$EC$11,0)),MATCH(ROW(bhpc_data[sku]),ROW(bhpc_data[sku])),""),ROWS($A$15:A85)+$B$3)),INDEX(bhpc_data[description],SMALL(IF(ISNUMBER(MATCH(bhpc_data[category],$EC$9,0)*MATCH(bhpc_data[sex],$EC$11,0)*MATCH(bhpc_data[size1],$EC$13,0)),MATCH(ROW(bhpc_data[sku]),ROW(bhpc_data[sku])),""),ROWS($A$15:A85)+$B$3))))),"")</f>
        <v>BHPC TROPHY DEO 300ML</v>
      </c>
      <c r="EG80" s="549">
        <f>IFERROR(IF('BHPC MANAGER'!$EE80="","",INDEX(inventory[ESISTENZA],MATCH('BHPC MANAGER'!$EE80,inventory[ARTICOLO],0))),0)</f>
        <v>0</v>
      </c>
      <c r="EH80" s="550" t="s">
        <v>914</v>
      </c>
      <c r="EI80" s="550">
        <f t="shared" si="11"/>
        <v>0</v>
      </c>
      <c r="EJ80" s="551" t="s">
        <v>914</v>
      </c>
      <c r="EK80" s="552">
        <f t="shared" si="12"/>
        <v>0</v>
      </c>
    </row>
    <row r="81" spans="59:141" ht="15" customHeight="1" x14ac:dyDescent="0.35">
      <c r="BG81" s="245"/>
      <c r="BK81" s="366"/>
      <c r="BL81" s="367"/>
      <c r="BM81" s="368"/>
      <c r="BN81" s="367"/>
      <c r="BO81" s="368"/>
      <c r="BZ81" s="497"/>
      <c r="CA81" s="477" t="str">
        <f>IF(BZ81="","",INDEX(bhpc_data[description],MATCH(BZ81,bhpc_data[sku],0)))</f>
        <v/>
      </c>
      <c r="CB81" s="480"/>
      <c r="CC81" s="479"/>
      <c r="CD81" s="498"/>
      <c r="CE81" s="499"/>
      <c r="CF81" s="500"/>
      <c r="CG81" s="483" t="str">
        <f>IFERROR(ROUNDUP(CB81/INDEX(bhpc_data[units_per_carton],MATCH(BZ81,bhpc_data[sku],0)),0),"")</f>
        <v/>
      </c>
      <c r="CH81" s="484" t="str">
        <f>IFERROR(ROUNDUP(CD81/INDEX(bhpc_data[units_per_carton],MATCH(BZ81,bhpc_data[sku],0)),0),"")</f>
        <v/>
      </c>
      <c r="CI81" s="484" t="str">
        <f>IFERROR(ROUNDUP(CF81/INDEX(bhpc_data[units_per_carton],MATCH(BZ81,bhpc_data[sku])),0),"")</f>
        <v/>
      </c>
      <c r="CJ81" s="484" t="str">
        <f>IFERROR(((CB81+CD81+CF81)/INDEX(bhpc_data[units_per_carton],MATCH(BZ81,bhpc_data[sku],0)))*INDEX(bhpc_data[net_weight],MATCH(BZ81,bhpc_data[sku],0)),"")</f>
        <v/>
      </c>
      <c r="CK81" s="484" t="str">
        <f>IFERROR(((CB81+CD81+CF81)/INDEX(bhpc_data[units_per_carton],MATCH(BZ81,bhpc_data[sku],0)))*INDEX(bhpc_data[gross_weight],MATCH(BZ81,bhpc_data[sku],0)),"")</f>
        <v/>
      </c>
      <c r="CL81" s="485" t="str">
        <f>IFERROR((CB81+CD81+CF81)/INDEX(bhpc_data[units_per_carton],MATCH(BZ81,bhpc_data[sku],0))*INDEX(bhpc_data[lenght],MATCH(BZ81,bhpc_data[sku],0))*INDEX(bhpc_data[width],MATCH(BZ81,bhpc_data[sku],0))*INDEX(bhpc_data[height],MATCH(BZ81,bhpc_data[sku],0))/1000000000,"")</f>
        <v/>
      </c>
      <c r="CM81" s="486" t="str">
        <f>IFERROR(INDEX(bhpc_data[category],MATCH(BZ81,bhpc_data[sku],0)),"")</f>
        <v/>
      </c>
      <c r="CN81" s="486" t="str">
        <f>IFERROR(INDEX(bhpc_data[size1],MATCH(BZ81,bhpc_data[sku],0)),"")</f>
        <v/>
      </c>
      <c r="CO81" s="487" t="str">
        <f>IFERROR(INDEX(bhpc_data[hs_code],MATCH(BZ81,bhpc_data[sku],0)),"")</f>
        <v/>
      </c>
      <c r="CP81" s="500"/>
      <c r="CQ81" s="488" t="str">
        <f>IFERROR(IF(BZ81="","",IF($BX$15="SALE",INDEX(inventory[COSTO UNITARIO],MATCH(BZ81,inventory[ARTICOLO],0)),IF($BX$15="SAMPLING",INDEX(inventory[COSTO UNITARIO],MATCH(BZ81,inventory[ARTICOLO],0)),""))),"")</f>
        <v/>
      </c>
      <c r="CR81" s="488" t="str">
        <f t="shared" si="8"/>
        <v/>
      </c>
      <c r="CS81" s="489" t="str">
        <f t="shared" si="9"/>
        <v/>
      </c>
      <c r="CT81" s="573" t="str">
        <f t="shared" si="10"/>
        <v/>
      </c>
      <c r="DA81" s="350" t="str">
        <f>IFERROR(VLOOKUP(BZ81,bhpc_data[],22,FALSE),"")</f>
        <v/>
      </c>
      <c r="EE81" s="541" t="str" cm="1">
        <f t="array" ref="EE81">IFERROR(IF($EC$9="",IF($EC$11="",IF($EC$13="",INDEX(bhpc_data[sku],SMALL(MATCH(ROW(bhpc_data[sku]),ROW(bhpc_data[sku])),ROWS($A$15:A86)+$B$3)),INDEX(bhpc_data[sku],SMALL(IF(ISNUMBER(MATCH(bhpc_data[size1],$EC$13,0)),MATCH(ROW(bhpc_data[sku]),ROW(bhpc_data[sku])),""),ROWS($A$15:A86)+$B$3))),IF($EC$13="",INDEX(bhpc_data[sku],SMALL(IF(ISNUMBER(MATCH(bhpc_data[sex],$EC$11,0)),MATCH(ROW(bhpc_data[sku]),ROW(bhpc_data[sku])),""),ROWS($A$15:A86)+$B$3)),INDEX(bhpc_data[sku],SMALL(IF(ISNUMBER(MATCH(bhpc_data[sex],$EC$11,0)*MATCH(bhpc_data[size1],$EC$13,0)),MATCH(ROW(bhpc_data[sku]),ROW(bhpc_data[sku])),""),ROWS($A$15:A86)+$B$3)))),IF($EC$11="",IF($EC$13="",INDEX(bhpc_data[sku],SMALL(IF(ISNUMBER(MATCH(bhpc_data[category],$EC$9,0)),MATCH(ROW(bhpc_data[sku]),ROW(bhpc_data[sku])),""),ROWS($A$15:A86)+$B$3)),INDEX(bhpc_data[sku],SMALL(IF(ISNUMBER(MATCH(bhpc_data[category],$EC$9,0)*MATCH(bhpc_data[size1],$EC$13,0)),MATCH(ROW(bhpc_data[sku]),ROW(bhpc_data[sku])),""),ROWS($A$15:A86)+$B$3))),IF($EC$13="",INDEX(bhpc_data[sku],SMALL(IF(ISNUMBER(MATCH(bhpc_data[category],$EC$9,0)*MATCH(bhpc_data[sex],$EC$11,0)),MATCH(ROW(bhpc_data[sku]),ROW(bhpc_data[sku])),""),ROWS($A$15:A86)+$B$3)),INDEX(bhpc_data[sku],SMALL(IF(ISNUMBER(MATCH(bhpc_data[category],$EC$9,0)*MATCH(bhpc_data[sex],$EC$11,0)*MATCH(bhpc_data[size1],$EC$13,0)),MATCH(ROW(bhpc_data[sku]),ROW(bhpc_data[sku])),""),ROWS($A$15:A86)+$B$3))))),"")</f>
        <v>P06013</v>
      </c>
      <c r="EF81" s="542" t="str" cm="1">
        <f t="array" ref="EF81">IFERROR(IF($EC$9="",IF($EC$11="",IF($EC$13="",INDEX(bhpc_data[description],SMALL(MATCH(ROW(bhpc_data[sku]),ROW(bhpc_data[sku])),ROWS($A$15:A86)+$B$3)),INDEX(bhpc_data[description],SMALL(IF(ISNUMBER(MATCH(bhpc_data[size1],$EC$13,0)),MATCH(ROW(bhpc_data[sku]),ROW(bhpc_data[sku])),""),ROWS($A$15:A86)+$B$3))),IF($EC$13="",INDEX(bhpc_data[description],SMALL(IF(ISNUMBER(MATCH(bhpc_data[sex],$EC$11,0)),MATCH(ROW(bhpc_data[sku]),ROW(bhpc_data[sku])),""),ROWS($A$15:A86)+$B$3)),INDEX(bhpc_data[description],SMALL(IF(ISNUMBER(MATCH(bhpc_data[sex],$EC$11,0)*MATCH(bhpc_data[size1],$EC$13,0)),MATCH(ROW(bhpc_data[sku]),ROW(bhpc_data[sku])),""),ROWS($A$15:A86)+$B$3)))),IF($EC$11="",IF($EC$13="",INDEX(bhpc_data[description],SMALL(IF(ISNUMBER(MATCH(bhpc_data[category],$EC$9,0)),MATCH(ROW(bhpc_data[sku]),ROW(bhpc_data[sku])),""),ROWS($A$15:A86)+$B$3)),INDEX(bhpc_data[description],SMALL(IF(ISNUMBER(MATCH(bhpc_data[category],$EC$9,0)*MATCH(bhpc_data[size1],$EC$13,0)),MATCH(ROW(bhpc_data[sku]),ROW(bhpc_data[sku])),""),ROWS($A$15:A86)+$B$3))),IF($EC$13="",INDEX(bhpc_data[description],SMALL(IF(ISNUMBER(MATCH(bhpc_data[category],$EC$9,0)*MATCH(bhpc_data[sex],$EC$11,0)),MATCH(ROW(bhpc_data[sku]),ROW(bhpc_data[sku])),""),ROWS($A$15:A86)+$B$3)),INDEX(bhpc_data[description],SMALL(IF(ISNUMBER(MATCH(bhpc_data[category],$EC$9,0)*MATCH(bhpc_data[sex],$EC$11,0)*MATCH(bhpc_data[size1],$EC$13,0)),MATCH(ROW(bhpc_data[sku]),ROW(bhpc_data[sku])),""),ROWS($A$15:A86)+$B$3))))),"")</f>
        <v>BHPC HERITAGE OUD DEO 300ML</v>
      </c>
      <c r="EG81" s="543">
        <f>IFERROR(IF('BHPC MANAGER'!$EE81="","",INDEX(inventory[ESISTENZA],MATCH('BHPC MANAGER'!$EE81,inventory[ARTICOLO],0))),0)</f>
        <v>0</v>
      </c>
      <c r="EH81" s="544">
        <v>10032</v>
      </c>
      <c r="EI81" s="544">
        <f t="shared" si="11"/>
        <v>10032</v>
      </c>
      <c r="EJ81" s="545">
        <v>0</v>
      </c>
      <c r="EK81" s="546">
        <f t="shared" si="12"/>
        <v>10032</v>
      </c>
    </row>
    <row r="82" spans="59:141" ht="15" customHeight="1" x14ac:dyDescent="0.35">
      <c r="BG82" s="245"/>
      <c r="BK82" s="366"/>
      <c r="BL82" s="367"/>
      <c r="BM82" s="368"/>
      <c r="BN82" s="367"/>
      <c r="BO82" s="368"/>
      <c r="BZ82" s="497"/>
      <c r="CA82" s="477" t="str">
        <f>IF(BZ82="","",INDEX(bhpc_data[description],MATCH(BZ82,bhpc_data[sku],0)))</f>
        <v/>
      </c>
      <c r="CB82" s="480"/>
      <c r="CC82" s="479"/>
      <c r="CD82" s="498"/>
      <c r="CE82" s="499"/>
      <c r="CF82" s="500"/>
      <c r="CG82" s="483" t="str">
        <f>IFERROR(ROUNDUP(CB82/INDEX(bhpc_data[units_per_carton],MATCH(BZ82,bhpc_data[sku],0)),0),"")</f>
        <v/>
      </c>
      <c r="CH82" s="484" t="str">
        <f>IFERROR(ROUNDUP(CD82/INDEX(bhpc_data[units_per_carton],MATCH(BZ82,bhpc_data[sku],0)),0),"")</f>
        <v/>
      </c>
      <c r="CI82" s="484" t="str">
        <f>IFERROR(ROUNDUP(CF82/INDEX(bhpc_data[units_per_carton],MATCH(BZ82,bhpc_data[sku])),0),"")</f>
        <v/>
      </c>
      <c r="CJ82" s="484" t="str">
        <f>IFERROR(((CB82+CD82+CF82)/INDEX(bhpc_data[units_per_carton],MATCH(BZ82,bhpc_data[sku],0)))*INDEX(bhpc_data[net_weight],MATCH(BZ82,bhpc_data[sku],0)),"")</f>
        <v/>
      </c>
      <c r="CK82" s="484" t="str">
        <f>IFERROR(((CB82+CD82+CF82)/INDEX(bhpc_data[units_per_carton],MATCH(BZ82,bhpc_data[sku],0)))*INDEX(bhpc_data[gross_weight],MATCH(BZ82,bhpc_data[sku],0)),"")</f>
        <v/>
      </c>
      <c r="CL82" s="485" t="str">
        <f>IFERROR((CB82+CD82+CF82)/INDEX(bhpc_data[units_per_carton],MATCH(BZ82,bhpc_data[sku],0))*INDEX(bhpc_data[lenght],MATCH(BZ82,bhpc_data[sku],0))*INDEX(bhpc_data[width],MATCH(BZ82,bhpc_data[sku],0))*INDEX(bhpc_data[height],MATCH(BZ82,bhpc_data[sku],0))/1000000000,"")</f>
        <v/>
      </c>
      <c r="CM82" s="486" t="str">
        <f>IFERROR(INDEX(bhpc_data[category],MATCH(BZ82,bhpc_data[sku],0)),"")</f>
        <v/>
      </c>
      <c r="CN82" s="486" t="str">
        <f>IFERROR(INDEX(bhpc_data[size1],MATCH(BZ82,bhpc_data[sku],0)),"")</f>
        <v/>
      </c>
      <c r="CO82" s="487" t="str">
        <f>IFERROR(INDEX(bhpc_data[hs_code],MATCH(BZ82,bhpc_data[sku],0)),"")</f>
        <v/>
      </c>
      <c r="CP82" s="500"/>
      <c r="CQ82" s="488" t="str">
        <f>IFERROR(IF(BZ82="","",IF($BX$15="SALE",INDEX(inventory[COSTO UNITARIO],MATCH(BZ82,inventory[ARTICOLO],0)),IF($BX$15="SAMPLING",INDEX(inventory[COSTO UNITARIO],MATCH(BZ82,inventory[ARTICOLO],0)),""))),"")</f>
        <v/>
      </c>
      <c r="CR82" s="488" t="str">
        <f t="shared" si="8"/>
        <v/>
      </c>
      <c r="CS82" s="489" t="str">
        <f t="shared" si="9"/>
        <v/>
      </c>
      <c r="CT82" s="573" t="str">
        <f t="shared" si="10"/>
        <v/>
      </c>
      <c r="DA82" s="350" t="str">
        <f>IFERROR(VLOOKUP(BZ82,bhpc_data[],22,FALSE),"")</f>
        <v/>
      </c>
      <c r="EE82" s="547" t="str" cm="1">
        <f t="array" ref="EE82">IFERROR(IF($EC$9="",IF($EC$11="",IF($EC$13="",INDEX(bhpc_data[sku],SMALL(MATCH(ROW(bhpc_data[sku]),ROW(bhpc_data[sku])),ROWS($A$15:A87)+$B$3)),INDEX(bhpc_data[sku],SMALL(IF(ISNUMBER(MATCH(bhpc_data[size1],$EC$13,0)),MATCH(ROW(bhpc_data[sku]),ROW(bhpc_data[sku])),""),ROWS($A$15:A87)+$B$3))),IF($EC$13="",INDEX(bhpc_data[sku],SMALL(IF(ISNUMBER(MATCH(bhpc_data[sex],$EC$11,0)),MATCH(ROW(bhpc_data[sku]),ROW(bhpc_data[sku])),""),ROWS($A$15:A87)+$B$3)),INDEX(bhpc_data[sku],SMALL(IF(ISNUMBER(MATCH(bhpc_data[sex],$EC$11,0)*MATCH(bhpc_data[size1],$EC$13,0)),MATCH(ROW(bhpc_data[sku]),ROW(bhpc_data[sku])),""),ROWS($A$15:A87)+$B$3)))),IF($EC$11="",IF($EC$13="",INDEX(bhpc_data[sku],SMALL(IF(ISNUMBER(MATCH(bhpc_data[category],$EC$9,0)),MATCH(ROW(bhpc_data[sku]),ROW(bhpc_data[sku])),""),ROWS($A$15:A87)+$B$3)),INDEX(bhpc_data[sku],SMALL(IF(ISNUMBER(MATCH(bhpc_data[category],$EC$9,0)*MATCH(bhpc_data[size1],$EC$13,0)),MATCH(ROW(bhpc_data[sku]),ROW(bhpc_data[sku])),""),ROWS($A$15:A87)+$B$3))),IF($EC$13="",INDEX(bhpc_data[sku],SMALL(IF(ISNUMBER(MATCH(bhpc_data[category],$EC$9,0)*MATCH(bhpc_data[sex],$EC$11,0)),MATCH(ROW(bhpc_data[sku]),ROW(bhpc_data[sku])),""),ROWS($A$15:A87)+$B$3)),INDEX(bhpc_data[sku],SMALL(IF(ISNUMBER(MATCH(bhpc_data[category],$EC$9,0)*MATCH(bhpc_data[sex],$EC$11,0)*MATCH(bhpc_data[size1],$EC$13,0)),MATCH(ROW(bhpc_data[sku]),ROW(bhpc_data[sku])),""),ROWS($A$15:A87)+$B$3))))),"")</f>
        <v>P06014</v>
      </c>
      <c r="EF82" s="548" t="str" cm="1">
        <f t="array" ref="EF82">IFERROR(IF($EC$9="",IF($EC$11="",IF($EC$13="",INDEX(bhpc_data[description],SMALL(MATCH(ROW(bhpc_data[sku]),ROW(bhpc_data[sku])),ROWS($A$15:A87)+$B$3)),INDEX(bhpc_data[description],SMALL(IF(ISNUMBER(MATCH(bhpc_data[size1],$EC$13,0)),MATCH(ROW(bhpc_data[sku]),ROW(bhpc_data[sku])),""),ROWS($A$15:A87)+$B$3))),IF($EC$13="",INDEX(bhpc_data[description],SMALL(IF(ISNUMBER(MATCH(bhpc_data[sex],$EC$11,0)),MATCH(ROW(bhpc_data[sku]),ROW(bhpc_data[sku])),""),ROWS($A$15:A87)+$B$3)),INDEX(bhpc_data[description],SMALL(IF(ISNUMBER(MATCH(bhpc_data[sex],$EC$11,0)*MATCH(bhpc_data[size1],$EC$13,0)),MATCH(ROW(bhpc_data[sku]),ROW(bhpc_data[sku])),""),ROWS($A$15:A87)+$B$3)))),IF($EC$11="",IF($EC$13="",INDEX(bhpc_data[description],SMALL(IF(ISNUMBER(MATCH(bhpc_data[category],$EC$9,0)),MATCH(ROW(bhpc_data[sku]),ROW(bhpc_data[sku])),""),ROWS($A$15:A87)+$B$3)),INDEX(bhpc_data[description],SMALL(IF(ISNUMBER(MATCH(bhpc_data[category],$EC$9,0)*MATCH(bhpc_data[size1],$EC$13,0)),MATCH(ROW(bhpc_data[sku]),ROW(bhpc_data[sku])),""),ROWS($A$15:A87)+$B$3))),IF($EC$13="",INDEX(bhpc_data[description],SMALL(IF(ISNUMBER(MATCH(bhpc_data[category],$EC$9,0)*MATCH(bhpc_data[sex],$EC$11,0)),MATCH(ROW(bhpc_data[sku]),ROW(bhpc_data[sku])),""),ROWS($A$15:A87)+$B$3)),INDEX(bhpc_data[description],SMALL(IF(ISNUMBER(MATCH(bhpc_data[category],$EC$9,0)*MATCH(bhpc_data[sex],$EC$11,0)*MATCH(bhpc_data[size1],$EC$13,0)),MATCH(ROW(bhpc_data[sku]),ROW(bhpc_data[sku])),""),ROWS($A$15:A87)+$B$3))))),"")</f>
        <v>BHPC TOUR DEO 300ML</v>
      </c>
      <c r="EG82" s="549">
        <f>IFERROR(IF('BHPC MANAGER'!$EE82="","",INDEX(inventory[ESISTENZA],MATCH('BHPC MANAGER'!$EE82,inventory[ARTICOLO],0))),0)</f>
        <v>0</v>
      </c>
      <c r="EH82" s="550">
        <v>10032</v>
      </c>
      <c r="EI82" s="550">
        <f t="shared" si="11"/>
        <v>10032</v>
      </c>
      <c r="EJ82" s="551">
        <v>0</v>
      </c>
      <c r="EK82" s="552">
        <f t="shared" si="12"/>
        <v>10032</v>
      </c>
    </row>
    <row r="83" spans="59:141" ht="15" customHeight="1" x14ac:dyDescent="0.35">
      <c r="BG83" s="245"/>
      <c r="BK83" s="366"/>
      <c r="BL83" s="367"/>
      <c r="BM83" s="368"/>
      <c r="BN83" s="367"/>
      <c r="BO83" s="368"/>
      <c r="BZ83" s="497"/>
      <c r="CA83" s="477" t="str">
        <f>IF(BZ83="","",INDEX(bhpc_data[description],MATCH(BZ83,bhpc_data[sku],0)))</f>
        <v/>
      </c>
      <c r="CB83" s="480"/>
      <c r="CC83" s="479"/>
      <c r="CD83" s="498"/>
      <c r="CE83" s="499"/>
      <c r="CF83" s="500"/>
      <c r="CG83" s="483" t="str">
        <f>IFERROR(ROUNDUP(CB83/INDEX(bhpc_data[units_per_carton],MATCH(BZ83,bhpc_data[sku],0)),0),"")</f>
        <v/>
      </c>
      <c r="CH83" s="484" t="str">
        <f>IFERROR(ROUNDUP(CD83/INDEX(bhpc_data[units_per_carton],MATCH(BZ83,bhpc_data[sku],0)),0),"")</f>
        <v/>
      </c>
      <c r="CI83" s="484" t="str">
        <f>IFERROR(ROUNDUP(CF83/INDEX(bhpc_data[units_per_carton],MATCH(BZ83,bhpc_data[sku])),0),"")</f>
        <v/>
      </c>
      <c r="CJ83" s="484" t="str">
        <f>IFERROR(((CB83+CD83+CF83)/INDEX(bhpc_data[units_per_carton],MATCH(BZ83,bhpc_data[sku],0)))*INDEX(bhpc_data[net_weight],MATCH(BZ83,bhpc_data[sku],0)),"")</f>
        <v/>
      </c>
      <c r="CK83" s="484" t="str">
        <f>IFERROR(((CB83+CD83+CF83)/INDEX(bhpc_data[units_per_carton],MATCH(BZ83,bhpc_data[sku],0)))*INDEX(bhpc_data[gross_weight],MATCH(BZ83,bhpc_data[sku],0)),"")</f>
        <v/>
      </c>
      <c r="CL83" s="485" t="str">
        <f>IFERROR((CB83+CD83+CF83)/INDEX(bhpc_data[units_per_carton],MATCH(BZ83,bhpc_data[sku],0))*INDEX(bhpc_data[lenght],MATCH(BZ83,bhpc_data[sku],0))*INDEX(bhpc_data[width],MATCH(BZ83,bhpc_data[sku],0))*INDEX(bhpc_data[height],MATCH(BZ83,bhpc_data[sku],0))/1000000000,"")</f>
        <v/>
      </c>
      <c r="CM83" s="486" t="str">
        <f>IFERROR(INDEX(bhpc_data[category],MATCH(BZ83,bhpc_data[sku],0)),"")</f>
        <v/>
      </c>
      <c r="CN83" s="486" t="str">
        <f>IFERROR(INDEX(bhpc_data[size1],MATCH(BZ83,bhpc_data[sku],0)),"")</f>
        <v/>
      </c>
      <c r="CO83" s="487" t="str">
        <f>IFERROR(INDEX(bhpc_data[hs_code],MATCH(BZ83,bhpc_data[sku],0)),"")</f>
        <v/>
      </c>
      <c r="CP83" s="500"/>
      <c r="CQ83" s="488" t="str">
        <f>IFERROR(IF(BZ83="","",IF($BX$15="SALE",INDEX(inventory[COSTO UNITARIO],MATCH(BZ83,inventory[ARTICOLO],0)),IF($BX$15="SAMPLING",INDEX(inventory[COSTO UNITARIO],MATCH(BZ83,inventory[ARTICOLO],0)),""))),"")</f>
        <v/>
      </c>
      <c r="CR83" s="488" t="str">
        <f t="shared" si="8"/>
        <v/>
      </c>
      <c r="CS83" s="489" t="str">
        <f t="shared" si="9"/>
        <v/>
      </c>
      <c r="CT83" s="573" t="str">
        <f t="shared" si="10"/>
        <v/>
      </c>
      <c r="DA83" s="350" t="str">
        <f>IFERROR(VLOOKUP(BZ83,bhpc_data[],22,FALSE),"")</f>
        <v/>
      </c>
      <c r="EE83" s="541" t="str" cm="1">
        <f t="array" ref="EE83">IFERROR(IF($EC$9="",IF($EC$11="",IF($EC$13="",INDEX(bhpc_data[sku],SMALL(MATCH(ROW(bhpc_data[sku]),ROW(bhpc_data[sku])),ROWS($A$15:A88)+$B$3)),INDEX(bhpc_data[sku],SMALL(IF(ISNUMBER(MATCH(bhpc_data[size1],$EC$13,0)),MATCH(ROW(bhpc_data[sku]),ROW(bhpc_data[sku])),""),ROWS($A$15:A88)+$B$3))),IF($EC$13="",INDEX(bhpc_data[sku],SMALL(IF(ISNUMBER(MATCH(bhpc_data[sex],$EC$11,0)),MATCH(ROW(bhpc_data[sku]),ROW(bhpc_data[sku])),""),ROWS($A$15:A88)+$B$3)),INDEX(bhpc_data[sku],SMALL(IF(ISNUMBER(MATCH(bhpc_data[sex],$EC$11,0)*MATCH(bhpc_data[size1],$EC$13,0)),MATCH(ROW(bhpc_data[sku]),ROW(bhpc_data[sku])),""),ROWS($A$15:A88)+$B$3)))),IF($EC$11="",IF($EC$13="",INDEX(bhpc_data[sku],SMALL(IF(ISNUMBER(MATCH(bhpc_data[category],$EC$9,0)),MATCH(ROW(bhpc_data[sku]),ROW(bhpc_data[sku])),""),ROWS($A$15:A88)+$B$3)),INDEX(bhpc_data[sku],SMALL(IF(ISNUMBER(MATCH(bhpc_data[category],$EC$9,0)*MATCH(bhpc_data[size1],$EC$13,0)),MATCH(ROW(bhpc_data[sku]),ROW(bhpc_data[sku])),""),ROWS($A$15:A88)+$B$3))),IF($EC$13="",INDEX(bhpc_data[sku],SMALL(IF(ISNUMBER(MATCH(bhpc_data[category],$EC$9,0)*MATCH(bhpc_data[sex],$EC$11,0)),MATCH(ROW(bhpc_data[sku]),ROW(bhpc_data[sku])),""),ROWS($A$15:A88)+$B$3)),INDEX(bhpc_data[sku],SMALL(IF(ISNUMBER(MATCH(bhpc_data[category],$EC$9,0)*MATCH(bhpc_data[sex],$EC$11,0)*MATCH(bhpc_data[size1],$EC$13,0)),MATCH(ROW(bhpc_data[sku]),ROW(bhpc_data[sku])),""),ROWS($A$15:A88)+$B$3))))),"")</f>
        <v>P06015</v>
      </c>
      <c r="EF83" s="542" t="str" cm="1">
        <f t="array" ref="EF83">IFERROR(IF($EC$9="",IF($EC$11="",IF($EC$13="",INDEX(bhpc_data[description],SMALL(MATCH(ROW(bhpc_data[sku]),ROW(bhpc_data[sku])),ROWS($A$15:A88)+$B$3)),INDEX(bhpc_data[description],SMALL(IF(ISNUMBER(MATCH(bhpc_data[size1],$EC$13,0)),MATCH(ROW(bhpc_data[sku]),ROW(bhpc_data[sku])),""),ROWS($A$15:A88)+$B$3))),IF($EC$13="",INDEX(bhpc_data[description],SMALL(IF(ISNUMBER(MATCH(bhpc_data[sex],$EC$11,0)),MATCH(ROW(bhpc_data[sku]),ROW(bhpc_data[sku])),""),ROWS($A$15:A88)+$B$3)),INDEX(bhpc_data[description],SMALL(IF(ISNUMBER(MATCH(bhpc_data[sex],$EC$11,0)*MATCH(bhpc_data[size1],$EC$13,0)),MATCH(ROW(bhpc_data[sku]),ROW(bhpc_data[sku])),""),ROWS($A$15:A88)+$B$3)))),IF($EC$11="",IF($EC$13="",INDEX(bhpc_data[description],SMALL(IF(ISNUMBER(MATCH(bhpc_data[category],$EC$9,0)),MATCH(ROW(bhpc_data[sku]),ROW(bhpc_data[sku])),""),ROWS($A$15:A88)+$B$3)),INDEX(bhpc_data[description],SMALL(IF(ISNUMBER(MATCH(bhpc_data[category],$EC$9,0)*MATCH(bhpc_data[size1],$EC$13,0)),MATCH(ROW(bhpc_data[sku]),ROW(bhpc_data[sku])),""),ROWS($A$15:A88)+$B$3))),IF($EC$13="",INDEX(bhpc_data[description],SMALL(IF(ISNUMBER(MATCH(bhpc_data[category],$EC$9,0)*MATCH(bhpc_data[sex],$EC$11,0)),MATCH(ROW(bhpc_data[sku]),ROW(bhpc_data[sku])),""),ROWS($A$15:A88)+$B$3)),INDEX(bhpc_data[description],SMALL(IF(ISNUMBER(MATCH(bhpc_data[category],$EC$9,0)*MATCH(bhpc_data[sex],$EC$11,0)*MATCH(bhpc_data[size1],$EC$13,0)),MATCH(ROW(bhpc_data[sku]),ROW(bhpc_data[sku])),""),ROWS($A$15:A88)+$B$3))))),"")</f>
        <v>BHPC TITAN DEO 300ML</v>
      </c>
      <c r="EG83" s="543">
        <f>IFERROR(IF('BHPC MANAGER'!$EE83="","",INDEX(inventory[ESISTENZA],MATCH('BHPC MANAGER'!$EE83,inventory[ARTICOLO],0))),0)</f>
        <v>0</v>
      </c>
      <c r="EH83" s="544">
        <v>10032</v>
      </c>
      <c r="EI83" s="544">
        <f t="shared" si="11"/>
        <v>10032</v>
      </c>
      <c r="EJ83" s="545">
        <v>0</v>
      </c>
      <c r="EK83" s="546">
        <f t="shared" si="12"/>
        <v>10032</v>
      </c>
    </row>
    <row r="84" spans="59:141" ht="15" customHeight="1" x14ac:dyDescent="0.35">
      <c r="BK84" s="366"/>
      <c r="BL84" s="367"/>
      <c r="BM84" s="368"/>
      <c r="BN84" s="367"/>
      <c r="BO84" s="368"/>
      <c r="BZ84" s="497"/>
      <c r="CA84" s="477" t="str">
        <f>IF(BZ84="","",INDEX(bhpc_data[description],MATCH(BZ84,bhpc_data[sku],0)))</f>
        <v/>
      </c>
      <c r="CB84" s="480"/>
      <c r="CC84" s="479"/>
      <c r="CD84" s="498"/>
      <c r="CE84" s="499"/>
      <c r="CF84" s="500"/>
      <c r="CG84" s="483" t="str">
        <f>IFERROR(ROUNDUP(CB84/INDEX(bhpc_data[units_per_carton],MATCH(BZ84,bhpc_data[sku],0)),0),"")</f>
        <v/>
      </c>
      <c r="CH84" s="484" t="str">
        <f>IFERROR(ROUNDUP(CD84/INDEX(bhpc_data[units_per_carton],MATCH(BZ84,bhpc_data[sku],0)),0),"")</f>
        <v/>
      </c>
      <c r="CI84" s="484" t="str">
        <f>IFERROR(ROUNDUP(CF84/INDEX(bhpc_data[units_per_carton],MATCH(BZ84,bhpc_data[sku])),0),"")</f>
        <v/>
      </c>
      <c r="CJ84" s="484" t="str">
        <f>IFERROR(((CB84+CD84+CF84)/INDEX(bhpc_data[units_per_carton],MATCH(BZ84,bhpc_data[sku],0)))*INDEX(bhpc_data[net_weight],MATCH(BZ84,bhpc_data[sku],0)),"")</f>
        <v/>
      </c>
      <c r="CK84" s="484" t="str">
        <f>IFERROR(((CB84+CD84+CF84)/INDEX(bhpc_data[units_per_carton],MATCH(BZ84,bhpc_data[sku],0)))*INDEX(bhpc_data[gross_weight],MATCH(BZ84,bhpc_data[sku],0)),"")</f>
        <v/>
      </c>
      <c r="CL84" s="485" t="str">
        <f>IFERROR((CB84+CD84+CF84)/INDEX(bhpc_data[units_per_carton],MATCH(BZ84,bhpc_data[sku],0))*INDEX(bhpc_data[lenght],MATCH(BZ84,bhpc_data[sku],0))*INDEX(bhpc_data[width],MATCH(BZ84,bhpc_data[sku],0))*INDEX(bhpc_data[height],MATCH(BZ84,bhpc_data[sku],0))/1000000000,"")</f>
        <v/>
      </c>
      <c r="CM84" s="486" t="str">
        <f>IFERROR(INDEX(bhpc_data[category],MATCH(BZ84,bhpc_data[sku],0)),"")</f>
        <v/>
      </c>
      <c r="CN84" s="486" t="str">
        <f>IFERROR(INDEX(bhpc_data[size1],MATCH(BZ84,bhpc_data[sku],0)),"")</f>
        <v/>
      </c>
      <c r="CO84" s="487" t="str">
        <f>IFERROR(INDEX(bhpc_data[hs_code],MATCH(BZ84,bhpc_data[sku],0)),"")</f>
        <v/>
      </c>
      <c r="CP84" s="500"/>
      <c r="CQ84" s="488" t="str">
        <f>IFERROR(IF(BZ84="","",IF($BX$15="SALE",INDEX(inventory[COSTO UNITARIO],MATCH(BZ84,inventory[ARTICOLO],0)),IF($BX$15="SAMPLING",INDEX(inventory[COSTO UNITARIO],MATCH(BZ84,inventory[ARTICOLO],0)),""))),"")</f>
        <v/>
      </c>
      <c r="CR84" s="488" t="str">
        <f t="shared" si="8"/>
        <v/>
      </c>
      <c r="CS84" s="489" t="str">
        <f t="shared" si="9"/>
        <v/>
      </c>
      <c r="CT84" s="573" t="str">
        <f t="shared" si="10"/>
        <v/>
      </c>
      <c r="DA84" s="350" t="str">
        <f>IFERROR(VLOOKUP(BZ84,bhpc_data[],22,FALSE),"")</f>
        <v/>
      </c>
      <c r="EE84" s="547" t="str" cm="1">
        <f t="array" ref="EE84">IFERROR(IF($EC$9="",IF($EC$11="",IF($EC$13="",INDEX(bhpc_data[sku],SMALL(MATCH(ROW(bhpc_data[sku]),ROW(bhpc_data[sku])),ROWS($A$15:A89)+$B$3)),INDEX(bhpc_data[sku],SMALL(IF(ISNUMBER(MATCH(bhpc_data[size1],$EC$13,0)),MATCH(ROW(bhpc_data[sku]),ROW(bhpc_data[sku])),""),ROWS($A$15:A89)+$B$3))),IF($EC$13="",INDEX(bhpc_data[sku],SMALL(IF(ISNUMBER(MATCH(bhpc_data[sex],$EC$11,0)),MATCH(ROW(bhpc_data[sku]),ROW(bhpc_data[sku])),""),ROWS($A$15:A89)+$B$3)),INDEX(bhpc_data[sku],SMALL(IF(ISNUMBER(MATCH(bhpc_data[sex],$EC$11,0)*MATCH(bhpc_data[size1],$EC$13,0)),MATCH(ROW(bhpc_data[sku]),ROW(bhpc_data[sku])),""),ROWS($A$15:A89)+$B$3)))),IF($EC$11="",IF($EC$13="",INDEX(bhpc_data[sku],SMALL(IF(ISNUMBER(MATCH(bhpc_data[category],$EC$9,0)),MATCH(ROW(bhpc_data[sku]),ROW(bhpc_data[sku])),""),ROWS($A$15:A89)+$B$3)),INDEX(bhpc_data[sku],SMALL(IF(ISNUMBER(MATCH(bhpc_data[category],$EC$9,0)*MATCH(bhpc_data[size1],$EC$13,0)),MATCH(ROW(bhpc_data[sku]),ROW(bhpc_data[sku])),""),ROWS($A$15:A89)+$B$3))),IF($EC$13="",INDEX(bhpc_data[sku],SMALL(IF(ISNUMBER(MATCH(bhpc_data[category],$EC$9,0)*MATCH(bhpc_data[sex],$EC$11,0)),MATCH(ROW(bhpc_data[sku]),ROW(bhpc_data[sku])),""),ROWS($A$15:A89)+$B$3)),INDEX(bhpc_data[sku],SMALL(IF(ISNUMBER(MATCH(bhpc_data[category],$EC$9,0)*MATCH(bhpc_data[sex],$EC$11,0)*MATCH(bhpc_data[size1],$EC$13,0)),MATCH(ROW(bhpc_data[sku]),ROW(bhpc_data[sku])),""),ROWS($A$15:A89)+$B$3))))),"")</f>
        <v>P06020</v>
      </c>
      <c r="EF84" s="548" t="str" cm="1">
        <f t="array" ref="EF84">IFERROR(IF($EC$9="",IF($EC$11="",IF($EC$13="",INDEX(bhpc_data[description],SMALL(MATCH(ROW(bhpc_data[sku]),ROW(bhpc_data[sku])),ROWS($A$15:A89)+$B$3)),INDEX(bhpc_data[description],SMALL(IF(ISNUMBER(MATCH(bhpc_data[size1],$EC$13,0)),MATCH(ROW(bhpc_data[sku]),ROW(bhpc_data[sku])),""),ROWS($A$15:A89)+$B$3))),IF($EC$13="",INDEX(bhpc_data[description],SMALL(IF(ISNUMBER(MATCH(bhpc_data[sex],$EC$11,0)),MATCH(ROW(bhpc_data[sku]),ROW(bhpc_data[sku])),""),ROWS($A$15:A89)+$B$3)),INDEX(bhpc_data[description],SMALL(IF(ISNUMBER(MATCH(bhpc_data[sex],$EC$11,0)*MATCH(bhpc_data[size1],$EC$13,0)),MATCH(ROW(bhpc_data[sku]),ROW(bhpc_data[sku])),""),ROWS($A$15:A89)+$B$3)))),IF($EC$11="",IF($EC$13="",INDEX(bhpc_data[description],SMALL(IF(ISNUMBER(MATCH(bhpc_data[category],$EC$9,0)),MATCH(ROW(bhpc_data[sku]),ROW(bhpc_data[sku])),""),ROWS($A$15:A89)+$B$3)),INDEX(bhpc_data[description],SMALL(IF(ISNUMBER(MATCH(bhpc_data[category],$EC$9,0)*MATCH(bhpc_data[size1],$EC$13,0)),MATCH(ROW(bhpc_data[sku]),ROW(bhpc_data[sku])),""),ROWS($A$15:A89)+$B$3))),IF($EC$13="",INDEX(bhpc_data[description],SMALL(IF(ISNUMBER(MATCH(bhpc_data[category],$EC$9,0)*MATCH(bhpc_data[sex],$EC$11,0)),MATCH(ROW(bhpc_data[sku]),ROW(bhpc_data[sku])),""),ROWS($A$15:A89)+$B$3)),INDEX(bhpc_data[description],SMALL(IF(ISNUMBER(MATCH(bhpc_data[category],$EC$9,0)*MATCH(bhpc_data[sex],$EC$11,0)*MATCH(bhpc_data[size1],$EC$13,0)),MATCH(ROW(bhpc_data[sku]),ROW(bhpc_data[sku])),""),ROWS($A$15:A89)+$B$3))))),"")</f>
        <v>BHPC PRESTIGE KNIGHT 100ML EDP MEN</v>
      </c>
      <c r="EG84" s="549">
        <f>IFERROR(IF('BHPC MANAGER'!$EE84="","",INDEX(inventory[ESISTENZA],MATCH('BHPC MANAGER'!$EE84,inventory[ARTICOLO],0))),0)</f>
        <v>0</v>
      </c>
      <c r="EH84" s="550">
        <v>-5265</v>
      </c>
      <c r="EI84" s="550">
        <f t="shared" si="11"/>
        <v>-5265</v>
      </c>
      <c r="EJ84" s="551">
        <v>0</v>
      </c>
      <c r="EK84" s="552">
        <f t="shared" si="12"/>
        <v>-5265</v>
      </c>
    </row>
    <row r="85" spans="59:141" ht="15" customHeight="1" x14ac:dyDescent="0.35">
      <c r="BK85" s="366"/>
      <c r="BL85" s="367"/>
      <c r="BM85" s="368"/>
      <c r="BN85" s="367"/>
      <c r="BO85" s="368"/>
      <c r="BZ85" s="497"/>
      <c r="CA85" s="477" t="str">
        <f>IF(BZ85="","",INDEX(bhpc_data[description],MATCH(BZ85,bhpc_data[sku],0)))</f>
        <v/>
      </c>
      <c r="CB85" s="480"/>
      <c r="CC85" s="479"/>
      <c r="CD85" s="498"/>
      <c r="CE85" s="499"/>
      <c r="CF85" s="500"/>
      <c r="CG85" s="483" t="str">
        <f>IFERROR(ROUNDUP(CB85/INDEX(bhpc_data[units_per_carton],MATCH(BZ85,bhpc_data[sku],0)),0),"")</f>
        <v/>
      </c>
      <c r="CH85" s="484" t="str">
        <f>IFERROR(ROUNDUP(CD85/INDEX(bhpc_data[units_per_carton],MATCH(BZ85,bhpc_data[sku],0)),0),"")</f>
        <v/>
      </c>
      <c r="CI85" s="484" t="str">
        <f>IFERROR(ROUNDUP(CF85/INDEX(bhpc_data[units_per_carton],MATCH(BZ85,bhpc_data[sku])),0),"")</f>
        <v/>
      </c>
      <c r="CJ85" s="484" t="str">
        <f>IFERROR(((CB85+CD85+CF85)/INDEX(bhpc_data[units_per_carton],MATCH(BZ85,bhpc_data[sku],0)))*INDEX(bhpc_data[net_weight],MATCH(BZ85,bhpc_data[sku],0)),"")</f>
        <v/>
      </c>
      <c r="CK85" s="484" t="str">
        <f>IFERROR(((CB85+CD85+CF85)/INDEX(bhpc_data[units_per_carton],MATCH(BZ85,bhpc_data[sku],0)))*INDEX(bhpc_data[gross_weight],MATCH(BZ85,bhpc_data[sku],0)),"")</f>
        <v/>
      </c>
      <c r="CL85" s="485" t="str">
        <f>IFERROR((CB85+CD85+CF85)/INDEX(bhpc_data[units_per_carton],MATCH(BZ85,bhpc_data[sku],0))*INDEX(bhpc_data[lenght],MATCH(BZ85,bhpc_data[sku],0))*INDEX(bhpc_data[width],MATCH(BZ85,bhpc_data[sku],0))*INDEX(bhpc_data[height],MATCH(BZ85,bhpc_data[sku],0))/1000000000,"")</f>
        <v/>
      </c>
      <c r="CM85" s="486" t="str">
        <f>IFERROR(INDEX(bhpc_data[category],MATCH(BZ85,bhpc_data[sku],0)),"")</f>
        <v/>
      </c>
      <c r="CN85" s="486" t="str">
        <f>IFERROR(INDEX(bhpc_data[size1],MATCH(BZ85,bhpc_data[sku],0)),"")</f>
        <v/>
      </c>
      <c r="CO85" s="487" t="str">
        <f>IFERROR(INDEX(bhpc_data[hs_code],MATCH(BZ85,bhpc_data[sku],0)),"")</f>
        <v/>
      </c>
      <c r="CP85" s="500"/>
      <c r="CQ85" s="488" t="str">
        <f>IFERROR(IF(BZ85="","",IF($BX$15="SALE",INDEX(inventory[COSTO UNITARIO],MATCH(BZ85,inventory[ARTICOLO],0)),IF($BX$15="SAMPLING",INDEX(inventory[COSTO UNITARIO],MATCH(BZ85,inventory[ARTICOLO],0)),""))),"")</f>
        <v/>
      </c>
      <c r="CR85" s="488" t="str">
        <f t="shared" si="8"/>
        <v/>
      </c>
      <c r="CS85" s="489" t="str">
        <f t="shared" si="9"/>
        <v/>
      </c>
      <c r="CT85" s="573" t="str">
        <f t="shared" si="10"/>
        <v/>
      </c>
      <c r="DA85" s="350" t="str">
        <f>IFERROR(VLOOKUP(BZ85,bhpc_data[],22,FALSE),"")</f>
        <v/>
      </c>
      <c r="EE85" s="541" t="str" cm="1">
        <f t="array" ref="EE85">IFERROR(IF($EC$9="",IF($EC$11="",IF($EC$13="",INDEX(bhpc_data[sku],SMALL(MATCH(ROW(bhpc_data[sku]),ROW(bhpc_data[sku])),ROWS($A$15:A90)+$B$3)),INDEX(bhpc_data[sku],SMALL(IF(ISNUMBER(MATCH(bhpc_data[size1],$EC$13,0)),MATCH(ROW(bhpc_data[sku]),ROW(bhpc_data[sku])),""),ROWS($A$15:A90)+$B$3))),IF($EC$13="",INDEX(bhpc_data[sku],SMALL(IF(ISNUMBER(MATCH(bhpc_data[sex],$EC$11,0)),MATCH(ROW(bhpc_data[sku]),ROW(bhpc_data[sku])),""),ROWS($A$15:A90)+$B$3)),INDEX(bhpc_data[sku],SMALL(IF(ISNUMBER(MATCH(bhpc_data[sex],$EC$11,0)*MATCH(bhpc_data[size1],$EC$13,0)),MATCH(ROW(bhpc_data[sku]),ROW(bhpc_data[sku])),""),ROWS($A$15:A90)+$B$3)))),IF($EC$11="",IF($EC$13="",INDEX(bhpc_data[sku],SMALL(IF(ISNUMBER(MATCH(bhpc_data[category],$EC$9,0)),MATCH(ROW(bhpc_data[sku]),ROW(bhpc_data[sku])),""),ROWS($A$15:A90)+$B$3)),INDEX(bhpc_data[sku],SMALL(IF(ISNUMBER(MATCH(bhpc_data[category],$EC$9,0)*MATCH(bhpc_data[size1],$EC$13,0)),MATCH(ROW(bhpc_data[sku]),ROW(bhpc_data[sku])),""),ROWS($A$15:A90)+$B$3))),IF($EC$13="",INDEX(bhpc_data[sku],SMALL(IF(ISNUMBER(MATCH(bhpc_data[category],$EC$9,0)*MATCH(bhpc_data[sex],$EC$11,0)),MATCH(ROW(bhpc_data[sku]),ROW(bhpc_data[sku])),""),ROWS($A$15:A90)+$B$3)),INDEX(bhpc_data[sku],SMALL(IF(ISNUMBER(MATCH(bhpc_data[category],$EC$9,0)*MATCH(bhpc_data[sex],$EC$11,0)*MATCH(bhpc_data[size1],$EC$13,0)),MATCH(ROW(bhpc_data[sku]),ROW(bhpc_data[sku])),""),ROWS($A$15:A90)+$B$3))))),"")</f>
        <v>P06021</v>
      </c>
      <c r="EF85" s="542" t="str" cm="1">
        <f t="array" ref="EF85">IFERROR(IF($EC$9="",IF($EC$11="",IF($EC$13="",INDEX(bhpc_data[description],SMALL(MATCH(ROW(bhpc_data[sku]),ROW(bhpc_data[sku])),ROWS($A$15:A90)+$B$3)),INDEX(bhpc_data[description],SMALL(IF(ISNUMBER(MATCH(bhpc_data[size1],$EC$13,0)),MATCH(ROW(bhpc_data[sku]),ROW(bhpc_data[sku])),""),ROWS($A$15:A90)+$B$3))),IF($EC$13="",INDEX(bhpc_data[description],SMALL(IF(ISNUMBER(MATCH(bhpc_data[sex],$EC$11,0)),MATCH(ROW(bhpc_data[sku]),ROW(bhpc_data[sku])),""),ROWS($A$15:A90)+$B$3)),INDEX(bhpc_data[description],SMALL(IF(ISNUMBER(MATCH(bhpc_data[sex],$EC$11,0)*MATCH(bhpc_data[size1],$EC$13,0)),MATCH(ROW(bhpc_data[sku]),ROW(bhpc_data[sku])),""),ROWS($A$15:A90)+$B$3)))),IF($EC$11="",IF($EC$13="",INDEX(bhpc_data[description],SMALL(IF(ISNUMBER(MATCH(bhpc_data[category],$EC$9,0)),MATCH(ROW(bhpc_data[sku]),ROW(bhpc_data[sku])),""),ROWS($A$15:A90)+$B$3)),INDEX(bhpc_data[description],SMALL(IF(ISNUMBER(MATCH(bhpc_data[category],$EC$9,0)*MATCH(bhpc_data[size1],$EC$13,0)),MATCH(ROW(bhpc_data[sku]),ROW(bhpc_data[sku])),""),ROWS($A$15:A90)+$B$3))),IF($EC$13="",INDEX(bhpc_data[description],SMALL(IF(ISNUMBER(MATCH(bhpc_data[category],$EC$9,0)*MATCH(bhpc_data[sex],$EC$11,0)),MATCH(ROW(bhpc_data[sku]),ROW(bhpc_data[sku])),""),ROWS($A$15:A90)+$B$3)),INDEX(bhpc_data[description],SMALL(IF(ISNUMBER(MATCH(bhpc_data[category],$EC$9,0)*MATCH(bhpc_data[sex],$EC$11,0)*MATCH(bhpc_data[size1],$EC$13,0)),MATCH(ROW(bhpc_data[sku]),ROW(bhpc_data[sku])),""),ROWS($A$15:A90)+$B$3))))),"")</f>
        <v>BHPC PRESTIGE ROYALE 100ML EDP MEN</v>
      </c>
      <c r="EG85" s="543">
        <f>IFERROR(IF('BHPC MANAGER'!$EE85="","",INDEX(inventory[ESISTENZA],MATCH('BHPC MANAGER'!$EE85,inventory[ARTICOLO],0))),0)</f>
        <v>0</v>
      </c>
      <c r="EH85" s="544">
        <v>-5045</v>
      </c>
      <c r="EI85" s="544">
        <f t="shared" si="11"/>
        <v>-5045</v>
      </c>
      <c r="EJ85" s="545">
        <v>0</v>
      </c>
      <c r="EK85" s="546">
        <f t="shared" si="12"/>
        <v>-5045</v>
      </c>
    </row>
    <row r="86" spans="59:141" ht="15" customHeight="1" x14ac:dyDescent="0.35">
      <c r="BK86" s="366"/>
      <c r="BL86" s="367"/>
      <c r="BM86" s="368"/>
      <c r="BN86" s="367"/>
      <c r="BO86" s="368"/>
      <c r="BZ86" s="497"/>
      <c r="CA86" s="477" t="str">
        <f>IF(BZ86="","",INDEX(bhpc_data[description],MATCH(BZ86,bhpc_data[sku],0)))</f>
        <v/>
      </c>
      <c r="CB86" s="480"/>
      <c r="CC86" s="479"/>
      <c r="CD86" s="498"/>
      <c r="CE86" s="499"/>
      <c r="CF86" s="500"/>
      <c r="CG86" s="483" t="str">
        <f>IFERROR(ROUNDUP(CB86/INDEX(bhpc_data[units_per_carton],MATCH(BZ86,bhpc_data[sku],0)),0),"")</f>
        <v/>
      </c>
      <c r="CH86" s="484" t="str">
        <f>IFERROR(ROUNDUP(CD86/INDEX(bhpc_data[units_per_carton],MATCH(BZ86,bhpc_data[sku],0)),0),"")</f>
        <v/>
      </c>
      <c r="CI86" s="484" t="str">
        <f>IFERROR(ROUNDUP(CF86/INDEX(bhpc_data[units_per_carton],MATCH(BZ86,bhpc_data[sku])),0),"")</f>
        <v/>
      </c>
      <c r="CJ86" s="484" t="str">
        <f>IFERROR(((CB86+CD86+CF86)/INDEX(bhpc_data[units_per_carton],MATCH(BZ86,bhpc_data[sku],0)))*INDEX(bhpc_data[net_weight],MATCH(BZ86,bhpc_data[sku],0)),"")</f>
        <v/>
      </c>
      <c r="CK86" s="484" t="str">
        <f>IFERROR(((CB86+CD86+CF86)/INDEX(bhpc_data[units_per_carton],MATCH(BZ86,bhpc_data[sku],0)))*INDEX(bhpc_data[gross_weight],MATCH(BZ86,bhpc_data[sku],0)),"")</f>
        <v/>
      </c>
      <c r="CL86" s="485" t="str">
        <f>IFERROR((CB86+CD86+CF86)/INDEX(bhpc_data[units_per_carton],MATCH(BZ86,bhpc_data[sku],0))*INDEX(bhpc_data[lenght],MATCH(BZ86,bhpc_data[sku],0))*INDEX(bhpc_data[width],MATCH(BZ86,bhpc_data[sku],0))*INDEX(bhpc_data[height],MATCH(BZ86,bhpc_data[sku],0))/1000000000,"")</f>
        <v/>
      </c>
      <c r="CM86" s="486" t="str">
        <f>IFERROR(INDEX(bhpc_data[category],MATCH(BZ86,bhpc_data[sku],0)),"")</f>
        <v/>
      </c>
      <c r="CN86" s="486" t="str">
        <f>IFERROR(INDEX(bhpc_data[size1],MATCH(BZ86,bhpc_data[sku],0)),"")</f>
        <v/>
      </c>
      <c r="CO86" s="487" t="str">
        <f>IFERROR(INDEX(bhpc_data[hs_code],MATCH(BZ86,bhpc_data[sku],0)),"")</f>
        <v/>
      </c>
      <c r="CP86" s="500"/>
      <c r="CQ86" s="488" t="str">
        <f>IFERROR(IF(BZ86="","",IF($BX$15="SALE",INDEX(inventory[COSTO UNITARIO],MATCH(BZ86,inventory[ARTICOLO],0)),IF($BX$15="SAMPLING",INDEX(inventory[COSTO UNITARIO],MATCH(BZ86,inventory[ARTICOLO],0)),""))),"")</f>
        <v/>
      </c>
      <c r="CR86" s="488" t="str">
        <f t="shared" si="8"/>
        <v/>
      </c>
      <c r="CS86" s="489" t="str">
        <f t="shared" si="9"/>
        <v/>
      </c>
      <c r="CT86" s="573" t="str">
        <f t="shared" si="10"/>
        <v/>
      </c>
      <c r="DA86" s="350" t="str">
        <f>IFERROR(VLOOKUP(BZ86,bhpc_data[],22,FALSE),"")</f>
        <v/>
      </c>
      <c r="EE86" s="547" t="str" cm="1">
        <f t="array" ref="EE86">IFERROR(IF($EC$9="",IF($EC$11="",IF($EC$13="",INDEX(bhpc_data[sku],SMALL(MATCH(ROW(bhpc_data[sku]),ROW(bhpc_data[sku])),ROWS($A$15:A91)+$B$3)),INDEX(bhpc_data[sku],SMALL(IF(ISNUMBER(MATCH(bhpc_data[size1],$EC$13,0)),MATCH(ROW(bhpc_data[sku]),ROW(bhpc_data[sku])),""),ROWS($A$15:A91)+$B$3))),IF($EC$13="",INDEX(bhpc_data[sku],SMALL(IF(ISNUMBER(MATCH(bhpc_data[sex],$EC$11,0)),MATCH(ROW(bhpc_data[sku]),ROW(bhpc_data[sku])),""),ROWS($A$15:A91)+$B$3)),INDEX(bhpc_data[sku],SMALL(IF(ISNUMBER(MATCH(bhpc_data[sex],$EC$11,0)*MATCH(bhpc_data[size1],$EC$13,0)),MATCH(ROW(bhpc_data[sku]),ROW(bhpc_data[sku])),""),ROWS($A$15:A91)+$B$3)))),IF($EC$11="",IF($EC$13="",INDEX(bhpc_data[sku],SMALL(IF(ISNUMBER(MATCH(bhpc_data[category],$EC$9,0)),MATCH(ROW(bhpc_data[sku]),ROW(bhpc_data[sku])),""),ROWS($A$15:A91)+$B$3)),INDEX(bhpc_data[sku],SMALL(IF(ISNUMBER(MATCH(bhpc_data[category],$EC$9,0)*MATCH(bhpc_data[size1],$EC$13,0)),MATCH(ROW(bhpc_data[sku]),ROW(bhpc_data[sku])),""),ROWS($A$15:A91)+$B$3))),IF($EC$13="",INDEX(bhpc_data[sku],SMALL(IF(ISNUMBER(MATCH(bhpc_data[category],$EC$9,0)*MATCH(bhpc_data[sex],$EC$11,0)),MATCH(ROW(bhpc_data[sku]),ROW(bhpc_data[sku])),""),ROWS($A$15:A91)+$B$3)),INDEX(bhpc_data[sku],SMALL(IF(ISNUMBER(MATCH(bhpc_data[category],$EC$9,0)*MATCH(bhpc_data[sex],$EC$11,0)*MATCH(bhpc_data[size1],$EC$13,0)),MATCH(ROW(bhpc_data[sku]),ROW(bhpc_data[sku])),""),ROWS($A$15:A91)+$B$3))))),"")</f>
        <v>P07000</v>
      </c>
      <c r="EF86" s="548" t="str" cm="1">
        <f t="array" ref="EF86">IFERROR(IF($EC$9="",IF($EC$11="",IF($EC$13="",INDEX(bhpc_data[description],SMALL(MATCH(ROW(bhpc_data[sku]),ROW(bhpc_data[sku])),ROWS($A$15:A91)+$B$3)),INDEX(bhpc_data[description],SMALL(IF(ISNUMBER(MATCH(bhpc_data[size1],$EC$13,0)),MATCH(ROW(bhpc_data[sku]),ROW(bhpc_data[sku])),""),ROWS($A$15:A91)+$B$3))),IF($EC$13="",INDEX(bhpc_data[description],SMALL(IF(ISNUMBER(MATCH(bhpc_data[sex],$EC$11,0)),MATCH(ROW(bhpc_data[sku]),ROW(bhpc_data[sku])),""),ROWS($A$15:A91)+$B$3)),INDEX(bhpc_data[description],SMALL(IF(ISNUMBER(MATCH(bhpc_data[sex],$EC$11,0)*MATCH(bhpc_data[size1],$EC$13,0)),MATCH(ROW(bhpc_data[sku]),ROW(bhpc_data[sku])),""),ROWS($A$15:A91)+$B$3)))),IF($EC$11="",IF($EC$13="",INDEX(bhpc_data[description],SMALL(IF(ISNUMBER(MATCH(bhpc_data[category],$EC$9,0)),MATCH(ROW(bhpc_data[sku]),ROW(bhpc_data[sku])),""),ROWS($A$15:A91)+$B$3)),INDEX(bhpc_data[description],SMALL(IF(ISNUMBER(MATCH(bhpc_data[category],$EC$9,0)*MATCH(bhpc_data[size1],$EC$13,0)),MATCH(ROW(bhpc_data[sku]),ROW(bhpc_data[sku])),""),ROWS($A$15:A91)+$B$3))),IF($EC$13="",INDEX(bhpc_data[description],SMALL(IF(ISNUMBER(MATCH(bhpc_data[category],$EC$9,0)*MATCH(bhpc_data[sex],$EC$11,0)),MATCH(ROW(bhpc_data[sku]),ROW(bhpc_data[sku])),""),ROWS($A$15:A91)+$B$3)),INDEX(bhpc_data[description],SMALL(IF(ISNUMBER(MATCH(bhpc_data[category],$EC$9,0)*MATCH(bhpc_data[sex],$EC$11,0)*MATCH(bhpc_data[size1],$EC$13,0)),MATCH(ROW(bhpc_data[sku]),ROW(bhpc_data[sku])),""),ROWS($A$15:A91)+$B$3))))),"")</f>
        <v>BHPC MEN ROLL-ON 1 50ML</v>
      </c>
      <c r="EG86" s="549">
        <f>IFERROR(IF('BHPC MANAGER'!$EE86="","",INDEX(inventory[ESISTENZA],MATCH('BHPC MANAGER'!$EE86,inventory[ARTICOLO],0))),0)</f>
        <v>0</v>
      </c>
      <c r="EH86" s="550" t="s">
        <v>914</v>
      </c>
      <c r="EI86" s="550">
        <f t="shared" si="11"/>
        <v>0</v>
      </c>
      <c r="EJ86" s="551">
        <v>0</v>
      </c>
      <c r="EK86" s="552">
        <f t="shared" si="12"/>
        <v>0</v>
      </c>
    </row>
    <row r="87" spans="59:141" ht="15" customHeight="1" x14ac:dyDescent="0.35">
      <c r="BK87" s="366"/>
      <c r="BL87" s="367"/>
      <c r="BM87" s="368"/>
      <c r="BN87" s="367"/>
      <c r="BO87" s="368"/>
      <c r="BZ87" s="497"/>
      <c r="CA87" s="477" t="str">
        <f>IF(BZ87="","",INDEX(bhpc_data[description],MATCH(BZ87,bhpc_data[sku],0)))</f>
        <v/>
      </c>
      <c r="CB87" s="480"/>
      <c r="CC87" s="479"/>
      <c r="CD87" s="498"/>
      <c r="CE87" s="499"/>
      <c r="CF87" s="500"/>
      <c r="CG87" s="483" t="str">
        <f>IFERROR(ROUNDUP(CB87/INDEX(bhpc_data[units_per_carton],MATCH(BZ87,bhpc_data[sku],0)),0),"")</f>
        <v/>
      </c>
      <c r="CH87" s="484" t="str">
        <f>IFERROR(ROUNDUP(CD87/INDEX(bhpc_data[units_per_carton],MATCH(BZ87,bhpc_data[sku],0)),0),"")</f>
        <v/>
      </c>
      <c r="CI87" s="484" t="str">
        <f>IFERROR(ROUNDUP(CF87/INDEX(bhpc_data[units_per_carton],MATCH(BZ87,bhpc_data[sku])),0),"")</f>
        <v/>
      </c>
      <c r="CJ87" s="484" t="str">
        <f>IFERROR(((CB87+CD87+CF87)/INDEX(bhpc_data[units_per_carton],MATCH(BZ87,bhpc_data[sku],0)))*INDEX(bhpc_data[net_weight],MATCH(BZ87,bhpc_data[sku],0)),"")</f>
        <v/>
      </c>
      <c r="CK87" s="484" t="str">
        <f>IFERROR(((CB87+CD87+CF87)/INDEX(bhpc_data[units_per_carton],MATCH(BZ87,bhpc_data[sku],0)))*INDEX(bhpc_data[gross_weight],MATCH(BZ87,bhpc_data[sku],0)),"")</f>
        <v/>
      </c>
      <c r="CL87" s="485" t="str">
        <f>IFERROR((CB87+CD87+CF87)/INDEX(bhpc_data[units_per_carton],MATCH(BZ87,bhpc_data[sku],0))*INDEX(bhpc_data[lenght],MATCH(BZ87,bhpc_data[sku],0))*INDEX(bhpc_data[width],MATCH(BZ87,bhpc_data[sku],0))*INDEX(bhpc_data[height],MATCH(BZ87,bhpc_data[sku],0))/1000000000,"")</f>
        <v/>
      </c>
      <c r="CM87" s="486" t="str">
        <f>IFERROR(INDEX(bhpc_data[category],MATCH(BZ87,bhpc_data[sku],0)),"")</f>
        <v/>
      </c>
      <c r="CN87" s="486" t="str">
        <f>IFERROR(INDEX(bhpc_data[size1],MATCH(BZ87,bhpc_data[sku],0)),"")</f>
        <v/>
      </c>
      <c r="CO87" s="487" t="str">
        <f>IFERROR(INDEX(bhpc_data[hs_code],MATCH(BZ87,bhpc_data[sku],0)),"")</f>
        <v/>
      </c>
      <c r="CP87" s="500"/>
      <c r="CQ87" s="488" t="str">
        <f>IFERROR(IF(BZ87="","",IF($BX$15="SALE",INDEX(inventory[COSTO UNITARIO],MATCH(BZ87,inventory[ARTICOLO],0)),IF($BX$15="SAMPLING",INDEX(inventory[COSTO UNITARIO],MATCH(BZ87,inventory[ARTICOLO],0)),""))),"")</f>
        <v/>
      </c>
      <c r="CR87" s="488" t="str">
        <f t="shared" si="8"/>
        <v/>
      </c>
      <c r="CS87" s="489" t="str">
        <f t="shared" si="9"/>
        <v/>
      </c>
      <c r="CT87" s="573" t="str">
        <f t="shared" si="10"/>
        <v/>
      </c>
      <c r="DA87" s="350" t="str">
        <f>IFERROR(VLOOKUP(BZ87,bhpc_data[],22,FALSE),"")</f>
        <v/>
      </c>
      <c r="EE87" s="541" t="str" cm="1">
        <f t="array" ref="EE87">IFERROR(IF($EC$9="",IF($EC$11="",IF($EC$13="",INDEX(bhpc_data[sku],SMALL(MATCH(ROW(bhpc_data[sku]),ROW(bhpc_data[sku])),ROWS($A$15:A92)+$B$3)),INDEX(bhpc_data[sku],SMALL(IF(ISNUMBER(MATCH(bhpc_data[size1],$EC$13,0)),MATCH(ROW(bhpc_data[sku]),ROW(bhpc_data[sku])),""),ROWS($A$15:A92)+$B$3))),IF($EC$13="",INDEX(bhpc_data[sku],SMALL(IF(ISNUMBER(MATCH(bhpc_data[sex],$EC$11,0)),MATCH(ROW(bhpc_data[sku]),ROW(bhpc_data[sku])),""),ROWS($A$15:A92)+$B$3)),INDEX(bhpc_data[sku],SMALL(IF(ISNUMBER(MATCH(bhpc_data[sex],$EC$11,0)*MATCH(bhpc_data[size1],$EC$13,0)),MATCH(ROW(bhpc_data[sku]),ROW(bhpc_data[sku])),""),ROWS($A$15:A92)+$B$3)))),IF($EC$11="",IF($EC$13="",INDEX(bhpc_data[sku],SMALL(IF(ISNUMBER(MATCH(bhpc_data[category],$EC$9,0)),MATCH(ROW(bhpc_data[sku]),ROW(bhpc_data[sku])),""),ROWS($A$15:A92)+$B$3)),INDEX(bhpc_data[sku],SMALL(IF(ISNUMBER(MATCH(bhpc_data[category],$EC$9,0)*MATCH(bhpc_data[size1],$EC$13,0)),MATCH(ROW(bhpc_data[sku]),ROW(bhpc_data[sku])),""),ROWS($A$15:A92)+$B$3))),IF($EC$13="",INDEX(bhpc_data[sku],SMALL(IF(ISNUMBER(MATCH(bhpc_data[category],$EC$9,0)*MATCH(bhpc_data[sex],$EC$11,0)),MATCH(ROW(bhpc_data[sku]),ROW(bhpc_data[sku])),""),ROWS($A$15:A92)+$B$3)),INDEX(bhpc_data[sku],SMALL(IF(ISNUMBER(MATCH(bhpc_data[category],$EC$9,0)*MATCH(bhpc_data[sex],$EC$11,0)*MATCH(bhpc_data[size1],$EC$13,0)),MATCH(ROW(bhpc_data[sku]),ROW(bhpc_data[sku])),""),ROWS($A$15:A92)+$B$3))))),"")</f>
        <v>P07001</v>
      </c>
      <c r="EF87" s="542" t="str" cm="1">
        <f t="array" ref="EF87">IFERROR(IF($EC$9="",IF($EC$11="",IF($EC$13="",INDEX(bhpc_data[description],SMALL(MATCH(ROW(bhpc_data[sku]),ROW(bhpc_data[sku])),ROWS($A$15:A92)+$B$3)),INDEX(bhpc_data[description],SMALL(IF(ISNUMBER(MATCH(bhpc_data[size1],$EC$13,0)),MATCH(ROW(bhpc_data[sku]),ROW(bhpc_data[sku])),""),ROWS($A$15:A92)+$B$3))),IF($EC$13="",INDEX(bhpc_data[description],SMALL(IF(ISNUMBER(MATCH(bhpc_data[sex],$EC$11,0)),MATCH(ROW(bhpc_data[sku]),ROW(bhpc_data[sku])),""),ROWS($A$15:A92)+$B$3)),INDEX(bhpc_data[description],SMALL(IF(ISNUMBER(MATCH(bhpc_data[sex],$EC$11,0)*MATCH(bhpc_data[size1],$EC$13,0)),MATCH(ROW(bhpc_data[sku]),ROW(bhpc_data[sku])),""),ROWS($A$15:A92)+$B$3)))),IF($EC$11="",IF($EC$13="",INDEX(bhpc_data[description],SMALL(IF(ISNUMBER(MATCH(bhpc_data[category],$EC$9,0)),MATCH(ROW(bhpc_data[sku]),ROW(bhpc_data[sku])),""),ROWS($A$15:A92)+$B$3)),INDEX(bhpc_data[description],SMALL(IF(ISNUMBER(MATCH(bhpc_data[category],$EC$9,0)*MATCH(bhpc_data[size1],$EC$13,0)),MATCH(ROW(bhpc_data[sku]),ROW(bhpc_data[sku])),""),ROWS($A$15:A92)+$B$3))),IF($EC$13="",INDEX(bhpc_data[description],SMALL(IF(ISNUMBER(MATCH(bhpc_data[category],$EC$9,0)*MATCH(bhpc_data[sex],$EC$11,0)),MATCH(ROW(bhpc_data[sku]),ROW(bhpc_data[sku])),""),ROWS($A$15:A92)+$B$3)),INDEX(bhpc_data[description],SMALL(IF(ISNUMBER(MATCH(bhpc_data[category],$EC$9,0)*MATCH(bhpc_data[sex],$EC$11,0)*MATCH(bhpc_data[size1],$EC$13,0)),MATCH(ROW(bhpc_data[sku]),ROW(bhpc_data[sku])),""),ROWS($A$15:A92)+$B$3))))),"")</f>
        <v>BHPC MEN ROLL-ON 9 50ML</v>
      </c>
      <c r="EG87" s="543">
        <f>IFERROR(IF('BHPC MANAGER'!$EE87="","",INDEX(inventory[ESISTENZA],MATCH('BHPC MANAGER'!$EE87,inventory[ARTICOLO],0))),0)</f>
        <v>0</v>
      </c>
      <c r="EH87" s="544">
        <v>0</v>
      </c>
      <c r="EI87" s="544">
        <f t="shared" si="11"/>
        <v>0</v>
      </c>
      <c r="EJ87" s="545">
        <v>0</v>
      </c>
      <c r="EK87" s="546">
        <f t="shared" si="12"/>
        <v>0</v>
      </c>
    </row>
    <row r="88" spans="59:141" ht="15" customHeight="1" x14ac:dyDescent="0.35">
      <c r="BK88" s="366"/>
      <c r="BL88" s="367"/>
      <c r="BM88" s="368"/>
      <c r="BN88" s="367"/>
      <c r="BO88" s="368"/>
      <c r="BZ88" s="497"/>
      <c r="CA88" s="477" t="str">
        <f>IF(BZ88="","",INDEX(bhpc_data[description],MATCH(BZ88,bhpc_data[sku],0)))</f>
        <v/>
      </c>
      <c r="CB88" s="480"/>
      <c r="CC88" s="479"/>
      <c r="CD88" s="498"/>
      <c r="CE88" s="499"/>
      <c r="CF88" s="500"/>
      <c r="CG88" s="483" t="str">
        <f>IFERROR(ROUNDUP(CB88/INDEX(bhpc_data[units_per_carton],MATCH(BZ88,bhpc_data[sku],0)),0),"")</f>
        <v/>
      </c>
      <c r="CH88" s="484" t="str">
        <f>IFERROR(ROUNDUP(CD88/INDEX(bhpc_data[units_per_carton],MATCH(BZ88,bhpc_data[sku],0)),0),"")</f>
        <v/>
      </c>
      <c r="CI88" s="484" t="str">
        <f>IFERROR(ROUNDUP(CF88/INDEX(bhpc_data[units_per_carton],MATCH(BZ88,bhpc_data[sku])),0),"")</f>
        <v/>
      </c>
      <c r="CJ88" s="484" t="str">
        <f>IFERROR(((CB88+CD88+CF88)/INDEX(bhpc_data[units_per_carton],MATCH(BZ88,bhpc_data[sku],0)))*INDEX(bhpc_data[net_weight],MATCH(BZ88,bhpc_data[sku],0)),"")</f>
        <v/>
      </c>
      <c r="CK88" s="484" t="str">
        <f>IFERROR(((CB88+CD88+CF88)/INDEX(bhpc_data[units_per_carton],MATCH(BZ88,bhpc_data[sku],0)))*INDEX(bhpc_data[gross_weight],MATCH(BZ88,bhpc_data[sku],0)),"")</f>
        <v/>
      </c>
      <c r="CL88" s="485" t="str">
        <f>IFERROR((CB88+CD88+CF88)/INDEX(bhpc_data[units_per_carton],MATCH(BZ88,bhpc_data[sku],0))*INDEX(bhpc_data[lenght],MATCH(BZ88,bhpc_data[sku],0))*INDEX(bhpc_data[width],MATCH(BZ88,bhpc_data[sku],0))*INDEX(bhpc_data[height],MATCH(BZ88,bhpc_data[sku],0))/1000000000,"")</f>
        <v/>
      </c>
      <c r="CM88" s="486" t="str">
        <f>IFERROR(INDEX(bhpc_data[category],MATCH(BZ88,bhpc_data[sku],0)),"")</f>
        <v/>
      </c>
      <c r="CN88" s="486" t="str">
        <f>IFERROR(INDEX(bhpc_data[size1],MATCH(BZ88,bhpc_data[sku],0)),"")</f>
        <v/>
      </c>
      <c r="CO88" s="487" t="str">
        <f>IFERROR(INDEX(bhpc_data[hs_code],MATCH(BZ88,bhpc_data[sku],0)),"")</f>
        <v/>
      </c>
      <c r="CP88" s="500"/>
      <c r="CQ88" s="488" t="str">
        <f>IFERROR(IF(BZ88="","",IF($BX$15="SALE",INDEX(inventory[COSTO UNITARIO],MATCH(BZ88,inventory[ARTICOLO],0)),IF($BX$15="SAMPLING",INDEX(inventory[COSTO UNITARIO],MATCH(BZ88,inventory[ARTICOLO],0)),""))),"")</f>
        <v/>
      </c>
      <c r="CR88" s="488" t="str">
        <f t="shared" si="8"/>
        <v/>
      </c>
      <c r="CS88" s="489" t="str">
        <f t="shared" si="9"/>
        <v/>
      </c>
      <c r="CT88" s="573" t="str">
        <f t="shared" si="10"/>
        <v/>
      </c>
      <c r="DA88" s="350" t="str">
        <f>IFERROR(VLOOKUP(BZ88,bhpc_data[],22,FALSE),"")</f>
        <v/>
      </c>
      <c r="EE88" s="547" t="str" cm="1">
        <f t="array" ref="EE88">IFERROR(IF($EC$9="",IF($EC$11="",IF($EC$13="",INDEX(bhpc_data[sku],SMALL(MATCH(ROW(bhpc_data[sku]),ROW(bhpc_data[sku])),ROWS($A$15:A93)+$B$3)),INDEX(bhpc_data[sku],SMALL(IF(ISNUMBER(MATCH(bhpc_data[size1],$EC$13,0)),MATCH(ROW(bhpc_data[sku]),ROW(bhpc_data[sku])),""),ROWS($A$15:A93)+$B$3))),IF($EC$13="",INDEX(bhpc_data[sku],SMALL(IF(ISNUMBER(MATCH(bhpc_data[sex],$EC$11,0)),MATCH(ROW(bhpc_data[sku]),ROW(bhpc_data[sku])),""),ROWS($A$15:A93)+$B$3)),INDEX(bhpc_data[sku],SMALL(IF(ISNUMBER(MATCH(bhpc_data[sex],$EC$11,0)*MATCH(bhpc_data[size1],$EC$13,0)),MATCH(ROW(bhpc_data[sku]),ROW(bhpc_data[sku])),""),ROWS($A$15:A93)+$B$3)))),IF($EC$11="",IF($EC$13="",INDEX(bhpc_data[sku],SMALL(IF(ISNUMBER(MATCH(bhpc_data[category],$EC$9,0)),MATCH(ROW(bhpc_data[sku]),ROW(bhpc_data[sku])),""),ROWS($A$15:A93)+$B$3)),INDEX(bhpc_data[sku],SMALL(IF(ISNUMBER(MATCH(bhpc_data[category],$EC$9,0)*MATCH(bhpc_data[size1],$EC$13,0)),MATCH(ROW(bhpc_data[sku]),ROW(bhpc_data[sku])),""),ROWS($A$15:A93)+$B$3))),IF($EC$13="",INDEX(bhpc_data[sku],SMALL(IF(ISNUMBER(MATCH(bhpc_data[category],$EC$9,0)*MATCH(bhpc_data[sex],$EC$11,0)),MATCH(ROW(bhpc_data[sku]),ROW(bhpc_data[sku])),""),ROWS($A$15:A93)+$B$3)),INDEX(bhpc_data[sku],SMALL(IF(ISNUMBER(MATCH(bhpc_data[category],$EC$9,0)*MATCH(bhpc_data[sex],$EC$11,0)*MATCH(bhpc_data[size1],$EC$13,0)),MATCH(ROW(bhpc_data[sku]),ROW(bhpc_data[sku])),""),ROWS($A$15:A93)+$B$3))))),"")</f>
        <v>P07002</v>
      </c>
      <c r="EF88" s="548" t="str" cm="1">
        <f t="array" ref="EF88">IFERROR(IF($EC$9="",IF($EC$11="",IF($EC$13="",INDEX(bhpc_data[description],SMALL(MATCH(ROW(bhpc_data[sku]),ROW(bhpc_data[sku])),ROWS($A$15:A93)+$B$3)),INDEX(bhpc_data[description],SMALL(IF(ISNUMBER(MATCH(bhpc_data[size1],$EC$13,0)),MATCH(ROW(bhpc_data[sku]),ROW(bhpc_data[sku])),""),ROWS($A$15:A93)+$B$3))),IF($EC$13="",INDEX(bhpc_data[description],SMALL(IF(ISNUMBER(MATCH(bhpc_data[sex],$EC$11,0)),MATCH(ROW(bhpc_data[sku]),ROW(bhpc_data[sku])),""),ROWS($A$15:A93)+$B$3)),INDEX(bhpc_data[description],SMALL(IF(ISNUMBER(MATCH(bhpc_data[sex],$EC$11,0)*MATCH(bhpc_data[size1],$EC$13,0)),MATCH(ROW(bhpc_data[sku]),ROW(bhpc_data[sku])),""),ROWS($A$15:A93)+$B$3)))),IF($EC$11="",IF($EC$13="",INDEX(bhpc_data[description],SMALL(IF(ISNUMBER(MATCH(bhpc_data[category],$EC$9,0)),MATCH(ROW(bhpc_data[sku]),ROW(bhpc_data[sku])),""),ROWS($A$15:A93)+$B$3)),INDEX(bhpc_data[description],SMALL(IF(ISNUMBER(MATCH(bhpc_data[category],$EC$9,0)*MATCH(bhpc_data[size1],$EC$13,0)),MATCH(ROW(bhpc_data[sku]),ROW(bhpc_data[sku])),""),ROWS($A$15:A93)+$B$3))),IF($EC$13="",INDEX(bhpc_data[description],SMALL(IF(ISNUMBER(MATCH(bhpc_data[category],$EC$9,0)*MATCH(bhpc_data[sex],$EC$11,0)),MATCH(ROW(bhpc_data[sku]),ROW(bhpc_data[sku])),""),ROWS($A$15:A93)+$B$3)),INDEX(bhpc_data[description],SMALL(IF(ISNUMBER(MATCH(bhpc_data[category],$EC$9,0)*MATCH(bhpc_data[sex],$EC$11,0)*MATCH(bhpc_data[size1],$EC$13,0)),MATCH(ROW(bhpc_data[sku]),ROW(bhpc_data[sku])),""),ROWS($A$15:A93)+$B$3))))),"")</f>
        <v>BHPC MEN ROLL-ON 8 50ML</v>
      </c>
      <c r="EG88" s="549">
        <f>IFERROR(IF('BHPC MANAGER'!$EE88="","",INDEX(inventory[ESISTENZA],MATCH('BHPC MANAGER'!$EE88,inventory[ARTICOLO],0))),0)</f>
        <v>0</v>
      </c>
      <c r="EH88" s="550">
        <v>-12</v>
      </c>
      <c r="EI88" s="550">
        <f t="shared" si="11"/>
        <v>-12</v>
      </c>
      <c r="EJ88" s="551">
        <v>0</v>
      </c>
      <c r="EK88" s="552">
        <f t="shared" si="12"/>
        <v>-12</v>
      </c>
    </row>
    <row r="89" spans="59:141" ht="15" customHeight="1" x14ac:dyDescent="0.35">
      <c r="BK89" s="366"/>
      <c r="BL89" s="367"/>
      <c r="BM89" s="368"/>
      <c r="BN89" s="367"/>
      <c r="BO89" s="368"/>
      <c r="BZ89" s="497"/>
      <c r="CA89" s="477" t="str">
        <f>IF(BZ89="","",INDEX(bhpc_data[description],MATCH(BZ89,bhpc_data[sku],0)))</f>
        <v/>
      </c>
      <c r="CB89" s="480"/>
      <c r="CC89" s="479"/>
      <c r="CD89" s="498"/>
      <c r="CE89" s="499"/>
      <c r="CF89" s="500"/>
      <c r="CG89" s="483" t="str">
        <f>IFERROR(ROUNDUP(CB89/INDEX(bhpc_data[units_per_carton],MATCH(BZ89,bhpc_data[sku],0)),0),"")</f>
        <v/>
      </c>
      <c r="CH89" s="484" t="str">
        <f>IFERROR(ROUNDUP(CD89/INDEX(bhpc_data[units_per_carton],MATCH(BZ89,bhpc_data[sku],0)),0),"")</f>
        <v/>
      </c>
      <c r="CI89" s="484" t="str">
        <f>IFERROR(ROUNDUP(CF89/INDEX(bhpc_data[units_per_carton],MATCH(BZ89,bhpc_data[sku])),0),"")</f>
        <v/>
      </c>
      <c r="CJ89" s="484" t="str">
        <f>IFERROR(((CB89+CD89+CF89)/INDEX(bhpc_data[units_per_carton],MATCH(BZ89,bhpc_data[sku],0)))*INDEX(bhpc_data[net_weight],MATCH(BZ89,bhpc_data[sku],0)),"")</f>
        <v/>
      </c>
      <c r="CK89" s="484" t="str">
        <f>IFERROR(((CB89+CD89+CF89)/INDEX(bhpc_data[units_per_carton],MATCH(BZ89,bhpc_data[sku],0)))*INDEX(bhpc_data[gross_weight],MATCH(BZ89,bhpc_data[sku],0)),"")</f>
        <v/>
      </c>
      <c r="CL89" s="485" t="str">
        <f>IFERROR((CB89+CD89+CF89)/INDEX(bhpc_data[units_per_carton],MATCH(BZ89,bhpc_data[sku],0))*INDEX(bhpc_data[lenght],MATCH(BZ89,bhpc_data[sku],0))*INDEX(bhpc_data[width],MATCH(BZ89,bhpc_data[sku],0))*INDEX(bhpc_data[height],MATCH(BZ89,bhpc_data[sku],0))/1000000000,"")</f>
        <v/>
      </c>
      <c r="CM89" s="486" t="str">
        <f>IFERROR(INDEX(bhpc_data[category],MATCH(BZ89,bhpc_data[sku],0)),"")</f>
        <v/>
      </c>
      <c r="CN89" s="486" t="str">
        <f>IFERROR(INDEX(bhpc_data[size1],MATCH(BZ89,bhpc_data[sku],0)),"")</f>
        <v/>
      </c>
      <c r="CO89" s="487" t="str">
        <f>IFERROR(INDEX(bhpc_data[hs_code],MATCH(BZ89,bhpc_data[sku],0)),"")</f>
        <v/>
      </c>
      <c r="CP89" s="500"/>
      <c r="CQ89" s="488" t="str">
        <f>IFERROR(IF(BZ89="","",IF($BX$15="SALE",INDEX(inventory[COSTO UNITARIO],MATCH(BZ89,inventory[ARTICOLO],0)),IF($BX$15="SAMPLING",INDEX(inventory[COSTO UNITARIO],MATCH(BZ89,inventory[ARTICOLO],0)),""))),"")</f>
        <v/>
      </c>
      <c r="CR89" s="488" t="str">
        <f t="shared" si="8"/>
        <v/>
      </c>
      <c r="CS89" s="489" t="str">
        <f t="shared" si="9"/>
        <v/>
      </c>
      <c r="CT89" s="573" t="str">
        <f t="shared" si="10"/>
        <v/>
      </c>
      <c r="DA89" s="350" t="str">
        <f>IFERROR(VLOOKUP(BZ89,bhpc_data[],22,FALSE),"")</f>
        <v/>
      </c>
      <c r="EE89" s="541" t="str" cm="1">
        <f t="array" ref="EE89">IFERROR(IF($EC$9="",IF($EC$11="",IF($EC$13="",INDEX(bhpc_data[sku],SMALL(MATCH(ROW(bhpc_data[sku]),ROW(bhpc_data[sku])),ROWS($A$15:A94)+$B$3)),INDEX(bhpc_data[sku],SMALL(IF(ISNUMBER(MATCH(bhpc_data[size1],$EC$13,0)),MATCH(ROW(bhpc_data[sku]),ROW(bhpc_data[sku])),""),ROWS($A$15:A94)+$B$3))),IF($EC$13="",INDEX(bhpc_data[sku],SMALL(IF(ISNUMBER(MATCH(bhpc_data[sex],$EC$11,0)),MATCH(ROW(bhpc_data[sku]),ROW(bhpc_data[sku])),""),ROWS($A$15:A94)+$B$3)),INDEX(bhpc_data[sku],SMALL(IF(ISNUMBER(MATCH(bhpc_data[sex],$EC$11,0)*MATCH(bhpc_data[size1],$EC$13,0)),MATCH(ROW(bhpc_data[sku]),ROW(bhpc_data[sku])),""),ROWS($A$15:A94)+$B$3)))),IF($EC$11="",IF($EC$13="",INDEX(bhpc_data[sku],SMALL(IF(ISNUMBER(MATCH(bhpc_data[category],$EC$9,0)),MATCH(ROW(bhpc_data[sku]),ROW(bhpc_data[sku])),""),ROWS($A$15:A94)+$B$3)),INDEX(bhpc_data[sku],SMALL(IF(ISNUMBER(MATCH(bhpc_data[category],$EC$9,0)*MATCH(bhpc_data[size1],$EC$13,0)),MATCH(ROW(bhpc_data[sku]),ROW(bhpc_data[sku])),""),ROWS($A$15:A94)+$B$3))),IF($EC$13="",INDEX(bhpc_data[sku],SMALL(IF(ISNUMBER(MATCH(bhpc_data[category],$EC$9,0)*MATCH(bhpc_data[sex],$EC$11,0)),MATCH(ROW(bhpc_data[sku]),ROW(bhpc_data[sku])),""),ROWS($A$15:A94)+$B$3)),INDEX(bhpc_data[sku],SMALL(IF(ISNUMBER(MATCH(bhpc_data[category],$EC$9,0)*MATCH(bhpc_data[sex],$EC$11,0)*MATCH(bhpc_data[size1],$EC$13,0)),MATCH(ROW(bhpc_data[sku]),ROW(bhpc_data[sku])),""),ROWS($A$15:A94)+$B$3))))),"")</f>
        <v>P07003</v>
      </c>
      <c r="EF89" s="542" t="str" cm="1">
        <f t="array" ref="EF89">IFERROR(IF($EC$9="",IF($EC$11="",IF($EC$13="",INDEX(bhpc_data[description],SMALL(MATCH(ROW(bhpc_data[sku]),ROW(bhpc_data[sku])),ROWS($A$15:A94)+$B$3)),INDEX(bhpc_data[description],SMALL(IF(ISNUMBER(MATCH(bhpc_data[size1],$EC$13,0)),MATCH(ROW(bhpc_data[sku]),ROW(bhpc_data[sku])),""),ROWS($A$15:A94)+$B$3))),IF($EC$13="",INDEX(bhpc_data[description],SMALL(IF(ISNUMBER(MATCH(bhpc_data[sex],$EC$11,0)),MATCH(ROW(bhpc_data[sku]),ROW(bhpc_data[sku])),""),ROWS($A$15:A94)+$B$3)),INDEX(bhpc_data[description],SMALL(IF(ISNUMBER(MATCH(bhpc_data[sex],$EC$11,0)*MATCH(bhpc_data[size1],$EC$13,0)),MATCH(ROW(bhpc_data[sku]),ROW(bhpc_data[sku])),""),ROWS($A$15:A94)+$B$3)))),IF($EC$11="",IF($EC$13="",INDEX(bhpc_data[description],SMALL(IF(ISNUMBER(MATCH(bhpc_data[category],$EC$9,0)),MATCH(ROW(bhpc_data[sku]),ROW(bhpc_data[sku])),""),ROWS($A$15:A94)+$B$3)),INDEX(bhpc_data[description],SMALL(IF(ISNUMBER(MATCH(bhpc_data[category],$EC$9,0)*MATCH(bhpc_data[size1],$EC$13,0)),MATCH(ROW(bhpc_data[sku]),ROW(bhpc_data[sku])),""),ROWS($A$15:A94)+$B$3))),IF($EC$13="",INDEX(bhpc_data[description],SMALL(IF(ISNUMBER(MATCH(bhpc_data[category],$EC$9,0)*MATCH(bhpc_data[sex],$EC$11,0)),MATCH(ROW(bhpc_data[sku]),ROW(bhpc_data[sku])),""),ROWS($A$15:A94)+$B$3)),INDEX(bhpc_data[description],SMALL(IF(ISNUMBER(MATCH(bhpc_data[category],$EC$9,0)*MATCH(bhpc_data[sex],$EC$11,0)*MATCH(bhpc_data[size1],$EC$13,0)),MATCH(ROW(bhpc_data[sku]),ROW(bhpc_data[sku])),""),ROWS($A$15:A94)+$B$3))))),"")</f>
        <v>BHPC MEN ROLL-ON 2 50ML</v>
      </c>
      <c r="EG89" s="543">
        <f>IFERROR(IF('BHPC MANAGER'!$EE89="","",INDEX(inventory[ESISTENZA],MATCH('BHPC MANAGER'!$EE89,inventory[ARTICOLO],0))),0)</f>
        <v>0</v>
      </c>
      <c r="EH89" s="544" t="s">
        <v>914</v>
      </c>
      <c r="EI89" s="544">
        <f t="shared" si="11"/>
        <v>0</v>
      </c>
      <c r="EJ89" s="545" t="s">
        <v>914</v>
      </c>
      <c r="EK89" s="546">
        <f t="shared" si="12"/>
        <v>0</v>
      </c>
    </row>
    <row r="90" spans="59:141" ht="15" customHeight="1" x14ac:dyDescent="0.35">
      <c r="BK90" s="366"/>
      <c r="BL90" s="367"/>
      <c r="BM90" s="368"/>
      <c r="BN90" s="367"/>
      <c r="BO90" s="368"/>
      <c r="BZ90" s="497"/>
      <c r="CA90" s="477" t="str">
        <f>IF(BZ90="","",INDEX(bhpc_data[description],MATCH(BZ90,bhpc_data[sku],0)))</f>
        <v/>
      </c>
      <c r="CB90" s="480"/>
      <c r="CC90" s="479"/>
      <c r="CD90" s="498"/>
      <c r="CE90" s="499"/>
      <c r="CF90" s="500"/>
      <c r="CG90" s="483" t="str">
        <f>IFERROR(ROUNDUP(CB90/INDEX(bhpc_data[units_per_carton],MATCH(BZ90,bhpc_data[sku],0)),0),"")</f>
        <v/>
      </c>
      <c r="CH90" s="484" t="str">
        <f>IFERROR(ROUNDUP(CD90/INDEX(bhpc_data[units_per_carton],MATCH(BZ90,bhpc_data[sku],0)),0),"")</f>
        <v/>
      </c>
      <c r="CI90" s="484" t="str">
        <f>IFERROR(ROUNDUP(CF90/INDEX(bhpc_data[units_per_carton],MATCH(BZ90,bhpc_data[sku])),0),"")</f>
        <v/>
      </c>
      <c r="CJ90" s="484" t="str">
        <f>IFERROR(((CB90+CD90+CF90)/INDEX(bhpc_data[units_per_carton],MATCH(BZ90,bhpc_data[sku],0)))*INDEX(bhpc_data[net_weight],MATCH(BZ90,bhpc_data[sku],0)),"")</f>
        <v/>
      </c>
      <c r="CK90" s="484" t="str">
        <f>IFERROR(((CB90+CD90+CF90)/INDEX(bhpc_data[units_per_carton],MATCH(BZ90,bhpc_data[sku],0)))*INDEX(bhpc_data[gross_weight],MATCH(BZ90,bhpc_data[sku],0)),"")</f>
        <v/>
      </c>
      <c r="CL90" s="485" t="str">
        <f>IFERROR((CB90+CD90+CF90)/INDEX(bhpc_data[units_per_carton],MATCH(BZ90,bhpc_data[sku],0))*INDEX(bhpc_data[lenght],MATCH(BZ90,bhpc_data[sku],0))*INDEX(bhpc_data[width],MATCH(BZ90,bhpc_data[sku],0))*INDEX(bhpc_data[height],MATCH(BZ90,bhpc_data[sku],0))/1000000000,"")</f>
        <v/>
      </c>
      <c r="CM90" s="486" t="str">
        <f>IFERROR(INDEX(bhpc_data[category],MATCH(BZ90,bhpc_data[sku],0)),"")</f>
        <v/>
      </c>
      <c r="CN90" s="486" t="str">
        <f>IFERROR(INDEX(bhpc_data[size1],MATCH(BZ90,bhpc_data[sku],0)),"")</f>
        <v/>
      </c>
      <c r="CO90" s="487" t="str">
        <f>IFERROR(INDEX(bhpc_data[hs_code],MATCH(BZ90,bhpc_data[sku],0)),"")</f>
        <v/>
      </c>
      <c r="CP90" s="500"/>
      <c r="CQ90" s="488" t="str">
        <f>IFERROR(IF(BZ90="","",IF($BX$15="SALE",INDEX(inventory[COSTO UNITARIO],MATCH(BZ90,inventory[ARTICOLO],0)),IF($BX$15="SAMPLING",INDEX(inventory[COSTO UNITARIO],MATCH(BZ90,inventory[ARTICOLO],0)),""))),"")</f>
        <v/>
      </c>
      <c r="CR90" s="488" t="str">
        <f t="shared" si="8"/>
        <v/>
      </c>
      <c r="CS90" s="489" t="str">
        <f t="shared" si="9"/>
        <v/>
      </c>
      <c r="CT90" s="573" t="str">
        <f t="shared" si="10"/>
        <v/>
      </c>
      <c r="DA90" s="350" t="str">
        <f>IFERROR(VLOOKUP(BZ90,bhpc_data[],22,FALSE),"")</f>
        <v/>
      </c>
      <c r="EE90" s="547" t="str" cm="1">
        <f t="array" ref="EE90">IFERROR(IF($EC$9="",IF($EC$11="",IF($EC$13="",INDEX(bhpc_data[sku],SMALL(MATCH(ROW(bhpc_data[sku]),ROW(bhpc_data[sku])),ROWS($A$15:A95)+$B$3)),INDEX(bhpc_data[sku],SMALL(IF(ISNUMBER(MATCH(bhpc_data[size1],$EC$13,0)),MATCH(ROW(bhpc_data[sku]),ROW(bhpc_data[sku])),""),ROWS($A$15:A95)+$B$3))),IF($EC$13="",INDEX(bhpc_data[sku],SMALL(IF(ISNUMBER(MATCH(bhpc_data[sex],$EC$11,0)),MATCH(ROW(bhpc_data[sku]),ROW(bhpc_data[sku])),""),ROWS($A$15:A95)+$B$3)),INDEX(bhpc_data[sku],SMALL(IF(ISNUMBER(MATCH(bhpc_data[sex],$EC$11,0)*MATCH(bhpc_data[size1],$EC$13,0)),MATCH(ROW(bhpc_data[sku]),ROW(bhpc_data[sku])),""),ROWS($A$15:A95)+$B$3)))),IF($EC$11="",IF($EC$13="",INDEX(bhpc_data[sku],SMALL(IF(ISNUMBER(MATCH(bhpc_data[category],$EC$9,0)),MATCH(ROW(bhpc_data[sku]),ROW(bhpc_data[sku])),""),ROWS($A$15:A95)+$B$3)),INDEX(bhpc_data[sku],SMALL(IF(ISNUMBER(MATCH(bhpc_data[category],$EC$9,0)*MATCH(bhpc_data[size1],$EC$13,0)),MATCH(ROW(bhpc_data[sku]),ROW(bhpc_data[sku])),""),ROWS($A$15:A95)+$B$3))),IF($EC$13="",INDEX(bhpc_data[sku],SMALL(IF(ISNUMBER(MATCH(bhpc_data[category],$EC$9,0)*MATCH(bhpc_data[sex],$EC$11,0)),MATCH(ROW(bhpc_data[sku]),ROW(bhpc_data[sku])),""),ROWS($A$15:A95)+$B$3)),INDEX(bhpc_data[sku],SMALL(IF(ISNUMBER(MATCH(bhpc_data[category],$EC$9,0)*MATCH(bhpc_data[sex],$EC$11,0)*MATCH(bhpc_data[size1],$EC$13,0)),MATCH(ROW(bhpc_data[sku]),ROW(bhpc_data[sku])),""),ROWS($A$15:A95)+$B$3))))),"")</f>
        <v>PBM001</v>
      </c>
      <c r="EF90" s="548" t="str" cm="1">
        <f t="array" ref="EF90">IFERROR(IF($EC$9="",IF($EC$11="",IF($EC$13="",INDEX(bhpc_data[description],SMALL(MATCH(ROW(bhpc_data[sku]),ROW(bhpc_data[sku])),ROWS($A$15:A95)+$B$3)),INDEX(bhpc_data[description],SMALL(IF(ISNUMBER(MATCH(bhpc_data[size1],$EC$13,0)),MATCH(ROW(bhpc_data[sku]),ROW(bhpc_data[sku])),""),ROWS($A$15:A95)+$B$3))),IF($EC$13="",INDEX(bhpc_data[description],SMALL(IF(ISNUMBER(MATCH(bhpc_data[sex],$EC$11,0)),MATCH(ROW(bhpc_data[sku]),ROW(bhpc_data[sku])),""),ROWS($A$15:A95)+$B$3)),INDEX(bhpc_data[description],SMALL(IF(ISNUMBER(MATCH(bhpc_data[sex],$EC$11,0)*MATCH(bhpc_data[size1],$EC$13,0)),MATCH(ROW(bhpc_data[sku]),ROW(bhpc_data[sku])),""),ROWS($A$15:A95)+$B$3)))),IF($EC$11="",IF($EC$13="",INDEX(bhpc_data[description],SMALL(IF(ISNUMBER(MATCH(bhpc_data[category],$EC$9,0)),MATCH(ROW(bhpc_data[sku]),ROW(bhpc_data[sku])),""),ROWS($A$15:A95)+$B$3)),INDEX(bhpc_data[description],SMALL(IF(ISNUMBER(MATCH(bhpc_data[category],$EC$9,0)*MATCH(bhpc_data[size1],$EC$13,0)),MATCH(ROW(bhpc_data[sku]),ROW(bhpc_data[sku])),""),ROWS($A$15:A95)+$B$3))),IF($EC$13="",INDEX(bhpc_data[description],SMALL(IF(ISNUMBER(MATCH(bhpc_data[category],$EC$9,0)*MATCH(bhpc_data[sex],$EC$11,0)),MATCH(ROW(bhpc_data[sku]),ROW(bhpc_data[sku])),""),ROWS($A$15:A95)+$B$3)),INDEX(bhpc_data[description],SMALL(IF(ISNUMBER(MATCH(bhpc_data[category],$EC$9,0)*MATCH(bhpc_data[sex],$EC$11,0)*MATCH(bhpc_data[size1],$EC$13,0)),MATCH(ROW(bhpc_data[sku]),ROW(bhpc_data[sku])),""),ROWS($A$15:A95)+$B$3))))),"")</f>
        <v>BHPC WOMEN BODY MIST #1 EVOKING GARDENIA 200ML</v>
      </c>
      <c r="EG90" s="549">
        <f>IFERROR(IF('BHPC MANAGER'!$EE90="","",INDEX(inventory[ESISTENZA],MATCH('BHPC MANAGER'!$EE90,inventory[ARTICOLO],0))),0)</f>
        <v>2970</v>
      </c>
      <c r="EH90" s="550">
        <v>6567</v>
      </c>
      <c r="EI90" s="550">
        <f t="shared" si="11"/>
        <v>9537</v>
      </c>
      <c r="EJ90" s="551">
        <v>-240</v>
      </c>
      <c r="EK90" s="552">
        <f t="shared" si="12"/>
        <v>9297</v>
      </c>
    </row>
    <row r="91" spans="59:141" ht="15" customHeight="1" x14ac:dyDescent="0.35">
      <c r="BK91" s="366"/>
      <c r="BL91" s="367"/>
      <c r="BM91" s="368"/>
      <c r="BN91" s="367"/>
      <c r="BO91" s="368"/>
      <c r="BZ91" s="497"/>
      <c r="CA91" s="477" t="str">
        <f>IF(BZ91="","",INDEX(bhpc_data[description],MATCH(BZ91,bhpc_data[sku],0)))</f>
        <v/>
      </c>
      <c r="CB91" s="480"/>
      <c r="CC91" s="479"/>
      <c r="CD91" s="498"/>
      <c r="CE91" s="499"/>
      <c r="CF91" s="500"/>
      <c r="CG91" s="483" t="str">
        <f>IFERROR(ROUNDUP(CB91/INDEX(bhpc_data[units_per_carton],MATCH(BZ91,bhpc_data[sku],0)),0),"")</f>
        <v/>
      </c>
      <c r="CH91" s="484" t="str">
        <f>IFERROR(ROUNDUP(CD91/INDEX(bhpc_data[units_per_carton],MATCH(BZ91,bhpc_data[sku],0)),0),"")</f>
        <v/>
      </c>
      <c r="CI91" s="484" t="str">
        <f>IFERROR(ROUNDUP(CF91/INDEX(bhpc_data[units_per_carton],MATCH(BZ91,bhpc_data[sku])),0),"")</f>
        <v/>
      </c>
      <c r="CJ91" s="484" t="str">
        <f>IFERROR(((CB91+CD91+CF91)/INDEX(bhpc_data[units_per_carton],MATCH(BZ91,bhpc_data[sku],0)))*INDEX(bhpc_data[net_weight],MATCH(BZ91,bhpc_data[sku],0)),"")</f>
        <v/>
      </c>
      <c r="CK91" s="484" t="str">
        <f>IFERROR(((CB91+CD91+CF91)/INDEX(bhpc_data[units_per_carton],MATCH(BZ91,bhpc_data[sku],0)))*INDEX(bhpc_data[gross_weight],MATCH(BZ91,bhpc_data[sku],0)),"")</f>
        <v/>
      </c>
      <c r="CL91" s="485" t="str">
        <f>IFERROR((CB91+CD91+CF91)/INDEX(bhpc_data[units_per_carton],MATCH(BZ91,bhpc_data[sku],0))*INDEX(bhpc_data[lenght],MATCH(BZ91,bhpc_data[sku],0))*INDEX(bhpc_data[width],MATCH(BZ91,bhpc_data[sku],0))*INDEX(bhpc_data[height],MATCH(BZ91,bhpc_data[sku],0))/1000000000,"")</f>
        <v/>
      </c>
      <c r="CM91" s="486" t="str">
        <f>IFERROR(INDEX(bhpc_data[category],MATCH(BZ91,bhpc_data[sku],0)),"")</f>
        <v/>
      </c>
      <c r="CN91" s="486" t="str">
        <f>IFERROR(INDEX(bhpc_data[size1],MATCH(BZ91,bhpc_data[sku],0)),"")</f>
        <v/>
      </c>
      <c r="CO91" s="487" t="str">
        <f>IFERROR(INDEX(bhpc_data[hs_code],MATCH(BZ91,bhpc_data[sku],0)),"")</f>
        <v/>
      </c>
      <c r="CP91" s="500"/>
      <c r="CQ91" s="488" t="str">
        <f>IFERROR(IF(BZ91="","",IF($BX$15="SALE",INDEX(inventory[COSTO UNITARIO],MATCH(BZ91,inventory[ARTICOLO],0)),IF($BX$15="SAMPLING",INDEX(inventory[COSTO UNITARIO],MATCH(BZ91,inventory[ARTICOLO],0)),""))),"")</f>
        <v/>
      </c>
      <c r="CR91" s="488" t="str">
        <f t="shared" si="8"/>
        <v/>
      </c>
      <c r="CS91" s="489" t="str">
        <f t="shared" si="9"/>
        <v/>
      </c>
      <c r="CT91" s="573" t="str">
        <f t="shared" si="10"/>
        <v/>
      </c>
      <c r="DA91" s="350" t="str">
        <f>IFERROR(VLOOKUP(BZ91,bhpc_data[],22,FALSE),"")</f>
        <v/>
      </c>
      <c r="EE91" s="541" t="str" cm="1">
        <f t="array" ref="EE91">IFERROR(IF($EC$9="",IF($EC$11="",IF($EC$13="",INDEX(bhpc_data[sku],SMALL(MATCH(ROW(bhpc_data[sku]),ROW(bhpc_data[sku])),ROWS($A$15:A96)+$B$3)),INDEX(bhpc_data[sku],SMALL(IF(ISNUMBER(MATCH(bhpc_data[size1],$EC$13,0)),MATCH(ROW(bhpc_data[sku]),ROW(bhpc_data[sku])),""),ROWS($A$15:A96)+$B$3))),IF($EC$13="",INDEX(bhpc_data[sku],SMALL(IF(ISNUMBER(MATCH(bhpc_data[sex],$EC$11,0)),MATCH(ROW(bhpc_data[sku]),ROW(bhpc_data[sku])),""),ROWS($A$15:A96)+$B$3)),INDEX(bhpc_data[sku],SMALL(IF(ISNUMBER(MATCH(bhpc_data[sex],$EC$11,0)*MATCH(bhpc_data[size1],$EC$13,0)),MATCH(ROW(bhpc_data[sku]),ROW(bhpc_data[sku])),""),ROWS($A$15:A96)+$B$3)))),IF($EC$11="",IF($EC$13="",INDEX(bhpc_data[sku],SMALL(IF(ISNUMBER(MATCH(bhpc_data[category],$EC$9,0)),MATCH(ROW(bhpc_data[sku]),ROW(bhpc_data[sku])),""),ROWS($A$15:A96)+$B$3)),INDEX(bhpc_data[sku],SMALL(IF(ISNUMBER(MATCH(bhpc_data[category],$EC$9,0)*MATCH(bhpc_data[size1],$EC$13,0)),MATCH(ROW(bhpc_data[sku]),ROW(bhpc_data[sku])),""),ROWS($A$15:A96)+$B$3))),IF($EC$13="",INDEX(bhpc_data[sku],SMALL(IF(ISNUMBER(MATCH(bhpc_data[category],$EC$9,0)*MATCH(bhpc_data[sex],$EC$11,0)),MATCH(ROW(bhpc_data[sku]),ROW(bhpc_data[sku])),""),ROWS($A$15:A96)+$B$3)),INDEX(bhpc_data[sku],SMALL(IF(ISNUMBER(MATCH(bhpc_data[category],$EC$9,0)*MATCH(bhpc_data[sex],$EC$11,0)*MATCH(bhpc_data[size1],$EC$13,0)),MATCH(ROW(bhpc_data[sku]),ROW(bhpc_data[sku])),""),ROWS($A$15:A96)+$B$3))))),"")</f>
        <v>PBM002</v>
      </c>
      <c r="EF91" s="542" t="str" cm="1">
        <f t="array" ref="EF91">IFERROR(IF($EC$9="",IF($EC$11="",IF($EC$13="",INDEX(bhpc_data[description],SMALL(MATCH(ROW(bhpc_data[sku]),ROW(bhpc_data[sku])),ROWS($A$15:A96)+$B$3)),INDEX(bhpc_data[description],SMALL(IF(ISNUMBER(MATCH(bhpc_data[size1],$EC$13,0)),MATCH(ROW(bhpc_data[sku]),ROW(bhpc_data[sku])),""),ROWS($A$15:A96)+$B$3))),IF($EC$13="",INDEX(bhpc_data[description],SMALL(IF(ISNUMBER(MATCH(bhpc_data[sex],$EC$11,0)),MATCH(ROW(bhpc_data[sku]),ROW(bhpc_data[sku])),""),ROWS($A$15:A96)+$B$3)),INDEX(bhpc_data[description],SMALL(IF(ISNUMBER(MATCH(bhpc_data[sex],$EC$11,0)*MATCH(bhpc_data[size1],$EC$13,0)),MATCH(ROW(bhpc_data[sku]),ROW(bhpc_data[sku])),""),ROWS($A$15:A96)+$B$3)))),IF($EC$11="",IF($EC$13="",INDEX(bhpc_data[description],SMALL(IF(ISNUMBER(MATCH(bhpc_data[category],$EC$9,0)),MATCH(ROW(bhpc_data[sku]),ROW(bhpc_data[sku])),""),ROWS($A$15:A96)+$B$3)),INDEX(bhpc_data[description],SMALL(IF(ISNUMBER(MATCH(bhpc_data[category],$EC$9,0)*MATCH(bhpc_data[size1],$EC$13,0)),MATCH(ROW(bhpc_data[sku]),ROW(bhpc_data[sku])),""),ROWS($A$15:A96)+$B$3))),IF($EC$13="",INDEX(bhpc_data[description],SMALL(IF(ISNUMBER(MATCH(bhpc_data[category],$EC$9,0)*MATCH(bhpc_data[sex],$EC$11,0)),MATCH(ROW(bhpc_data[sku]),ROW(bhpc_data[sku])),""),ROWS($A$15:A96)+$B$3)),INDEX(bhpc_data[description],SMALL(IF(ISNUMBER(MATCH(bhpc_data[category],$EC$9,0)*MATCH(bhpc_data[sex],$EC$11,0)*MATCH(bhpc_data[size1],$EC$13,0)),MATCH(ROW(bhpc_data[sku]),ROW(bhpc_data[sku])),""),ROWS($A$15:A96)+$B$3))))),"")</f>
        <v>BHPC WOMEN BODY MIST #2 CLASSIC FOUGERE 200ML</v>
      </c>
      <c r="EG91" s="543">
        <f>IFERROR(IF('BHPC MANAGER'!$EE91="","",INDEX(inventory[ESISTENZA],MATCH('BHPC MANAGER'!$EE91,inventory[ARTICOLO],0))),0)</f>
        <v>666</v>
      </c>
      <c r="EH91" s="544">
        <v>6569</v>
      </c>
      <c r="EI91" s="544">
        <f t="shared" si="11"/>
        <v>7235</v>
      </c>
      <c r="EJ91" s="545">
        <v>-240</v>
      </c>
      <c r="EK91" s="546">
        <f t="shared" si="12"/>
        <v>6995</v>
      </c>
    </row>
    <row r="92" spans="59:141" ht="15" customHeight="1" x14ac:dyDescent="0.35">
      <c r="BK92" s="366"/>
      <c r="BL92" s="367"/>
      <c r="BM92" s="368"/>
      <c r="BN92" s="367"/>
      <c r="BO92" s="368"/>
      <c r="BZ92" s="497"/>
      <c r="CA92" s="477" t="str">
        <f>IF(BZ92="","",INDEX(bhpc_data[description],MATCH(BZ92,bhpc_data[sku],0)))</f>
        <v/>
      </c>
      <c r="CB92" s="480"/>
      <c r="CC92" s="479"/>
      <c r="CD92" s="498"/>
      <c r="CE92" s="499"/>
      <c r="CF92" s="500"/>
      <c r="CG92" s="483" t="str">
        <f>IFERROR(ROUNDUP(CB92/INDEX(bhpc_data[units_per_carton],MATCH(BZ92,bhpc_data[sku],0)),0),"")</f>
        <v/>
      </c>
      <c r="CH92" s="484" t="str">
        <f>IFERROR(ROUNDUP(CD92/INDEX(bhpc_data[units_per_carton],MATCH(BZ92,bhpc_data[sku],0)),0),"")</f>
        <v/>
      </c>
      <c r="CI92" s="484" t="str">
        <f>IFERROR(ROUNDUP(CF92/INDEX(bhpc_data[units_per_carton],MATCH(BZ92,bhpc_data[sku])),0),"")</f>
        <v/>
      </c>
      <c r="CJ92" s="484" t="str">
        <f>IFERROR(((CB92+CD92+CF92)/INDEX(bhpc_data[units_per_carton],MATCH(BZ92,bhpc_data[sku],0)))*INDEX(bhpc_data[net_weight],MATCH(BZ92,bhpc_data[sku],0)),"")</f>
        <v/>
      </c>
      <c r="CK92" s="484" t="str">
        <f>IFERROR(((CB92+CD92+CF92)/INDEX(bhpc_data[units_per_carton],MATCH(BZ92,bhpc_data[sku],0)))*INDEX(bhpc_data[gross_weight],MATCH(BZ92,bhpc_data[sku],0)),"")</f>
        <v/>
      </c>
      <c r="CL92" s="485" t="str">
        <f>IFERROR((CB92+CD92+CF92)/INDEX(bhpc_data[units_per_carton],MATCH(BZ92,bhpc_data[sku],0))*INDEX(bhpc_data[lenght],MATCH(BZ92,bhpc_data[sku],0))*INDEX(bhpc_data[width],MATCH(BZ92,bhpc_data[sku],0))*INDEX(bhpc_data[height],MATCH(BZ92,bhpc_data[sku],0))/1000000000,"")</f>
        <v/>
      </c>
      <c r="CM92" s="486" t="str">
        <f>IFERROR(INDEX(bhpc_data[category],MATCH(BZ92,bhpc_data[sku],0)),"")</f>
        <v/>
      </c>
      <c r="CN92" s="486" t="str">
        <f>IFERROR(INDEX(bhpc_data[size1],MATCH(BZ92,bhpc_data[sku],0)),"")</f>
        <v/>
      </c>
      <c r="CO92" s="487" t="str">
        <f>IFERROR(INDEX(bhpc_data[hs_code],MATCH(BZ92,bhpc_data[sku],0)),"")</f>
        <v/>
      </c>
      <c r="CP92" s="500"/>
      <c r="CQ92" s="488" t="str">
        <f>IFERROR(IF(BZ92="","",IF($BX$15="SALE",INDEX(inventory[COSTO UNITARIO],MATCH(BZ92,inventory[ARTICOLO],0)),IF($BX$15="SAMPLING",INDEX(inventory[COSTO UNITARIO],MATCH(BZ92,inventory[ARTICOLO],0)),""))),"")</f>
        <v/>
      </c>
      <c r="CR92" s="488" t="str">
        <f t="shared" si="8"/>
        <v/>
      </c>
      <c r="CS92" s="489" t="str">
        <f t="shared" si="9"/>
        <v/>
      </c>
      <c r="CT92" s="573" t="str">
        <f t="shared" si="10"/>
        <v/>
      </c>
      <c r="DA92" s="350" t="str">
        <f>IFERROR(VLOOKUP(BZ92,bhpc_data[],22,FALSE),"")</f>
        <v/>
      </c>
      <c r="EE92" s="547" t="str" cm="1">
        <f t="array" ref="EE92">IFERROR(IF($EC$9="",IF($EC$11="",IF($EC$13="",INDEX(bhpc_data[sku],SMALL(MATCH(ROW(bhpc_data[sku]),ROW(bhpc_data[sku])),ROWS($A$15:A97)+$B$3)),INDEX(bhpc_data[sku],SMALL(IF(ISNUMBER(MATCH(bhpc_data[size1],$EC$13,0)),MATCH(ROW(bhpc_data[sku]),ROW(bhpc_data[sku])),""),ROWS($A$15:A97)+$B$3))),IF($EC$13="",INDEX(bhpc_data[sku],SMALL(IF(ISNUMBER(MATCH(bhpc_data[sex],$EC$11,0)),MATCH(ROW(bhpc_data[sku]),ROW(bhpc_data[sku])),""),ROWS($A$15:A97)+$B$3)),INDEX(bhpc_data[sku],SMALL(IF(ISNUMBER(MATCH(bhpc_data[sex],$EC$11,0)*MATCH(bhpc_data[size1],$EC$13,0)),MATCH(ROW(bhpc_data[sku]),ROW(bhpc_data[sku])),""),ROWS($A$15:A97)+$B$3)))),IF($EC$11="",IF($EC$13="",INDEX(bhpc_data[sku],SMALL(IF(ISNUMBER(MATCH(bhpc_data[category],$EC$9,0)),MATCH(ROW(bhpc_data[sku]),ROW(bhpc_data[sku])),""),ROWS($A$15:A97)+$B$3)),INDEX(bhpc_data[sku],SMALL(IF(ISNUMBER(MATCH(bhpc_data[category],$EC$9,0)*MATCH(bhpc_data[size1],$EC$13,0)),MATCH(ROW(bhpc_data[sku]),ROW(bhpc_data[sku])),""),ROWS($A$15:A97)+$B$3))),IF($EC$13="",INDEX(bhpc_data[sku],SMALL(IF(ISNUMBER(MATCH(bhpc_data[category],$EC$9,0)*MATCH(bhpc_data[sex],$EC$11,0)),MATCH(ROW(bhpc_data[sku]),ROW(bhpc_data[sku])),""),ROWS($A$15:A97)+$B$3)),INDEX(bhpc_data[sku],SMALL(IF(ISNUMBER(MATCH(bhpc_data[category],$EC$9,0)*MATCH(bhpc_data[sex],$EC$11,0)*MATCH(bhpc_data[size1],$EC$13,0)),MATCH(ROW(bhpc_data[sku]),ROW(bhpc_data[sku])),""),ROWS($A$15:A97)+$B$3))))),"")</f>
        <v>PBM008</v>
      </c>
      <c r="EF92" s="548" t="str" cm="1">
        <f t="array" ref="EF92">IFERROR(IF($EC$9="",IF($EC$11="",IF($EC$13="",INDEX(bhpc_data[description],SMALL(MATCH(ROW(bhpc_data[sku]),ROW(bhpc_data[sku])),ROWS($A$15:A97)+$B$3)),INDEX(bhpc_data[description],SMALL(IF(ISNUMBER(MATCH(bhpc_data[size1],$EC$13,0)),MATCH(ROW(bhpc_data[sku]),ROW(bhpc_data[sku])),""),ROWS($A$15:A97)+$B$3))),IF($EC$13="",INDEX(bhpc_data[description],SMALL(IF(ISNUMBER(MATCH(bhpc_data[sex],$EC$11,0)),MATCH(ROW(bhpc_data[sku]),ROW(bhpc_data[sku])),""),ROWS($A$15:A97)+$B$3)),INDEX(bhpc_data[description],SMALL(IF(ISNUMBER(MATCH(bhpc_data[sex],$EC$11,0)*MATCH(bhpc_data[size1],$EC$13,0)),MATCH(ROW(bhpc_data[sku]),ROW(bhpc_data[sku])),""),ROWS($A$15:A97)+$B$3)))),IF($EC$11="",IF($EC$13="",INDEX(bhpc_data[description],SMALL(IF(ISNUMBER(MATCH(bhpc_data[category],$EC$9,0)),MATCH(ROW(bhpc_data[sku]),ROW(bhpc_data[sku])),""),ROWS($A$15:A97)+$B$3)),INDEX(bhpc_data[description],SMALL(IF(ISNUMBER(MATCH(bhpc_data[category],$EC$9,0)*MATCH(bhpc_data[size1],$EC$13,0)),MATCH(ROW(bhpc_data[sku]),ROW(bhpc_data[sku])),""),ROWS($A$15:A97)+$B$3))),IF($EC$13="",INDEX(bhpc_data[description],SMALL(IF(ISNUMBER(MATCH(bhpc_data[category],$EC$9,0)*MATCH(bhpc_data[sex],$EC$11,0)),MATCH(ROW(bhpc_data[sku]),ROW(bhpc_data[sku])),""),ROWS($A$15:A97)+$B$3)),INDEX(bhpc_data[description],SMALL(IF(ISNUMBER(MATCH(bhpc_data[category],$EC$9,0)*MATCH(bhpc_data[sex],$EC$11,0)*MATCH(bhpc_data[size1],$EC$13,0)),MATCH(ROW(bhpc_data[sku]),ROW(bhpc_data[sku])),""),ROWS($A$15:A97)+$B$3))))),"")</f>
        <v>BHPC WOMEN BODY MIST #8 EXOTIC FRAGRANCE 200ML</v>
      </c>
      <c r="EG92" s="549">
        <f>IFERROR(IF('BHPC MANAGER'!$EE92="","",INDEX(inventory[ESISTENZA],MATCH('BHPC MANAGER'!$EE92,inventory[ARTICOLO],0))),0)</f>
        <v>422</v>
      </c>
      <c r="EH92" s="550">
        <v>6564</v>
      </c>
      <c r="EI92" s="550">
        <f t="shared" si="11"/>
        <v>6986</v>
      </c>
      <c r="EJ92" s="551">
        <v>-240</v>
      </c>
      <c r="EK92" s="552">
        <f t="shared" si="12"/>
        <v>6746</v>
      </c>
    </row>
    <row r="93" spans="59:141" ht="15" customHeight="1" x14ac:dyDescent="0.35">
      <c r="BK93" s="366"/>
      <c r="BL93" s="367"/>
      <c r="BM93" s="368"/>
      <c r="BN93" s="367"/>
      <c r="BO93" s="368"/>
      <c r="BZ93" s="497"/>
      <c r="CA93" s="477" t="str">
        <f>IF(BZ93="","",INDEX(bhpc_data[description],MATCH(BZ93,bhpc_data[sku],0)))</f>
        <v/>
      </c>
      <c r="CB93" s="480"/>
      <c r="CC93" s="479"/>
      <c r="CD93" s="498"/>
      <c r="CE93" s="499"/>
      <c r="CF93" s="500"/>
      <c r="CG93" s="483" t="str">
        <f>IFERROR(ROUNDUP(CB93/INDEX(bhpc_data[units_per_carton],MATCH(BZ93,bhpc_data[sku],0)),0),"")</f>
        <v/>
      </c>
      <c r="CH93" s="484" t="str">
        <f>IFERROR(ROUNDUP(CD93/INDEX(bhpc_data[units_per_carton],MATCH(BZ93,bhpc_data[sku],0)),0),"")</f>
        <v/>
      </c>
      <c r="CI93" s="484" t="str">
        <f>IFERROR(ROUNDUP(CF93/INDEX(bhpc_data[units_per_carton],MATCH(BZ93,bhpc_data[sku])),0),"")</f>
        <v/>
      </c>
      <c r="CJ93" s="484" t="str">
        <f>IFERROR(((CB93+CD93+CF93)/INDEX(bhpc_data[units_per_carton],MATCH(BZ93,bhpc_data[sku],0)))*INDEX(bhpc_data[net_weight],MATCH(BZ93,bhpc_data[sku],0)),"")</f>
        <v/>
      </c>
      <c r="CK93" s="484" t="str">
        <f>IFERROR(((CB93+CD93+CF93)/INDEX(bhpc_data[units_per_carton],MATCH(BZ93,bhpc_data[sku],0)))*INDEX(bhpc_data[gross_weight],MATCH(BZ93,bhpc_data[sku],0)),"")</f>
        <v/>
      </c>
      <c r="CL93" s="485" t="str">
        <f>IFERROR((CB93+CD93+CF93)/INDEX(bhpc_data[units_per_carton],MATCH(BZ93,bhpc_data[sku],0))*INDEX(bhpc_data[lenght],MATCH(BZ93,bhpc_data[sku],0))*INDEX(bhpc_data[width],MATCH(BZ93,bhpc_data[sku],0))*INDEX(bhpc_data[height],MATCH(BZ93,bhpc_data[sku],0))/1000000000,"")</f>
        <v/>
      </c>
      <c r="CM93" s="486" t="str">
        <f>IFERROR(INDEX(bhpc_data[category],MATCH(BZ93,bhpc_data[sku],0)),"")</f>
        <v/>
      </c>
      <c r="CN93" s="486" t="str">
        <f>IFERROR(INDEX(bhpc_data[size1],MATCH(BZ93,bhpc_data[sku],0)),"")</f>
        <v/>
      </c>
      <c r="CO93" s="487" t="str">
        <f>IFERROR(INDEX(bhpc_data[hs_code],MATCH(BZ93,bhpc_data[sku],0)),"")</f>
        <v/>
      </c>
      <c r="CP93" s="500"/>
      <c r="CQ93" s="488" t="str">
        <f>IFERROR(IF(BZ93="","",IF($BX$15="SALE",INDEX(inventory[COSTO UNITARIO],MATCH(BZ93,inventory[ARTICOLO],0)),IF($BX$15="SAMPLING",INDEX(inventory[COSTO UNITARIO],MATCH(BZ93,inventory[ARTICOLO],0)),""))),"")</f>
        <v/>
      </c>
      <c r="CR93" s="488" t="str">
        <f t="shared" si="8"/>
        <v/>
      </c>
      <c r="CS93" s="489" t="str">
        <f t="shared" si="9"/>
        <v/>
      </c>
      <c r="CT93" s="573" t="str">
        <f t="shared" si="10"/>
        <v/>
      </c>
      <c r="DA93" s="350" t="str">
        <f>IFERROR(VLOOKUP(BZ93,bhpc_data[],22,FALSE),"")</f>
        <v/>
      </c>
      <c r="EE93" s="541" t="str" cm="1">
        <f t="array" ref="EE93">IFERROR(IF($EC$9="",IF($EC$11="",IF($EC$13="",INDEX(bhpc_data[sku],SMALL(MATCH(ROW(bhpc_data[sku]),ROW(bhpc_data[sku])),ROWS($A$15:A98)+$B$3)),INDEX(bhpc_data[sku],SMALL(IF(ISNUMBER(MATCH(bhpc_data[size1],$EC$13,0)),MATCH(ROW(bhpc_data[sku]),ROW(bhpc_data[sku])),""),ROWS($A$15:A98)+$B$3))),IF($EC$13="",INDEX(bhpc_data[sku],SMALL(IF(ISNUMBER(MATCH(bhpc_data[sex],$EC$11,0)),MATCH(ROW(bhpc_data[sku]),ROW(bhpc_data[sku])),""),ROWS($A$15:A98)+$B$3)),INDEX(bhpc_data[sku],SMALL(IF(ISNUMBER(MATCH(bhpc_data[sex],$EC$11,0)*MATCH(bhpc_data[size1],$EC$13,0)),MATCH(ROW(bhpc_data[sku]),ROW(bhpc_data[sku])),""),ROWS($A$15:A98)+$B$3)))),IF($EC$11="",IF($EC$13="",INDEX(bhpc_data[sku],SMALL(IF(ISNUMBER(MATCH(bhpc_data[category],$EC$9,0)),MATCH(ROW(bhpc_data[sku]),ROW(bhpc_data[sku])),""),ROWS($A$15:A98)+$B$3)),INDEX(bhpc_data[sku],SMALL(IF(ISNUMBER(MATCH(bhpc_data[category],$EC$9,0)*MATCH(bhpc_data[size1],$EC$13,0)),MATCH(ROW(bhpc_data[sku]),ROW(bhpc_data[sku])),""),ROWS($A$15:A98)+$B$3))),IF($EC$13="",INDEX(bhpc_data[sku],SMALL(IF(ISNUMBER(MATCH(bhpc_data[category],$EC$9,0)*MATCH(bhpc_data[sex],$EC$11,0)),MATCH(ROW(bhpc_data[sku]),ROW(bhpc_data[sku])),""),ROWS($A$15:A98)+$B$3)),INDEX(bhpc_data[sku],SMALL(IF(ISNUMBER(MATCH(bhpc_data[category],$EC$9,0)*MATCH(bhpc_data[sex],$EC$11,0)*MATCH(bhpc_data[size1],$EC$13,0)),MATCH(ROW(bhpc_data[sku]),ROW(bhpc_data[sku])),""),ROWS($A$15:A98)+$B$3))))),"")</f>
        <v>PBM009</v>
      </c>
      <c r="EF93" s="542" t="str" cm="1">
        <f t="array" ref="EF93">IFERROR(IF($EC$9="",IF($EC$11="",IF($EC$13="",INDEX(bhpc_data[description],SMALL(MATCH(ROW(bhpc_data[sku]),ROW(bhpc_data[sku])),ROWS($A$15:A98)+$B$3)),INDEX(bhpc_data[description],SMALL(IF(ISNUMBER(MATCH(bhpc_data[size1],$EC$13,0)),MATCH(ROW(bhpc_data[sku]),ROW(bhpc_data[sku])),""),ROWS($A$15:A98)+$B$3))),IF($EC$13="",INDEX(bhpc_data[description],SMALL(IF(ISNUMBER(MATCH(bhpc_data[sex],$EC$11,0)),MATCH(ROW(bhpc_data[sku]),ROW(bhpc_data[sku])),""),ROWS($A$15:A98)+$B$3)),INDEX(bhpc_data[description],SMALL(IF(ISNUMBER(MATCH(bhpc_data[sex],$EC$11,0)*MATCH(bhpc_data[size1],$EC$13,0)),MATCH(ROW(bhpc_data[sku]),ROW(bhpc_data[sku])),""),ROWS($A$15:A98)+$B$3)))),IF($EC$11="",IF($EC$13="",INDEX(bhpc_data[description],SMALL(IF(ISNUMBER(MATCH(bhpc_data[category],$EC$9,0)),MATCH(ROW(bhpc_data[sku]),ROW(bhpc_data[sku])),""),ROWS($A$15:A98)+$B$3)),INDEX(bhpc_data[description],SMALL(IF(ISNUMBER(MATCH(bhpc_data[category],$EC$9,0)*MATCH(bhpc_data[size1],$EC$13,0)),MATCH(ROW(bhpc_data[sku]),ROW(bhpc_data[sku])),""),ROWS($A$15:A98)+$B$3))),IF($EC$13="",INDEX(bhpc_data[description],SMALL(IF(ISNUMBER(MATCH(bhpc_data[category],$EC$9,0)*MATCH(bhpc_data[sex],$EC$11,0)),MATCH(ROW(bhpc_data[sku]),ROW(bhpc_data[sku])),""),ROWS($A$15:A98)+$B$3)),INDEX(bhpc_data[description],SMALL(IF(ISNUMBER(MATCH(bhpc_data[category],$EC$9,0)*MATCH(bhpc_data[sex],$EC$11,0)*MATCH(bhpc_data[size1],$EC$13,0)),MATCH(ROW(bhpc_data[sku]),ROW(bhpc_data[sku])),""),ROWS($A$15:A98)+$B$3))))),"")</f>
        <v>BHPC WOMEN BODY MIST #9 SPARKING FLORAL 200ML</v>
      </c>
      <c r="EG93" s="543">
        <f>IFERROR(IF('BHPC MANAGER'!$EE93="","",INDEX(inventory[ESISTENZA],MATCH('BHPC MANAGER'!$EE93,inventory[ARTICOLO],0))),0)</f>
        <v>618</v>
      </c>
      <c r="EH93" s="544">
        <v>6569</v>
      </c>
      <c r="EI93" s="544">
        <f t="shared" si="11"/>
        <v>7187</v>
      </c>
      <c r="EJ93" s="545">
        <v>-240</v>
      </c>
      <c r="EK93" s="546">
        <f t="shared" si="12"/>
        <v>6947</v>
      </c>
    </row>
    <row r="94" spans="59:141" ht="15" customHeight="1" x14ac:dyDescent="0.35">
      <c r="BK94" s="366"/>
      <c r="BL94" s="367"/>
      <c r="BM94" s="368"/>
      <c r="BN94" s="367"/>
      <c r="BO94" s="368"/>
      <c r="BZ94" s="497"/>
      <c r="CA94" s="477" t="str">
        <f>IF(BZ94="","",INDEX(bhpc_data[description],MATCH(BZ94,bhpc_data[sku],0)))</f>
        <v/>
      </c>
      <c r="CB94" s="480"/>
      <c r="CC94" s="479"/>
      <c r="CD94" s="498"/>
      <c r="CE94" s="499"/>
      <c r="CF94" s="500"/>
      <c r="CG94" s="483" t="str">
        <f>IFERROR(ROUNDUP(CB94/INDEX(bhpc_data[units_per_carton],MATCH(BZ94,bhpc_data[sku],0)),0),"")</f>
        <v/>
      </c>
      <c r="CH94" s="484" t="str">
        <f>IFERROR(ROUNDUP(CD94/INDEX(bhpc_data[units_per_carton],MATCH(BZ94,bhpc_data[sku],0)),0),"")</f>
        <v/>
      </c>
      <c r="CI94" s="484" t="str">
        <f>IFERROR(ROUNDUP(CF94/INDEX(bhpc_data[units_per_carton],MATCH(BZ94,bhpc_data[sku])),0),"")</f>
        <v/>
      </c>
      <c r="CJ94" s="484" t="str">
        <f>IFERROR(((CB94+CD94+CF94)/INDEX(bhpc_data[units_per_carton],MATCH(BZ94,bhpc_data[sku],0)))*INDEX(bhpc_data[net_weight],MATCH(BZ94,bhpc_data[sku],0)),"")</f>
        <v/>
      </c>
      <c r="CK94" s="484" t="str">
        <f>IFERROR(((CB94+CD94+CF94)/INDEX(bhpc_data[units_per_carton],MATCH(BZ94,bhpc_data[sku],0)))*INDEX(bhpc_data[gross_weight],MATCH(BZ94,bhpc_data[sku],0)),"")</f>
        <v/>
      </c>
      <c r="CL94" s="485" t="str">
        <f>IFERROR((CB94+CD94+CF94)/INDEX(bhpc_data[units_per_carton],MATCH(BZ94,bhpc_data[sku],0))*INDEX(bhpc_data[lenght],MATCH(BZ94,bhpc_data[sku],0))*INDEX(bhpc_data[width],MATCH(BZ94,bhpc_data[sku],0))*INDEX(bhpc_data[height],MATCH(BZ94,bhpc_data[sku],0))/1000000000,"")</f>
        <v/>
      </c>
      <c r="CM94" s="486" t="str">
        <f>IFERROR(INDEX(bhpc_data[category],MATCH(BZ94,bhpc_data[sku],0)),"")</f>
        <v/>
      </c>
      <c r="CN94" s="486" t="str">
        <f>IFERROR(INDEX(bhpc_data[size1],MATCH(BZ94,bhpc_data[sku],0)),"")</f>
        <v/>
      </c>
      <c r="CO94" s="487" t="str">
        <f>IFERROR(INDEX(bhpc_data[hs_code],MATCH(BZ94,bhpc_data[sku],0)),"")</f>
        <v/>
      </c>
      <c r="CP94" s="500"/>
      <c r="CQ94" s="488" t="str">
        <f>IFERROR(IF(BZ94="","",IF($BX$15="SALE",INDEX(inventory[COSTO UNITARIO],MATCH(BZ94,inventory[ARTICOLO],0)),IF($BX$15="SAMPLING",INDEX(inventory[COSTO UNITARIO],MATCH(BZ94,inventory[ARTICOLO],0)),""))),"")</f>
        <v/>
      </c>
      <c r="CR94" s="488" t="str">
        <f t="shared" si="8"/>
        <v/>
      </c>
      <c r="CS94" s="489" t="str">
        <f t="shared" si="9"/>
        <v/>
      </c>
      <c r="CT94" s="573" t="str">
        <f t="shared" si="10"/>
        <v/>
      </c>
      <c r="DA94" s="350" t="str">
        <f>IFERROR(VLOOKUP(BZ94,bhpc_data[],22,FALSE),"")</f>
        <v/>
      </c>
      <c r="EE94" s="547" t="str" cm="1">
        <f t="array" ref="EE94">IFERROR(IF($EC$9="",IF($EC$11="",IF($EC$13="",INDEX(bhpc_data[sku],SMALL(MATCH(ROW(bhpc_data[sku]),ROW(bhpc_data[sku])),ROWS($A$15:A99)+$B$3)),INDEX(bhpc_data[sku],SMALL(IF(ISNUMBER(MATCH(bhpc_data[size1],$EC$13,0)),MATCH(ROW(bhpc_data[sku]),ROW(bhpc_data[sku])),""),ROWS($A$15:A99)+$B$3))),IF($EC$13="",INDEX(bhpc_data[sku],SMALL(IF(ISNUMBER(MATCH(bhpc_data[sex],$EC$11,0)),MATCH(ROW(bhpc_data[sku]),ROW(bhpc_data[sku])),""),ROWS($A$15:A99)+$B$3)),INDEX(bhpc_data[sku],SMALL(IF(ISNUMBER(MATCH(bhpc_data[sex],$EC$11,0)*MATCH(bhpc_data[size1],$EC$13,0)),MATCH(ROW(bhpc_data[sku]),ROW(bhpc_data[sku])),""),ROWS($A$15:A99)+$B$3)))),IF($EC$11="",IF($EC$13="",INDEX(bhpc_data[sku],SMALL(IF(ISNUMBER(MATCH(bhpc_data[category],$EC$9,0)),MATCH(ROW(bhpc_data[sku]),ROW(bhpc_data[sku])),""),ROWS($A$15:A99)+$B$3)),INDEX(bhpc_data[sku],SMALL(IF(ISNUMBER(MATCH(bhpc_data[category],$EC$9,0)*MATCH(bhpc_data[size1],$EC$13,0)),MATCH(ROW(bhpc_data[sku]),ROW(bhpc_data[sku])),""),ROWS($A$15:A99)+$B$3))),IF($EC$13="",INDEX(bhpc_data[sku],SMALL(IF(ISNUMBER(MATCH(bhpc_data[category],$EC$9,0)*MATCH(bhpc_data[sex],$EC$11,0)),MATCH(ROW(bhpc_data[sku]),ROW(bhpc_data[sku])),""),ROWS($A$15:A99)+$B$3)),INDEX(bhpc_data[sku],SMALL(IF(ISNUMBER(MATCH(bhpc_data[category],$EC$9,0)*MATCH(bhpc_data[sex],$EC$11,0)*MATCH(bhpc_data[size1],$EC$13,0)),MATCH(ROW(bhpc_data[sku]),ROW(bhpc_data[sku])),""),ROWS($A$15:A99)+$B$3))))),"")</f>
        <v>PT6000</v>
      </c>
      <c r="EF94" s="548" t="str" cm="1">
        <f t="array" ref="EF94">IFERROR(IF($EC$9="",IF($EC$11="",IF($EC$13="",INDEX(bhpc_data[description],SMALL(MATCH(ROW(bhpc_data[sku]),ROW(bhpc_data[sku])),ROWS($A$15:A99)+$B$3)),INDEX(bhpc_data[description],SMALL(IF(ISNUMBER(MATCH(bhpc_data[size1],$EC$13,0)),MATCH(ROW(bhpc_data[sku]),ROW(bhpc_data[sku])),""),ROWS($A$15:A99)+$B$3))),IF($EC$13="",INDEX(bhpc_data[description],SMALL(IF(ISNUMBER(MATCH(bhpc_data[sex],$EC$11,0)),MATCH(ROW(bhpc_data[sku]),ROW(bhpc_data[sku])),""),ROWS($A$15:A99)+$B$3)),INDEX(bhpc_data[description],SMALL(IF(ISNUMBER(MATCH(bhpc_data[sex],$EC$11,0)*MATCH(bhpc_data[size1],$EC$13,0)),MATCH(ROW(bhpc_data[sku]),ROW(bhpc_data[sku])),""),ROWS($A$15:A99)+$B$3)))),IF($EC$11="",IF($EC$13="",INDEX(bhpc_data[description],SMALL(IF(ISNUMBER(MATCH(bhpc_data[category],$EC$9,0)),MATCH(ROW(bhpc_data[sku]),ROW(bhpc_data[sku])),""),ROWS($A$15:A99)+$B$3)),INDEX(bhpc_data[description],SMALL(IF(ISNUMBER(MATCH(bhpc_data[category],$EC$9,0)*MATCH(bhpc_data[size1],$EC$13,0)),MATCH(ROW(bhpc_data[sku]),ROW(bhpc_data[sku])),""),ROWS($A$15:A99)+$B$3))),IF($EC$13="",INDEX(bhpc_data[description],SMALL(IF(ISNUMBER(MATCH(bhpc_data[category],$EC$9,0)*MATCH(bhpc_data[sex],$EC$11,0)),MATCH(ROW(bhpc_data[sku]),ROW(bhpc_data[sku])),""),ROWS($A$15:A99)+$B$3)),INDEX(bhpc_data[description],SMALL(IF(ISNUMBER(MATCH(bhpc_data[category],$EC$9,0)*MATCH(bhpc_data[sex],$EC$11,0)*MATCH(bhpc_data[size1],$EC$13,0)),MATCH(ROW(bhpc_data[sku]),ROW(bhpc_data[sku])),""),ROWS($A$15:A99)+$B$3))))),"")</f>
        <v>BHPC TESTERS TROPHY 100ML EDP MEN</v>
      </c>
      <c r="EG94" s="549">
        <f>IFERROR(IF('BHPC MANAGER'!$EE94="","",INDEX(inventory[ESISTENZA],MATCH('BHPC MANAGER'!$EE94,inventory[ARTICOLO],0))),0)</f>
        <v>0</v>
      </c>
      <c r="EH94" s="550" t="s">
        <v>914</v>
      </c>
      <c r="EI94" s="550">
        <f t="shared" si="11"/>
        <v>0</v>
      </c>
      <c r="EJ94" s="551" t="s">
        <v>914</v>
      </c>
      <c r="EK94" s="552">
        <f t="shared" si="12"/>
        <v>0</v>
      </c>
    </row>
    <row r="95" spans="59:141" ht="15" customHeight="1" x14ac:dyDescent="0.35">
      <c r="BK95" s="366"/>
      <c r="BL95" s="367"/>
      <c r="BM95" s="368"/>
      <c r="BN95" s="367"/>
      <c r="BO95" s="368"/>
      <c r="BZ95" s="497"/>
      <c r="CA95" s="477" t="str">
        <f>IF(BZ95="","",INDEX(bhpc_data[description],MATCH(BZ95,bhpc_data[sku],0)))</f>
        <v/>
      </c>
      <c r="CB95" s="480"/>
      <c r="CC95" s="479"/>
      <c r="CD95" s="498"/>
      <c r="CE95" s="499"/>
      <c r="CF95" s="500"/>
      <c r="CG95" s="483" t="str">
        <f>IFERROR(ROUNDUP(CB95/INDEX(bhpc_data[units_per_carton],MATCH(BZ95,bhpc_data[sku],0)),0),"")</f>
        <v/>
      </c>
      <c r="CH95" s="484" t="str">
        <f>IFERROR(ROUNDUP(CD95/INDEX(bhpc_data[units_per_carton],MATCH(BZ95,bhpc_data[sku],0)),0),"")</f>
        <v/>
      </c>
      <c r="CI95" s="484" t="str">
        <f>IFERROR(ROUNDUP(CF95/INDEX(bhpc_data[units_per_carton],MATCH(BZ95,bhpc_data[sku])),0),"")</f>
        <v/>
      </c>
      <c r="CJ95" s="484" t="str">
        <f>IFERROR(((CB95+CD95+CF95)/INDEX(bhpc_data[units_per_carton],MATCH(BZ95,bhpc_data[sku],0)))*INDEX(bhpc_data[net_weight],MATCH(BZ95,bhpc_data[sku],0)),"")</f>
        <v/>
      </c>
      <c r="CK95" s="484" t="str">
        <f>IFERROR(((CB95+CD95+CF95)/INDEX(bhpc_data[units_per_carton],MATCH(BZ95,bhpc_data[sku],0)))*INDEX(bhpc_data[gross_weight],MATCH(BZ95,bhpc_data[sku],0)),"")</f>
        <v/>
      </c>
      <c r="CL95" s="485" t="str">
        <f>IFERROR((CB95+CD95+CF95)/INDEX(bhpc_data[units_per_carton],MATCH(BZ95,bhpc_data[sku],0))*INDEX(bhpc_data[lenght],MATCH(BZ95,bhpc_data[sku],0))*INDEX(bhpc_data[width],MATCH(BZ95,bhpc_data[sku],0))*INDEX(bhpc_data[height],MATCH(BZ95,bhpc_data[sku],0))/1000000000,"")</f>
        <v/>
      </c>
      <c r="CM95" s="486" t="str">
        <f>IFERROR(INDEX(bhpc_data[category],MATCH(BZ95,bhpc_data[sku],0)),"")</f>
        <v/>
      </c>
      <c r="CN95" s="486" t="str">
        <f>IFERROR(INDEX(bhpc_data[size1],MATCH(BZ95,bhpc_data[sku],0)),"")</f>
        <v/>
      </c>
      <c r="CO95" s="487" t="str">
        <f>IFERROR(INDEX(bhpc_data[hs_code],MATCH(BZ95,bhpc_data[sku],0)),"")</f>
        <v/>
      </c>
      <c r="CP95" s="500"/>
      <c r="CQ95" s="488" t="str">
        <f>IFERROR(IF(BZ95="","",IF($BX$15="SALE",INDEX(inventory[COSTO UNITARIO],MATCH(BZ95,inventory[ARTICOLO],0)),IF($BX$15="SAMPLING",INDEX(inventory[COSTO UNITARIO],MATCH(BZ95,inventory[ARTICOLO],0)),""))),"")</f>
        <v/>
      </c>
      <c r="CR95" s="488" t="str">
        <f t="shared" si="8"/>
        <v/>
      </c>
      <c r="CS95" s="489" t="str">
        <f t="shared" si="9"/>
        <v/>
      </c>
      <c r="CT95" s="573" t="str">
        <f t="shared" si="10"/>
        <v/>
      </c>
      <c r="DA95" s="350" t="str">
        <f>IFERROR(VLOOKUP(BZ95,bhpc_data[],22,FALSE),"")</f>
        <v/>
      </c>
      <c r="EE95" s="541" t="str" cm="1">
        <f t="array" ref="EE95">IFERROR(IF($EC$9="",IF($EC$11="",IF($EC$13="",INDEX(bhpc_data[sku],SMALL(MATCH(ROW(bhpc_data[sku]),ROW(bhpc_data[sku])),ROWS($A$15:A100)+$B$3)),INDEX(bhpc_data[sku],SMALL(IF(ISNUMBER(MATCH(bhpc_data[size1],$EC$13,0)),MATCH(ROW(bhpc_data[sku]),ROW(bhpc_data[sku])),""),ROWS($A$15:A100)+$B$3))),IF($EC$13="",INDEX(bhpc_data[sku],SMALL(IF(ISNUMBER(MATCH(bhpc_data[sex],$EC$11,0)),MATCH(ROW(bhpc_data[sku]),ROW(bhpc_data[sku])),""),ROWS($A$15:A100)+$B$3)),INDEX(bhpc_data[sku],SMALL(IF(ISNUMBER(MATCH(bhpc_data[sex],$EC$11,0)*MATCH(bhpc_data[size1],$EC$13,0)),MATCH(ROW(bhpc_data[sku]),ROW(bhpc_data[sku])),""),ROWS($A$15:A100)+$B$3)))),IF($EC$11="",IF($EC$13="",INDEX(bhpc_data[sku],SMALL(IF(ISNUMBER(MATCH(bhpc_data[category],$EC$9,0)),MATCH(ROW(bhpc_data[sku]),ROW(bhpc_data[sku])),""),ROWS($A$15:A100)+$B$3)),INDEX(bhpc_data[sku],SMALL(IF(ISNUMBER(MATCH(bhpc_data[category],$EC$9,0)*MATCH(bhpc_data[size1],$EC$13,0)),MATCH(ROW(bhpc_data[sku]),ROW(bhpc_data[sku])),""),ROWS($A$15:A100)+$B$3))),IF($EC$13="",INDEX(bhpc_data[sku],SMALL(IF(ISNUMBER(MATCH(bhpc_data[category],$EC$9,0)*MATCH(bhpc_data[sex],$EC$11,0)),MATCH(ROW(bhpc_data[sku]),ROW(bhpc_data[sku])),""),ROWS($A$15:A100)+$B$3)),INDEX(bhpc_data[sku],SMALL(IF(ISNUMBER(MATCH(bhpc_data[category],$EC$9,0)*MATCH(bhpc_data[sex],$EC$11,0)*MATCH(bhpc_data[size1],$EC$13,0)),MATCH(ROW(bhpc_data[sku]),ROW(bhpc_data[sku])),""),ROWS($A$15:A100)+$B$3))))),"")</f>
        <v>PT6001</v>
      </c>
      <c r="EF95" s="542" t="str" cm="1">
        <f t="array" ref="EF95">IFERROR(IF($EC$9="",IF($EC$11="",IF($EC$13="",INDEX(bhpc_data[description],SMALL(MATCH(ROW(bhpc_data[sku]),ROW(bhpc_data[sku])),ROWS($A$15:A100)+$B$3)),INDEX(bhpc_data[description],SMALL(IF(ISNUMBER(MATCH(bhpc_data[size1],$EC$13,0)),MATCH(ROW(bhpc_data[sku]),ROW(bhpc_data[sku])),""),ROWS($A$15:A100)+$B$3))),IF($EC$13="",INDEX(bhpc_data[description],SMALL(IF(ISNUMBER(MATCH(bhpc_data[sex],$EC$11,0)),MATCH(ROW(bhpc_data[sku]),ROW(bhpc_data[sku])),""),ROWS($A$15:A100)+$B$3)),INDEX(bhpc_data[description],SMALL(IF(ISNUMBER(MATCH(bhpc_data[sex],$EC$11,0)*MATCH(bhpc_data[size1],$EC$13,0)),MATCH(ROW(bhpc_data[sku]),ROW(bhpc_data[sku])),""),ROWS($A$15:A100)+$B$3)))),IF($EC$11="",IF($EC$13="",INDEX(bhpc_data[description],SMALL(IF(ISNUMBER(MATCH(bhpc_data[category],$EC$9,0)),MATCH(ROW(bhpc_data[sku]),ROW(bhpc_data[sku])),""),ROWS($A$15:A100)+$B$3)),INDEX(bhpc_data[description],SMALL(IF(ISNUMBER(MATCH(bhpc_data[category],$EC$9,0)*MATCH(bhpc_data[size1],$EC$13,0)),MATCH(ROW(bhpc_data[sku]),ROW(bhpc_data[sku])),""),ROWS($A$15:A100)+$B$3))),IF($EC$13="",INDEX(bhpc_data[description],SMALL(IF(ISNUMBER(MATCH(bhpc_data[category],$EC$9,0)*MATCH(bhpc_data[sex],$EC$11,0)),MATCH(ROW(bhpc_data[sku]),ROW(bhpc_data[sku])),""),ROWS($A$15:A100)+$B$3)),INDEX(bhpc_data[description],SMALL(IF(ISNUMBER(MATCH(bhpc_data[category],$EC$9,0)*MATCH(bhpc_data[sex],$EC$11,0)*MATCH(bhpc_data[size1],$EC$13,0)),MATCH(ROW(bhpc_data[sku]),ROW(bhpc_data[sku])),""),ROWS($A$15:A100)+$B$3))))),"")</f>
        <v>BHPC TESTERS HERITAGE OUD 100ML EDP MEN</v>
      </c>
      <c r="EG95" s="543">
        <f>IFERROR(IF('BHPC MANAGER'!$EE95="","",INDEX(inventory[ESISTENZA],MATCH('BHPC MANAGER'!$EE95,inventory[ARTICOLO],0))),0)</f>
        <v>0</v>
      </c>
      <c r="EH95" s="544" t="s">
        <v>914</v>
      </c>
      <c r="EI95" s="544">
        <f t="shared" si="11"/>
        <v>0</v>
      </c>
      <c r="EJ95" s="545" t="s">
        <v>914</v>
      </c>
      <c r="EK95" s="546">
        <f t="shared" si="12"/>
        <v>0</v>
      </c>
    </row>
    <row r="96" spans="59:141" ht="15" customHeight="1" x14ac:dyDescent="0.35">
      <c r="BK96" s="366"/>
      <c r="BL96" s="367"/>
      <c r="BM96" s="368"/>
      <c r="BN96" s="367"/>
      <c r="BO96" s="368"/>
      <c r="BZ96" s="497"/>
      <c r="CA96" s="477" t="str">
        <f>IF(BZ96="","",INDEX(bhpc_data[description],MATCH(BZ96,bhpc_data[sku],0)))</f>
        <v/>
      </c>
      <c r="CB96" s="480"/>
      <c r="CC96" s="479"/>
      <c r="CD96" s="498"/>
      <c r="CE96" s="499"/>
      <c r="CF96" s="500"/>
      <c r="CG96" s="483" t="str">
        <f>IFERROR(ROUNDUP(CB96/INDEX(bhpc_data[units_per_carton],MATCH(BZ96,bhpc_data[sku],0)),0),"")</f>
        <v/>
      </c>
      <c r="CH96" s="484" t="str">
        <f>IFERROR(ROUNDUP(CD96/INDEX(bhpc_data[units_per_carton],MATCH(BZ96,bhpc_data[sku],0)),0),"")</f>
        <v/>
      </c>
      <c r="CI96" s="484" t="str">
        <f>IFERROR(ROUNDUP(CF96/INDEX(bhpc_data[units_per_carton],MATCH(BZ96,bhpc_data[sku])),0),"")</f>
        <v/>
      </c>
      <c r="CJ96" s="484" t="str">
        <f>IFERROR(((CB96+CD96+CF96)/INDEX(bhpc_data[units_per_carton],MATCH(BZ96,bhpc_data[sku],0)))*INDEX(bhpc_data[net_weight],MATCH(BZ96,bhpc_data[sku],0)),"")</f>
        <v/>
      </c>
      <c r="CK96" s="484" t="str">
        <f>IFERROR(((CB96+CD96+CF96)/INDEX(bhpc_data[units_per_carton],MATCH(BZ96,bhpc_data[sku],0)))*INDEX(bhpc_data[gross_weight],MATCH(BZ96,bhpc_data[sku],0)),"")</f>
        <v/>
      </c>
      <c r="CL96" s="485" t="str">
        <f>IFERROR((CB96+CD96+CF96)/INDEX(bhpc_data[units_per_carton],MATCH(BZ96,bhpc_data[sku],0))*INDEX(bhpc_data[lenght],MATCH(BZ96,bhpc_data[sku],0))*INDEX(bhpc_data[width],MATCH(BZ96,bhpc_data[sku],0))*INDEX(bhpc_data[height],MATCH(BZ96,bhpc_data[sku],0))/1000000000,"")</f>
        <v/>
      </c>
      <c r="CM96" s="486" t="str">
        <f>IFERROR(INDEX(bhpc_data[category],MATCH(BZ96,bhpc_data[sku],0)),"")</f>
        <v/>
      </c>
      <c r="CN96" s="486" t="str">
        <f>IFERROR(INDEX(bhpc_data[size1],MATCH(BZ96,bhpc_data[sku],0)),"")</f>
        <v/>
      </c>
      <c r="CO96" s="487" t="str">
        <f>IFERROR(INDEX(bhpc_data[hs_code],MATCH(BZ96,bhpc_data[sku],0)),"")</f>
        <v/>
      </c>
      <c r="CP96" s="500"/>
      <c r="CQ96" s="488" t="str">
        <f>IFERROR(IF(BZ96="","",IF($BX$15="SALE",INDEX(inventory[COSTO UNITARIO],MATCH(BZ96,inventory[ARTICOLO],0)),IF($BX$15="SAMPLING",INDEX(inventory[COSTO UNITARIO],MATCH(BZ96,inventory[ARTICOLO],0)),""))),"")</f>
        <v/>
      </c>
      <c r="CR96" s="488" t="str">
        <f t="shared" si="8"/>
        <v/>
      </c>
      <c r="CS96" s="489" t="str">
        <f t="shared" si="9"/>
        <v/>
      </c>
      <c r="CT96" s="573" t="str">
        <f t="shared" si="10"/>
        <v/>
      </c>
      <c r="DA96" s="350" t="str">
        <f>IFERROR(VLOOKUP(BZ96,bhpc_data[],22,FALSE),"")</f>
        <v/>
      </c>
      <c r="EE96" s="547" t="str" cm="1">
        <f t="array" ref="EE96">IFERROR(IF($EC$9="",IF($EC$11="",IF($EC$13="",INDEX(bhpc_data[sku],SMALL(MATCH(ROW(bhpc_data[sku]),ROW(bhpc_data[sku])),ROWS($A$15:A101)+$B$3)),INDEX(bhpc_data[sku],SMALL(IF(ISNUMBER(MATCH(bhpc_data[size1],$EC$13,0)),MATCH(ROW(bhpc_data[sku]),ROW(bhpc_data[sku])),""),ROWS($A$15:A101)+$B$3))),IF($EC$13="",INDEX(bhpc_data[sku],SMALL(IF(ISNUMBER(MATCH(bhpc_data[sex],$EC$11,0)),MATCH(ROW(bhpc_data[sku]),ROW(bhpc_data[sku])),""),ROWS($A$15:A101)+$B$3)),INDEX(bhpc_data[sku],SMALL(IF(ISNUMBER(MATCH(bhpc_data[sex],$EC$11,0)*MATCH(bhpc_data[size1],$EC$13,0)),MATCH(ROW(bhpc_data[sku]),ROW(bhpc_data[sku])),""),ROWS($A$15:A101)+$B$3)))),IF($EC$11="",IF($EC$13="",INDEX(bhpc_data[sku],SMALL(IF(ISNUMBER(MATCH(bhpc_data[category],$EC$9,0)),MATCH(ROW(bhpc_data[sku]),ROW(bhpc_data[sku])),""),ROWS($A$15:A101)+$B$3)),INDEX(bhpc_data[sku],SMALL(IF(ISNUMBER(MATCH(bhpc_data[category],$EC$9,0)*MATCH(bhpc_data[size1],$EC$13,0)),MATCH(ROW(bhpc_data[sku]),ROW(bhpc_data[sku])),""),ROWS($A$15:A101)+$B$3))),IF($EC$13="",INDEX(bhpc_data[sku],SMALL(IF(ISNUMBER(MATCH(bhpc_data[category],$EC$9,0)*MATCH(bhpc_data[sex],$EC$11,0)),MATCH(ROW(bhpc_data[sku]),ROW(bhpc_data[sku])),""),ROWS($A$15:A101)+$B$3)),INDEX(bhpc_data[sku],SMALL(IF(ISNUMBER(MATCH(bhpc_data[category],$EC$9,0)*MATCH(bhpc_data[sex],$EC$11,0)*MATCH(bhpc_data[size1],$EC$13,0)),MATCH(ROW(bhpc_data[sku]),ROW(bhpc_data[sku])),""),ROWS($A$15:A101)+$B$3))))),"")</f>
        <v>PT6002</v>
      </c>
      <c r="EF96" s="548" t="str" cm="1">
        <f t="array" ref="EF96">IFERROR(IF($EC$9="",IF($EC$11="",IF($EC$13="",INDEX(bhpc_data[description],SMALL(MATCH(ROW(bhpc_data[sku]),ROW(bhpc_data[sku])),ROWS($A$15:A101)+$B$3)),INDEX(bhpc_data[description],SMALL(IF(ISNUMBER(MATCH(bhpc_data[size1],$EC$13,0)),MATCH(ROW(bhpc_data[sku]),ROW(bhpc_data[sku])),""),ROWS($A$15:A101)+$B$3))),IF($EC$13="",INDEX(bhpc_data[description],SMALL(IF(ISNUMBER(MATCH(bhpc_data[sex],$EC$11,0)),MATCH(ROW(bhpc_data[sku]),ROW(bhpc_data[sku])),""),ROWS($A$15:A101)+$B$3)),INDEX(bhpc_data[description],SMALL(IF(ISNUMBER(MATCH(bhpc_data[sex],$EC$11,0)*MATCH(bhpc_data[size1],$EC$13,0)),MATCH(ROW(bhpc_data[sku]),ROW(bhpc_data[sku])),""),ROWS($A$15:A101)+$B$3)))),IF($EC$11="",IF($EC$13="",INDEX(bhpc_data[description],SMALL(IF(ISNUMBER(MATCH(bhpc_data[category],$EC$9,0)),MATCH(ROW(bhpc_data[sku]),ROW(bhpc_data[sku])),""),ROWS($A$15:A101)+$B$3)),INDEX(bhpc_data[description],SMALL(IF(ISNUMBER(MATCH(bhpc_data[category],$EC$9,0)*MATCH(bhpc_data[size1],$EC$13,0)),MATCH(ROW(bhpc_data[sku]),ROW(bhpc_data[sku])),""),ROWS($A$15:A101)+$B$3))),IF($EC$13="",INDEX(bhpc_data[description],SMALL(IF(ISNUMBER(MATCH(bhpc_data[category],$EC$9,0)*MATCH(bhpc_data[sex],$EC$11,0)),MATCH(ROW(bhpc_data[sku]),ROW(bhpc_data[sku])),""),ROWS($A$15:A101)+$B$3)),INDEX(bhpc_data[description],SMALL(IF(ISNUMBER(MATCH(bhpc_data[category],$EC$9,0)*MATCH(bhpc_data[sex],$EC$11,0)*MATCH(bhpc_data[size1],$EC$13,0)),MATCH(ROW(bhpc_data[sku]),ROW(bhpc_data[sku])),""),ROWS($A$15:A101)+$B$3))))),"")</f>
        <v>BHPC TESTERS TOUR INTENSE 100ML EDP MEN</v>
      </c>
      <c r="EG96" s="549">
        <f>IFERROR(IF('BHPC MANAGER'!$EE96="","",INDEX(inventory[ESISTENZA],MATCH('BHPC MANAGER'!$EE96,inventory[ARTICOLO],0))),0)</f>
        <v>0</v>
      </c>
      <c r="EH96" s="550">
        <v>120</v>
      </c>
      <c r="EI96" s="550">
        <f t="shared" si="11"/>
        <v>120</v>
      </c>
      <c r="EJ96" s="551">
        <v>0</v>
      </c>
      <c r="EK96" s="552">
        <f t="shared" si="12"/>
        <v>120</v>
      </c>
    </row>
    <row r="97" spans="63:141" ht="15" customHeight="1" x14ac:dyDescent="0.35">
      <c r="BK97" s="366"/>
      <c r="BL97" s="367"/>
      <c r="BM97" s="368"/>
      <c r="BN97" s="367"/>
      <c r="BO97" s="368"/>
      <c r="BZ97" s="497"/>
      <c r="CA97" s="477" t="str">
        <f>IF(BZ97="","",INDEX(bhpc_data[description],MATCH(BZ97,bhpc_data[sku],0)))</f>
        <v/>
      </c>
      <c r="CB97" s="480"/>
      <c r="CC97" s="479"/>
      <c r="CD97" s="498"/>
      <c r="CE97" s="499"/>
      <c r="CF97" s="500"/>
      <c r="CG97" s="483" t="str">
        <f>IFERROR(ROUNDUP(CB97/INDEX(bhpc_data[units_per_carton],MATCH(BZ97,bhpc_data[sku],0)),0),"")</f>
        <v/>
      </c>
      <c r="CH97" s="484" t="str">
        <f>IFERROR(ROUNDUP(CD97/INDEX(bhpc_data[units_per_carton],MATCH(BZ97,bhpc_data[sku],0)),0),"")</f>
        <v/>
      </c>
      <c r="CI97" s="484" t="str">
        <f>IFERROR(ROUNDUP(CF97/INDEX(bhpc_data[units_per_carton],MATCH(BZ97,bhpc_data[sku])),0),"")</f>
        <v/>
      </c>
      <c r="CJ97" s="484" t="str">
        <f>IFERROR(((CB97+CD97+CF97)/INDEX(bhpc_data[units_per_carton],MATCH(BZ97,bhpc_data[sku],0)))*INDEX(bhpc_data[net_weight],MATCH(BZ97,bhpc_data[sku],0)),"")</f>
        <v/>
      </c>
      <c r="CK97" s="484" t="str">
        <f>IFERROR(((CB97+CD97+CF97)/INDEX(bhpc_data[units_per_carton],MATCH(BZ97,bhpc_data[sku],0)))*INDEX(bhpc_data[gross_weight],MATCH(BZ97,bhpc_data[sku],0)),"")</f>
        <v/>
      </c>
      <c r="CL97" s="485" t="str">
        <f>IFERROR((CB97+CD97+CF97)/INDEX(bhpc_data[units_per_carton],MATCH(BZ97,bhpc_data[sku],0))*INDEX(bhpc_data[lenght],MATCH(BZ97,bhpc_data[sku],0))*INDEX(bhpc_data[width],MATCH(BZ97,bhpc_data[sku],0))*INDEX(bhpc_data[height],MATCH(BZ97,bhpc_data[sku],0))/1000000000,"")</f>
        <v/>
      </c>
      <c r="CM97" s="486" t="str">
        <f>IFERROR(INDEX(bhpc_data[category],MATCH(BZ97,bhpc_data[sku],0)),"")</f>
        <v/>
      </c>
      <c r="CN97" s="486" t="str">
        <f>IFERROR(INDEX(bhpc_data[size1],MATCH(BZ97,bhpc_data[sku],0)),"")</f>
        <v/>
      </c>
      <c r="CO97" s="487" t="str">
        <f>IFERROR(INDEX(bhpc_data[hs_code],MATCH(BZ97,bhpc_data[sku],0)),"")</f>
        <v/>
      </c>
      <c r="CP97" s="500"/>
      <c r="CQ97" s="488" t="str">
        <f>IFERROR(IF(BZ97="","",IF($BX$15="SALE",INDEX(inventory[COSTO UNITARIO],MATCH(BZ97,inventory[ARTICOLO],0)),IF($BX$15="SAMPLING",INDEX(inventory[COSTO UNITARIO],MATCH(BZ97,inventory[ARTICOLO],0)),""))),"")</f>
        <v/>
      </c>
      <c r="CR97" s="488" t="str">
        <f t="shared" si="8"/>
        <v/>
      </c>
      <c r="CS97" s="489" t="str">
        <f t="shared" si="9"/>
        <v/>
      </c>
      <c r="CT97" s="573" t="str">
        <f t="shared" si="10"/>
        <v/>
      </c>
      <c r="DA97" s="350" t="str">
        <f>IFERROR(VLOOKUP(BZ97,bhpc_data[],22,FALSE),"")</f>
        <v/>
      </c>
      <c r="EE97" s="541" t="str" cm="1">
        <f t="array" ref="EE97">IFERROR(IF($EC$9="",IF($EC$11="",IF($EC$13="",INDEX(bhpc_data[sku],SMALL(MATCH(ROW(bhpc_data[sku]),ROW(bhpc_data[sku])),ROWS($A$15:A102)+$B$3)),INDEX(bhpc_data[sku],SMALL(IF(ISNUMBER(MATCH(bhpc_data[size1],$EC$13,0)),MATCH(ROW(bhpc_data[sku]),ROW(bhpc_data[sku])),""),ROWS($A$15:A102)+$B$3))),IF($EC$13="",INDEX(bhpc_data[sku],SMALL(IF(ISNUMBER(MATCH(bhpc_data[sex],$EC$11,0)),MATCH(ROW(bhpc_data[sku]),ROW(bhpc_data[sku])),""),ROWS($A$15:A102)+$B$3)),INDEX(bhpc_data[sku],SMALL(IF(ISNUMBER(MATCH(bhpc_data[sex],$EC$11,0)*MATCH(bhpc_data[size1],$EC$13,0)),MATCH(ROW(bhpc_data[sku]),ROW(bhpc_data[sku])),""),ROWS($A$15:A102)+$B$3)))),IF($EC$11="",IF($EC$13="",INDEX(bhpc_data[sku],SMALL(IF(ISNUMBER(MATCH(bhpc_data[category],$EC$9,0)),MATCH(ROW(bhpc_data[sku]),ROW(bhpc_data[sku])),""),ROWS($A$15:A102)+$B$3)),INDEX(bhpc_data[sku],SMALL(IF(ISNUMBER(MATCH(bhpc_data[category],$EC$9,0)*MATCH(bhpc_data[size1],$EC$13,0)),MATCH(ROW(bhpc_data[sku]),ROW(bhpc_data[sku])),""),ROWS($A$15:A102)+$B$3))),IF($EC$13="",INDEX(bhpc_data[sku],SMALL(IF(ISNUMBER(MATCH(bhpc_data[category],$EC$9,0)*MATCH(bhpc_data[sex],$EC$11,0)),MATCH(ROW(bhpc_data[sku]),ROW(bhpc_data[sku])),""),ROWS($A$15:A102)+$B$3)),INDEX(bhpc_data[sku],SMALL(IF(ISNUMBER(MATCH(bhpc_data[category],$EC$9,0)*MATCH(bhpc_data[sex],$EC$11,0)*MATCH(bhpc_data[size1],$EC$13,0)),MATCH(ROW(bhpc_data[sku]),ROW(bhpc_data[sku])),""),ROWS($A$15:A102)+$B$3))))),"")</f>
        <v>PT6003</v>
      </c>
      <c r="EF97" s="542" t="str" cm="1">
        <f t="array" ref="EF97">IFERROR(IF($EC$9="",IF($EC$11="",IF($EC$13="",INDEX(bhpc_data[description],SMALL(MATCH(ROW(bhpc_data[sku]),ROW(bhpc_data[sku])),ROWS($A$15:A102)+$B$3)),INDEX(bhpc_data[description],SMALL(IF(ISNUMBER(MATCH(bhpc_data[size1],$EC$13,0)),MATCH(ROW(bhpc_data[sku]),ROW(bhpc_data[sku])),""),ROWS($A$15:A102)+$B$3))),IF($EC$13="",INDEX(bhpc_data[description],SMALL(IF(ISNUMBER(MATCH(bhpc_data[sex],$EC$11,0)),MATCH(ROW(bhpc_data[sku]),ROW(bhpc_data[sku])),""),ROWS($A$15:A102)+$B$3)),INDEX(bhpc_data[description],SMALL(IF(ISNUMBER(MATCH(bhpc_data[sex],$EC$11,0)*MATCH(bhpc_data[size1],$EC$13,0)),MATCH(ROW(bhpc_data[sku]),ROW(bhpc_data[sku])),""),ROWS($A$15:A102)+$B$3)))),IF($EC$11="",IF($EC$13="",INDEX(bhpc_data[description],SMALL(IF(ISNUMBER(MATCH(bhpc_data[category],$EC$9,0)),MATCH(ROW(bhpc_data[sku]),ROW(bhpc_data[sku])),""),ROWS($A$15:A102)+$B$3)),INDEX(bhpc_data[description],SMALL(IF(ISNUMBER(MATCH(bhpc_data[category],$EC$9,0)*MATCH(bhpc_data[size1],$EC$13,0)),MATCH(ROW(bhpc_data[sku]),ROW(bhpc_data[sku])),""),ROWS($A$15:A102)+$B$3))),IF($EC$13="",INDEX(bhpc_data[description],SMALL(IF(ISNUMBER(MATCH(bhpc_data[category],$EC$9,0)*MATCH(bhpc_data[sex],$EC$11,0)),MATCH(ROW(bhpc_data[sku]),ROW(bhpc_data[sku])),""),ROWS($A$15:A102)+$B$3)),INDEX(bhpc_data[description],SMALL(IF(ISNUMBER(MATCH(bhpc_data[category],$EC$9,0)*MATCH(bhpc_data[sex],$EC$11,0)*MATCH(bhpc_data[size1],$EC$13,0)),MATCH(ROW(bhpc_data[sku]),ROW(bhpc_data[sku])),""),ROWS($A$15:A102)+$B$3))))),"")</f>
        <v>BHPC TESTERS TITAN 100ML EDP MEN</v>
      </c>
      <c r="EG97" s="543">
        <f>IFERROR(IF('BHPC MANAGER'!$EE97="","",INDEX(inventory[ESISTENZA],MATCH('BHPC MANAGER'!$EE97,inventory[ARTICOLO],0))),0)</f>
        <v>0</v>
      </c>
      <c r="EH97" s="544" t="s">
        <v>914</v>
      </c>
      <c r="EI97" s="544">
        <f t="shared" si="11"/>
        <v>0</v>
      </c>
      <c r="EJ97" s="545" t="s">
        <v>914</v>
      </c>
      <c r="EK97" s="546">
        <f t="shared" si="12"/>
        <v>0</v>
      </c>
    </row>
    <row r="98" spans="63:141" ht="15" customHeight="1" x14ac:dyDescent="0.35">
      <c r="BK98" s="366"/>
      <c r="BL98" s="367"/>
      <c r="BM98" s="368"/>
      <c r="BN98" s="367"/>
      <c r="BO98" s="368"/>
      <c r="BZ98" s="497"/>
      <c r="CA98" s="477" t="str">
        <f>IF(BZ98="","",INDEX(bhpc_data[description],MATCH(BZ98,bhpc_data[sku],0)))</f>
        <v/>
      </c>
      <c r="CB98" s="480"/>
      <c r="CC98" s="479"/>
      <c r="CD98" s="498"/>
      <c r="CE98" s="499"/>
      <c r="CF98" s="500"/>
      <c r="CG98" s="483" t="str">
        <f>IFERROR(ROUNDUP(CB98/INDEX(bhpc_data[units_per_carton],MATCH(BZ98,bhpc_data[sku],0)),0),"")</f>
        <v/>
      </c>
      <c r="CH98" s="484" t="str">
        <f>IFERROR(ROUNDUP(CD98/INDEX(bhpc_data[units_per_carton],MATCH(BZ98,bhpc_data[sku],0)),0),"")</f>
        <v/>
      </c>
      <c r="CI98" s="484" t="str">
        <f>IFERROR(ROUNDUP(CF98/INDEX(bhpc_data[units_per_carton],MATCH(BZ98,bhpc_data[sku])),0),"")</f>
        <v/>
      </c>
      <c r="CJ98" s="484" t="str">
        <f>IFERROR(((CB98+CD98+CF98)/INDEX(bhpc_data[units_per_carton],MATCH(BZ98,bhpc_data[sku],0)))*INDEX(bhpc_data[net_weight],MATCH(BZ98,bhpc_data[sku],0)),"")</f>
        <v/>
      </c>
      <c r="CK98" s="484" t="str">
        <f>IFERROR(((CB98+CD98+CF98)/INDEX(bhpc_data[units_per_carton],MATCH(BZ98,bhpc_data[sku],0)))*INDEX(bhpc_data[gross_weight],MATCH(BZ98,bhpc_data[sku],0)),"")</f>
        <v/>
      </c>
      <c r="CL98" s="485" t="str">
        <f>IFERROR((CB98+CD98+CF98)/INDEX(bhpc_data[units_per_carton],MATCH(BZ98,bhpc_data[sku],0))*INDEX(bhpc_data[lenght],MATCH(BZ98,bhpc_data[sku],0))*INDEX(bhpc_data[width],MATCH(BZ98,bhpc_data[sku],0))*INDEX(bhpc_data[height],MATCH(BZ98,bhpc_data[sku],0))/1000000000,"")</f>
        <v/>
      </c>
      <c r="CM98" s="486" t="str">
        <f>IFERROR(INDEX(bhpc_data[category],MATCH(BZ98,bhpc_data[sku],0)),"")</f>
        <v/>
      </c>
      <c r="CN98" s="486" t="str">
        <f>IFERROR(INDEX(bhpc_data[size1],MATCH(BZ98,bhpc_data[sku],0)),"")</f>
        <v/>
      </c>
      <c r="CO98" s="487" t="str">
        <f>IFERROR(INDEX(bhpc_data[hs_code],MATCH(BZ98,bhpc_data[sku],0)),"")</f>
        <v/>
      </c>
      <c r="CP98" s="500"/>
      <c r="CQ98" s="488" t="str">
        <f>IFERROR(IF(BZ98="","",IF($BX$15="SALE",INDEX(inventory[COSTO UNITARIO],MATCH(BZ98,inventory[ARTICOLO],0)),IF($BX$15="SAMPLING",INDEX(inventory[COSTO UNITARIO],MATCH(BZ98,inventory[ARTICOLO],0)),""))),"")</f>
        <v/>
      </c>
      <c r="CR98" s="488" t="str">
        <f t="shared" si="8"/>
        <v/>
      </c>
      <c r="CS98" s="489" t="str">
        <f t="shared" si="9"/>
        <v/>
      </c>
      <c r="CT98" s="573" t="str">
        <f t="shared" si="10"/>
        <v/>
      </c>
      <c r="DA98" s="350" t="str">
        <f>IFERROR(VLOOKUP(BZ98,bhpc_data[],22,FALSE),"")</f>
        <v/>
      </c>
      <c r="EE98" s="547" t="str" cm="1">
        <f t="array" ref="EE98">IFERROR(IF($EC$9="",IF($EC$11="",IF($EC$13="",INDEX(bhpc_data[sku],SMALL(MATCH(ROW(bhpc_data[sku]),ROW(bhpc_data[sku])),ROWS($A$15:A103)+$B$3)),INDEX(bhpc_data[sku],SMALL(IF(ISNUMBER(MATCH(bhpc_data[size1],$EC$13,0)),MATCH(ROW(bhpc_data[sku]),ROW(bhpc_data[sku])),""),ROWS($A$15:A103)+$B$3))),IF($EC$13="",INDEX(bhpc_data[sku],SMALL(IF(ISNUMBER(MATCH(bhpc_data[sex],$EC$11,0)),MATCH(ROW(bhpc_data[sku]),ROW(bhpc_data[sku])),""),ROWS($A$15:A103)+$B$3)),INDEX(bhpc_data[sku],SMALL(IF(ISNUMBER(MATCH(bhpc_data[sex],$EC$11,0)*MATCH(bhpc_data[size1],$EC$13,0)),MATCH(ROW(bhpc_data[sku]),ROW(bhpc_data[sku])),""),ROWS($A$15:A103)+$B$3)))),IF($EC$11="",IF($EC$13="",INDEX(bhpc_data[sku],SMALL(IF(ISNUMBER(MATCH(bhpc_data[category],$EC$9,0)),MATCH(ROW(bhpc_data[sku]),ROW(bhpc_data[sku])),""),ROWS($A$15:A103)+$B$3)),INDEX(bhpc_data[sku],SMALL(IF(ISNUMBER(MATCH(bhpc_data[category],$EC$9,0)*MATCH(bhpc_data[size1],$EC$13,0)),MATCH(ROW(bhpc_data[sku]),ROW(bhpc_data[sku])),""),ROWS($A$15:A103)+$B$3))),IF($EC$13="",INDEX(bhpc_data[sku],SMALL(IF(ISNUMBER(MATCH(bhpc_data[category],$EC$9,0)*MATCH(bhpc_data[sex],$EC$11,0)),MATCH(ROW(bhpc_data[sku]),ROW(bhpc_data[sku])),""),ROWS($A$15:A103)+$B$3)),INDEX(bhpc_data[sku],SMALL(IF(ISNUMBER(MATCH(bhpc_data[category],$EC$9,0)*MATCH(bhpc_data[sex],$EC$11,0)*MATCH(bhpc_data[size1],$EC$13,0)),MATCH(ROW(bhpc_data[sku]),ROW(bhpc_data[sku])),""),ROWS($A$15:A103)+$B$3))))),"")</f>
        <v>PT6004</v>
      </c>
      <c r="EF98" s="548" t="str" cm="1">
        <f t="array" ref="EF98">IFERROR(IF($EC$9="",IF($EC$11="",IF($EC$13="",INDEX(bhpc_data[description],SMALL(MATCH(ROW(bhpc_data[sku]),ROW(bhpc_data[sku])),ROWS($A$15:A103)+$B$3)),INDEX(bhpc_data[description],SMALL(IF(ISNUMBER(MATCH(bhpc_data[size1],$EC$13,0)),MATCH(ROW(bhpc_data[sku]),ROW(bhpc_data[sku])),""),ROWS($A$15:A103)+$B$3))),IF($EC$13="",INDEX(bhpc_data[description],SMALL(IF(ISNUMBER(MATCH(bhpc_data[sex],$EC$11,0)),MATCH(ROW(bhpc_data[sku]),ROW(bhpc_data[sku])),""),ROWS($A$15:A103)+$B$3)),INDEX(bhpc_data[description],SMALL(IF(ISNUMBER(MATCH(bhpc_data[sex],$EC$11,0)*MATCH(bhpc_data[size1],$EC$13,0)),MATCH(ROW(bhpc_data[sku]),ROW(bhpc_data[sku])),""),ROWS($A$15:A103)+$B$3)))),IF($EC$11="",IF($EC$13="",INDEX(bhpc_data[description],SMALL(IF(ISNUMBER(MATCH(bhpc_data[category],$EC$9,0)),MATCH(ROW(bhpc_data[sku]),ROW(bhpc_data[sku])),""),ROWS($A$15:A103)+$B$3)),INDEX(bhpc_data[description],SMALL(IF(ISNUMBER(MATCH(bhpc_data[category],$EC$9,0)*MATCH(bhpc_data[size1],$EC$13,0)),MATCH(ROW(bhpc_data[sku]),ROW(bhpc_data[sku])),""),ROWS($A$15:A103)+$B$3))),IF($EC$13="",INDEX(bhpc_data[description],SMALL(IF(ISNUMBER(MATCH(bhpc_data[category],$EC$9,0)*MATCH(bhpc_data[sex],$EC$11,0)),MATCH(ROW(bhpc_data[sku]),ROW(bhpc_data[sku])),""),ROWS($A$15:A103)+$B$3)),INDEX(bhpc_data[description],SMALL(IF(ISNUMBER(MATCH(bhpc_data[category],$EC$9,0)*MATCH(bhpc_data[sex],$EC$11,0)*MATCH(bhpc_data[size1],$EC$13,0)),MATCH(ROW(bhpc_data[sku]),ROW(bhpc_data[sku])),""),ROWS($A$15:A103)+$B$3))))),"")</f>
        <v>BHPC TESTERS ELEGANCE 100ML EDP WOMEN</v>
      </c>
      <c r="EG98" s="549">
        <f>IFERROR(IF('BHPC MANAGER'!$EE98="","",INDEX(inventory[ESISTENZA],MATCH('BHPC MANAGER'!$EE98,inventory[ARTICOLO],0))),0)</f>
        <v>0</v>
      </c>
      <c r="EH98" s="550" t="s">
        <v>914</v>
      </c>
      <c r="EI98" s="550">
        <f t="shared" si="11"/>
        <v>0</v>
      </c>
      <c r="EJ98" s="551" t="s">
        <v>914</v>
      </c>
      <c r="EK98" s="552">
        <f t="shared" si="12"/>
        <v>0</v>
      </c>
    </row>
    <row r="99" spans="63:141" ht="15" customHeight="1" x14ac:dyDescent="0.35">
      <c r="BK99" s="366"/>
      <c r="BL99" s="367"/>
      <c r="BM99" s="368"/>
      <c r="BN99" s="367"/>
      <c r="BO99" s="368"/>
      <c r="BZ99" s="497"/>
      <c r="CA99" s="477" t="str">
        <f>IF(BZ99="","",INDEX(bhpc_data[description],MATCH(BZ99,bhpc_data[sku],0)))</f>
        <v/>
      </c>
      <c r="CB99" s="480"/>
      <c r="CC99" s="479"/>
      <c r="CD99" s="498"/>
      <c r="CE99" s="499"/>
      <c r="CF99" s="500"/>
      <c r="CG99" s="483" t="str">
        <f>IFERROR(ROUNDUP(CB99/INDEX(bhpc_data[units_per_carton],MATCH(BZ99,bhpc_data[sku],0)),0),"")</f>
        <v/>
      </c>
      <c r="CH99" s="484" t="str">
        <f>IFERROR(ROUNDUP(CD99/INDEX(bhpc_data[units_per_carton],MATCH(BZ99,bhpc_data[sku],0)),0),"")</f>
        <v/>
      </c>
      <c r="CI99" s="484" t="str">
        <f>IFERROR(ROUNDUP(CF99/INDEX(bhpc_data[units_per_carton],MATCH(BZ99,bhpc_data[sku])),0),"")</f>
        <v/>
      </c>
      <c r="CJ99" s="484" t="str">
        <f>IFERROR(((CB99+CD99+CF99)/INDEX(bhpc_data[units_per_carton],MATCH(BZ99,bhpc_data[sku],0)))*INDEX(bhpc_data[net_weight],MATCH(BZ99,bhpc_data[sku],0)),"")</f>
        <v/>
      </c>
      <c r="CK99" s="484" t="str">
        <f>IFERROR(((CB99+CD99+CF99)/INDEX(bhpc_data[units_per_carton],MATCH(BZ99,bhpc_data[sku],0)))*INDEX(bhpc_data[gross_weight],MATCH(BZ99,bhpc_data[sku],0)),"")</f>
        <v/>
      </c>
      <c r="CL99" s="485" t="str">
        <f>IFERROR((CB99+CD99+CF99)/INDEX(bhpc_data[units_per_carton],MATCH(BZ99,bhpc_data[sku],0))*INDEX(bhpc_data[lenght],MATCH(BZ99,bhpc_data[sku],0))*INDEX(bhpc_data[width],MATCH(BZ99,bhpc_data[sku],0))*INDEX(bhpc_data[height],MATCH(BZ99,bhpc_data[sku],0))/1000000000,"")</f>
        <v/>
      </c>
      <c r="CM99" s="486" t="str">
        <f>IFERROR(INDEX(bhpc_data[category],MATCH(BZ99,bhpc_data[sku],0)),"")</f>
        <v/>
      </c>
      <c r="CN99" s="486" t="str">
        <f>IFERROR(INDEX(bhpc_data[size1],MATCH(BZ99,bhpc_data[sku],0)),"")</f>
        <v/>
      </c>
      <c r="CO99" s="487" t="str">
        <f>IFERROR(INDEX(bhpc_data[hs_code],MATCH(BZ99,bhpc_data[sku],0)),"")</f>
        <v/>
      </c>
      <c r="CP99" s="500"/>
      <c r="CQ99" s="488" t="str">
        <f>IFERROR(IF(BZ99="","",IF($BX$15="SALE",INDEX(inventory[COSTO UNITARIO],MATCH(BZ99,inventory[ARTICOLO],0)),IF($BX$15="SAMPLING",INDEX(inventory[COSTO UNITARIO],MATCH(BZ99,inventory[ARTICOLO],0)),""))),"")</f>
        <v/>
      </c>
      <c r="CR99" s="488" t="str">
        <f t="shared" si="8"/>
        <v/>
      </c>
      <c r="CS99" s="489" t="str">
        <f t="shared" si="9"/>
        <v/>
      </c>
      <c r="CT99" s="573" t="str">
        <f t="shared" si="10"/>
        <v/>
      </c>
      <c r="DA99" s="350" t="str">
        <f>IFERROR(VLOOKUP(BZ99,bhpc_data[],22,FALSE),"")</f>
        <v/>
      </c>
      <c r="EE99" s="541" t="str" cm="1">
        <f t="array" ref="EE99">IFERROR(IF($EC$9="",IF($EC$11="",IF($EC$13="",INDEX(bhpc_data[sku],SMALL(MATCH(ROW(bhpc_data[sku]),ROW(bhpc_data[sku])),ROWS($A$15:A104)+$B$3)),INDEX(bhpc_data[sku],SMALL(IF(ISNUMBER(MATCH(bhpc_data[size1],$EC$13,0)),MATCH(ROW(bhpc_data[sku]),ROW(bhpc_data[sku])),""),ROWS($A$15:A104)+$B$3))),IF($EC$13="",INDEX(bhpc_data[sku],SMALL(IF(ISNUMBER(MATCH(bhpc_data[sex],$EC$11,0)),MATCH(ROW(bhpc_data[sku]),ROW(bhpc_data[sku])),""),ROWS($A$15:A104)+$B$3)),INDEX(bhpc_data[sku],SMALL(IF(ISNUMBER(MATCH(bhpc_data[sex],$EC$11,0)*MATCH(bhpc_data[size1],$EC$13,0)),MATCH(ROW(bhpc_data[sku]),ROW(bhpc_data[sku])),""),ROWS($A$15:A104)+$B$3)))),IF($EC$11="",IF($EC$13="",INDEX(bhpc_data[sku],SMALL(IF(ISNUMBER(MATCH(bhpc_data[category],$EC$9,0)),MATCH(ROW(bhpc_data[sku]),ROW(bhpc_data[sku])),""),ROWS($A$15:A104)+$B$3)),INDEX(bhpc_data[sku],SMALL(IF(ISNUMBER(MATCH(bhpc_data[category],$EC$9,0)*MATCH(bhpc_data[size1],$EC$13,0)),MATCH(ROW(bhpc_data[sku]),ROW(bhpc_data[sku])),""),ROWS($A$15:A104)+$B$3))),IF($EC$13="",INDEX(bhpc_data[sku],SMALL(IF(ISNUMBER(MATCH(bhpc_data[category],$EC$9,0)*MATCH(bhpc_data[sex],$EC$11,0)),MATCH(ROW(bhpc_data[sku]),ROW(bhpc_data[sku])),""),ROWS($A$15:A104)+$B$3)),INDEX(bhpc_data[sku],SMALL(IF(ISNUMBER(MATCH(bhpc_data[category],$EC$9,0)*MATCH(bhpc_data[sex],$EC$11,0)*MATCH(bhpc_data[size1],$EC$13,0)),MATCH(ROW(bhpc_data[sku]),ROW(bhpc_data[sku])),""),ROWS($A$15:A104)+$B$3))))),"")</f>
        <v>PT6005</v>
      </c>
      <c r="EF99" s="542" t="str" cm="1">
        <f t="array" ref="EF99">IFERROR(IF($EC$9="",IF($EC$11="",IF($EC$13="",INDEX(bhpc_data[description],SMALL(MATCH(ROW(bhpc_data[sku]),ROW(bhpc_data[sku])),ROWS($A$15:A104)+$B$3)),INDEX(bhpc_data[description],SMALL(IF(ISNUMBER(MATCH(bhpc_data[size1],$EC$13,0)),MATCH(ROW(bhpc_data[sku]),ROW(bhpc_data[sku])),""),ROWS($A$15:A104)+$B$3))),IF($EC$13="",INDEX(bhpc_data[description],SMALL(IF(ISNUMBER(MATCH(bhpc_data[sex],$EC$11,0)),MATCH(ROW(bhpc_data[sku]),ROW(bhpc_data[sku])),""),ROWS($A$15:A104)+$B$3)),INDEX(bhpc_data[description],SMALL(IF(ISNUMBER(MATCH(bhpc_data[sex],$EC$11,0)*MATCH(bhpc_data[size1],$EC$13,0)),MATCH(ROW(bhpc_data[sku]),ROW(bhpc_data[sku])),""),ROWS($A$15:A104)+$B$3)))),IF($EC$11="",IF($EC$13="",INDEX(bhpc_data[description],SMALL(IF(ISNUMBER(MATCH(bhpc_data[category],$EC$9,0)),MATCH(ROW(bhpc_data[sku]),ROW(bhpc_data[sku])),""),ROWS($A$15:A104)+$B$3)),INDEX(bhpc_data[description],SMALL(IF(ISNUMBER(MATCH(bhpc_data[category],$EC$9,0)*MATCH(bhpc_data[size1],$EC$13,0)),MATCH(ROW(bhpc_data[sku]),ROW(bhpc_data[sku])),""),ROWS($A$15:A104)+$B$3))),IF($EC$13="",INDEX(bhpc_data[description],SMALL(IF(ISNUMBER(MATCH(bhpc_data[category],$EC$9,0)*MATCH(bhpc_data[sex],$EC$11,0)),MATCH(ROW(bhpc_data[sku]),ROW(bhpc_data[sku])),""),ROWS($A$15:A104)+$B$3)),INDEX(bhpc_data[description],SMALL(IF(ISNUMBER(MATCH(bhpc_data[category],$EC$9,0)*MATCH(bhpc_data[sex],$EC$11,0)*MATCH(bhpc_data[size1],$EC$13,0)),MATCH(ROW(bhpc_data[sku]),ROW(bhpc_data[sku])),""),ROWS($A$15:A104)+$B$3))))),"")</f>
        <v>BHPC TESTERS CHALLENGE 100ML EDP WOMEN</v>
      </c>
      <c r="EG99" s="543">
        <f>IFERROR(IF('BHPC MANAGER'!$EE99="","",INDEX(inventory[ESISTENZA],MATCH('BHPC MANAGER'!$EE99,inventory[ARTICOLO],0))),0)</f>
        <v>0</v>
      </c>
      <c r="EH99" s="544" t="s">
        <v>914</v>
      </c>
      <c r="EI99" s="544">
        <f t="shared" si="11"/>
        <v>0</v>
      </c>
      <c r="EJ99" s="545" t="s">
        <v>914</v>
      </c>
      <c r="EK99" s="546">
        <f t="shared" si="12"/>
        <v>0</v>
      </c>
    </row>
    <row r="100" spans="63:141" ht="15" customHeight="1" x14ac:dyDescent="0.35">
      <c r="BK100" s="366"/>
      <c r="BL100" s="367"/>
      <c r="BM100" s="368"/>
      <c r="BN100" s="367"/>
      <c r="BO100" s="368"/>
      <c r="BZ100" s="497"/>
      <c r="CA100" s="477" t="str">
        <f>IF(BZ100="","",INDEX(bhpc_data[description],MATCH(BZ100,bhpc_data[sku],0)))</f>
        <v/>
      </c>
      <c r="CB100" s="480"/>
      <c r="CC100" s="479"/>
      <c r="CD100" s="498"/>
      <c r="CE100" s="499"/>
      <c r="CF100" s="500"/>
      <c r="CG100" s="483" t="str">
        <f>IFERROR(ROUNDUP(CB100/INDEX(bhpc_data[units_per_carton],MATCH(BZ100,bhpc_data[sku],0)),0),"")</f>
        <v/>
      </c>
      <c r="CH100" s="484" t="str">
        <f>IFERROR(ROUNDUP(CD100/INDEX(bhpc_data[units_per_carton],MATCH(BZ100,bhpc_data[sku],0)),0),"")</f>
        <v/>
      </c>
      <c r="CI100" s="484" t="str">
        <f>IFERROR(ROUNDUP(CF100/INDEX(bhpc_data[units_per_carton],MATCH(BZ100,bhpc_data[sku])),0),"")</f>
        <v/>
      </c>
      <c r="CJ100" s="484" t="str">
        <f>IFERROR(((CB100+CD100+CF100)/INDEX(bhpc_data[units_per_carton],MATCH(BZ100,bhpc_data[sku],0)))*INDEX(bhpc_data[net_weight],MATCH(BZ100,bhpc_data[sku],0)),"")</f>
        <v/>
      </c>
      <c r="CK100" s="484" t="str">
        <f>IFERROR(((CB100+CD100+CF100)/INDEX(bhpc_data[units_per_carton],MATCH(BZ100,bhpc_data[sku],0)))*INDEX(bhpc_data[gross_weight],MATCH(BZ100,bhpc_data[sku],0)),"")</f>
        <v/>
      </c>
      <c r="CL100" s="485" t="str">
        <f>IFERROR((CB100+CD100+CF100)/INDEX(bhpc_data[units_per_carton],MATCH(BZ100,bhpc_data[sku],0))*INDEX(bhpc_data[lenght],MATCH(BZ100,bhpc_data[sku],0))*INDEX(bhpc_data[width],MATCH(BZ100,bhpc_data[sku],0))*INDEX(bhpc_data[height],MATCH(BZ100,bhpc_data[sku],0))/1000000000,"")</f>
        <v/>
      </c>
      <c r="CM100" s="486" t="str">
        <f>IFERROR(INDEX(bhpc_data[category],MATCH(BZ100,bhpc_data[sku],0)),"")</f>
        <v/>
      </c>
      <c r="CN100" s="486" t="str">
        <f>IFERROR(INDEX(bhpc_data[size1],MATCH(BZ100,bhpc_data[sku],0)),"")</f>
        <v/>
      </c>
      <c r="CO100" s="487" t="str">
        <f>IFERROR(INDEX(bhpc_data[hs_code],MATCH(BZ100,bhpc_data[sku],0)),"")</f>
        <v/>
      </c>
      <c r="CP100" s="500"/>
      <c r="CQ100" s="488" t="str">
        <f>IFERROR(IF(BZ100="","",IF($BX$15="SALE",INDEX(inventory[COSTO UNITARIO],MATCH(BZ100,inventory[ARTICOLO],0)),IF($BX$15="SAMPLING",INDEX(inventory[COSTO UNITARIO],MATCH(BZ100,inventory[ARTICOLO],0)),""))),"")</f>
        <v/>
      </c>
      <c r="CR100" s="488" t="str">
        <f t="shared" si="8"/>
        <v/>
      </c>
      <c r="CS100" s="489" t="str">
        <f t="shared" si="9"/>
        <v/>
      </c>
      <c r="CT100" s="573" t="str">
        <f t="shared" si="10"/>
        <v/>
      </c>
      <c r="DA100" s="350" t="str">
        <f>IFERROR(VLOOKUP(BZ100,bhpc_data[],22,FALSE),"")</f>
        <v/>
      </c>
      <c r="EE100" s="547" t="str" cm="1">
        <f t="array" ref="EE100">IFERROR(IF($EC$9="",IF($EC$11="",IF($EC$13="",INDEX(bhpc_data[sku],SMALL(MATCH(ROW(bhpc_data[sku]),ROW(bhpc_data[sku])),ROWS($A$15:A105)+$B$3)),INDEX(bhpc_data[sku],SMALL(IF(ISNUMBER(MATCH(bhpc_data[size1],$EC$13,0)),MATCH(ROW(bhpc_data[sku]),ROW(bhpc_data[sku])),""),ROWS($A$15:A105)+$B$3))),IF($EC$13="",INDEX(bhpc_data[sku],SMALL(IF(ISNUMBER(MATCH(bhpc_data[sex],$EC$11,0)),MATCH(ROW(bhpc_data[sku]),ROW(bhpc_data[sku])),""),ROWS($A$15:A105)+$B$3)),INDEX(bhpc_data[sku],SMALL(IF(ISNUMBER(MATCH(bhpc_data[sex],$EC$11,0)*MATCH(bhpc_data[size1],$EC$13,0)),MATCH(ROW(bhpc_data[sku]),ROW(bhpc_data[sku])),""),ROWS($A$15:A105)+$B$3)))),IF($EC$11="",IF($EC$13="",INDEX(bhpc_data[sku],SMALL(IF(ISNUMBER(MATCH(bhpc_data[category],$EC$9,0)),MATCH(ROW(bhpc_data[sku]),ROW(bhpc_data[sku])),""),ROWS($A$15:A105)+$B$3)),INDEX(bhpc_data[sku],SMALL(IF(ISNUMBER(MATCH(bhpc_data[category],$EC$9,0)*MATCH(bhpc_data[size1],$EC$13,0)),MATCH(ROW(bhpc_data[sku]),ROW(bhpc_data[sku])),""),ROWS($A$15:A105)+$B$3))),IF($EC$13="",INDEX(bhpc_data[sku],SMALL(IF(ISNUMBER(MATCH(bhpc_data[category],$EC$9,0)*MATCH(bhpc_data[sex],$EC$11,0)),MATCH(ROW(bhpc_data[sku]),ROW(bhpc_data[sku])),""),ROWS($A$15:A105)+$B$3)),INDEX(bhpc_data[sku],SMALL(IF(ISNUMBER(MATCH(bhpc_data[category],$EC$9,0)*MATCH(bhpc_data[sex],$EC$11,0)*MATCH(bhpc_data[size1],$EC$13,0)),MATCH(ROW(bhpc_data[sku]),ROW(bhpc_data[sku])),""),ROWS($A$15:A105)+$B$3))))),"")</f>
        <v>PT6006</v>
      </c>
      <c r="EF100" s="548" t="str" cm="1">
        <f t="array" ref="EF100">IFERROR(IF($EC$9="",IF($EC$11="",IF($EC$13="",INDEX(bhpc_data[description],SMALL(MATCH(ROW(bhpc_data[sku]),ROW(bhpc_data[sku])),ROWS($A$15:A105)+$B$3)),INDEX(bhpc_data[description],SMALL(IF(ISNUMBER(MATCH(bhpc_data[size1],$EC$13,0)),MATCH(ROW(bhpc_data[sku]),ROW(bhpc_data[sku])),""),ROWS($A$15:A105)+$B$3))),IF($EC$13="",INDEX(bhpc_data[description],SMALL(IF(ISNUMBER(MATCH(bhpc_data[sex],$EC$11,0)),MATCH(ROW(bhpc_data[sku]),ROW(bhpc_data[sku])),""),ROWS($A$15:A105)+$B$3)),INDEX(bhpc_data[description],SMALL(IF(ISNUMBER(MATCH(bhpc_data[sex],$EC$11,0)*MATCH(bhpc_data[size1],$EC$13,0)),MATCH(ROW(bhpc_data[sku]),ROW(bhpc_data[sku])),""),ROWS($A$15:A105)+$B$3)))),IF($EC$11="",IF($EC$13="",INDEX(bhpc_data[description],SMALL(IF(ISNUMBER(MATCH(bhpc_data[category],$EC$9,0)),MATCH(ROW(bhpc_data[sku]),ROW(bhpc_data[sku])),""),ROWS($A$15:A105)+$B$3)),INDEX(bhpc_data[description],SMALL(IF(ISNUMBER(MATCH(bhpc_data[category],$EC$9,0)*MATCH(bhpc_data[size1],$EC$13,0)),MATCH(ROW(bhpc_data[sku]),ROW(bhpc_data[sku])),""),ROWS($A$15:A105)+$B$3))),IF($EC$13="",INDEX(bhpc_data[description],SMALL(IF(ISNUMBER(MATCH(bhpc_data[category],$EC$9,0)*MATCH(bhpc_data[sex],$EC$11,0)),MATCH(ROW(bhpc_data[sku]),ROW(bhpc_data[sku])),""),ROWS($A$15:A105)+$B$3)),INDEX(bhpc_data[description],SMALL(IF(ISNUMBER(MATCH(bhpc_data[category],$EC$9,0)*MATCH(bhpc_data[sex],$EC$11,0)*MATCH(bhpc_data[size1],$EC$13,0)),MATCH(ROW(bhpc_data[sku]),ROW(bhpc_data[sku])),""),ROWS($A$15:A105)+$B$3))))),"")</f>
        <v>BHPC TESTERS MYSTIQUE 100ML EDP WOMEN</v>
      </c>
      <c r="EG100" s="549">
        <f>IFERROR(IF('BHPC MANAGER'!$EE100="","",INDEX(inventory[ESISTENZA],MATCH('BHPC MANAGER'!$EE100,inventory[ARTICOLO],0))),0)</f>
        <v>0</v>
      </c>
      <c r="EH100" s="550" t="s">
        <v>914</v>
      </c>
      <c r="EI100" s="550">
        <f t="shared" si="11"/>
        <v>0</v>
      </c>
      <c r="EJ100" s="551" t="s">
        <v>914</v>
      </c>
      <c r="EK100" s="552">
        <f t="shared" si="12"/>
        <v>0</v>
      </c>
    </row>
    <row r="101" spans="63:141" ht="15" customHeight="1" x14ac:dyDescent="0.35">
      <c r="BK101" s="366"/>
      <c r="BL101" s="367"/>
      <c r="BM101" s="368"/>
      <c r="BN101" s="367"/>
      <c r="BO101" s="368"/>
      <c r="BZ101" s="497"/>
      <c r="CA101" s="477" t="str">
        <f>IF(BZ101="","",INDEX(bhpc_data[description],MATCH(BZ101,bhpc_data[sku],0)))</f>
        <v/>
      </c>
      <c r="CB101" s="480"/>
      <c r="CC101" s="479"/>
      <c r="CD101" s="498"/>
      <c r="CE101" s="499"/>
      <c r="CF101" s="500"/>
      <c r="CG101" s="483" t="str">
        <f>IFERROR(ROUNDUP(CB101/INDEX(bhpc_data[units_per_carton],MATCH(BZ101,bhpc_data[sku],0)),0),"")</f>
        <v/>
      </c>
      <c r="CH101" s="484" t="str">
        <f>IFERROR(ROUNDUP(CD101/INDEX(bhpc_data[units_per_carton],MATCH(BZ101,bhpc_data[sku],0)),0),"")</f>
        <v/>
      </c>
      <c r="CI101" s="484" t="str">
        <f>IFERROR(ROUNDUP(CF101/INDEX(bhpc_data[units_per_carton],MATCH(BZ101,bhpc_data[sku])),0),"")</f>
        <v/>
      </c>
      <c r="CJ101" s="484" t="str">
        <f>IFERROR(((CB101+CD101+CF101)/INDEX(bhpc_data[units_per_carton],MATCH(BZ101,bhpc_data[sku],0)))*INDEX(bhpc_data[net_weight],MATCH(BZ101,bhpc_data[sku],0)),"")</f>
        <v/>
      </c>
      <c r="CK101" s="484" t="str">
        <f>IFERROR(((CB101+CD101+CF101)/INDEX(bhpc_data[units_per_carton],MATCH(BZ101,bhpc_data[sku],0)))*INDEX(bhpc_data[gross_weight],MATCH(BZ101,bhpc_data[sku],0)),"")</f>
        <v/>
      </c>
      <c r="CL101" s="485" t="str">
        <f>IFERROR((CB101+CD101+CF101)/INDEX(bhpc_data[units_per_carton],MATCH(BZ101,bhpc_data[sku],0))*INDEX(bhpc_data[lenght],MATCH(BZ101,bhpc_data[sku],0))*INDEX(bhpc_data[width],MATCH(BZ101,bhpc_data[sku],0))*INDEX(bhpc_data[height],MATCH(BZ101,bhpc_data[sku],0))/1000000000,"")</f>
        <v/>
      </c>
      <c r="CM101" s="486" t="str">
        <f>IFERROR(INDEX(bhpc_data[category],MATCH(BZ101,bhpc_data[sku],0)),"")</f>
        <v/>
      </c>
      <c r="CN101" s="486" t="str">
        <f>IFERROR(INDEX(bhpc_data[size1],MATCH(BZ101,bhpc_data[sku],0)),"")</f>
        <v/>
      </c>
      <c r="CO101" s="487" t="str">
        <f>IFERROR(INDEX(bhpc_data[hs_code],MATCH(BZ101,bhpc_data[sku],0)),"")</f>
        <v/>
      </c>
      <c r="CP101" s="500"/>
      <c r="CQ101" s="488" t="str">
        <f>IFERROR(IF(BZ101="","",IF($BX$15="SALE",INDEX(inventory[COSTO UNITARIO],MATCH(BZ101,inventory[ARTICOLO],0)),IF($BX$15="SAMPLING",INDEX(inventory[COSTO UNITARIO],MATCH(BZ101,inventory[ARTICOLO],0)),""))),"")</f>
        <v/>
      </c>
      <c r="CR101" s="488" t="str">
        <f t="shared" si="8"/>
        <v/>
      </c>
      <c r="CS101" s="489" t="str">
        <f t="shared" si="9"/>
        <v/>
      </c>
      <c r="CT101" s="573" t="str">
        <f t="shared" si="10"/>
        <v/>
      </c>
      <c r="DA101" s="350" t="str">
        <f>IFERROR(VLOOKUP(BZ101,bhpc_data[],22,FALSE),"")</f>
        <v/>
      </c>
      <c r="EE101" s="541" t="str" cm="1">
        <f t="array" ref="EE101">IFERROR(IF($EC$9="",IF($EC$11="",IF($EC$13="",INDEX(bhpc_data[sku],SMALL(MATCH(ROW(bhpc_data[sku]),ROW(bhpc_data[sku])),ROWS($A$15:A106)+$B$3)),INDEX(bhpc_data[sku],SMALL(IF(ISNUMBER(MATCH(bhpc_data[size1],$EC$13,0)),MATCH(ROW(bhpc_data[sku]),ROW(bhpc_data[sku])),""),ROWS($A$15:A106)+$B$3))),IF($EC$13="",INDEX(bhpc_data[sku],SMALL(IF(ISNUMBER(MATCH(bhpc_data[sex],$EC$11,0)),MATCH(ROW(bhpc_data[sku]),ROW(bhpc_data[sku])),""),ROWS($A$15:A106)+$B$3)),INDEX(bhpc_data[sku],SMALL(IF(ISNUMBER(MATCH(bhpc_data[sex],$EC$11,0)*MATCH(bhpc_data[size1],$EC$13,0)),MATCH(ROW(bhpc_data[sku]),ROW(bhpc_data[sku])),""),ROWS($A$15:A106)+$B$3)))),IF($EC$11="",IF($EC$13="",INDEX(bhpc_data[sku],SMALL(IF(ISNUMBER(MATCH(bhpc_data[category],$EC$9,0)),MATCH(ROW(bhpc_data[sku]),ROW(bhpc_data[sku])),""),ROWS($A$15:A106)+$B$3)),INDEX(bhpc_data[sku],SMALL(IF(ISNUMBER(MATCH(bhpc_data[category],$EC$9,0)*MATCH(bhpc_data[size1],$EC$13,0)),MATCH(ROW(bhpc_data[sku]),ROW(bhpc_data[sku])),""),ROWS($A$15:A106)+$B$3))),IF($EC$13="",INDEX(bhpc_data[sku],SMALL(IF(ISNUMBER(MATCH(bhpc_data[category],$EC$9,0)*MATCH(bhpc_data[sex],$EC$11,0)),MATCH(ROW(bhpc_data[sku]),ROW(bhpc_data[sku])),""),ROWS($A$15:A106)+$B$3)),INDEX(bhpc_data[sku],SMALL(IF(ISNUMBER(MATCH(bhpc_data[category],$EC$9,0)*MATCH(bhpc_data[sex],$EC$11,0)*MATCH(bhpc_data[size1],$EC$13,0)),MATCH(ROW(bhpc_data[sku]),ROW(bhpc_data[sku])),""),ROWS($A$15:A106)+$B$3))))),"")</f>
        <v>PT6007</v>
      </c>
      <c r="EF101" s="542" t="str" cm="1">
        <f t="array" ref="EF101">IFERROR(IF($EC$9="",IF($EC$11="",IF($EC$13="",INDEX(bhpc_data[description],SMALL(MATCH(ROW(bhpc_data[sku]),ROW(bhpc_data[sku])),ROWS($A$15:A106)+$B$3)),INDEX(bhpc_data[description],SMALL(IF(ISNUMBER(MATCH(bhpc_data[size1],$EC$13,0)),MATCH(ROW(bhpc_data[sku]),ROW(bhpc_data[sku])),""),ROWS($A$15:A106)+$B$3))),IF($EC$13="",INDEX(bhpc_data[description],SMALL(IF(ISNUMBER(MATCH(bhpc_data[sex],$EC$11,0)),MATCH(ROW(bhpc_data[sku]),ROW(bhpc_data[sku])),""),ROWS($A$15:A106)+$B$3)),INDEX(bhpc_data[description],SMALL(IF(ISNUMBER(MATCH(bhpc_data[sex],$EC$11,0)*MATCH(bhpc_data[size1],$EC$13,0)),MATCH(ROW(bhpc_data[sku]),ROW(bhpc_data[sku])),""),ROWS($A$15:A106)+$B$3)))),IF($EC$11="",IF($EC$13="",INDEX(bhpc_data[description],SMALL(IF(ISNUMBER(MATCH(bhpc_data[category],$EC$9,0)),MATCH(ROW(bhpc_data[sku]),ROW(bhpc_data[sku])),""),ROWS($A$15:A106)+$B$3)),INDEX(bhpc_data[description],SMALL(IF(ISNUMBER(MATCH(bhpc_data[category],$EC$9,0)*MATCH(bhpc_data[size1],$EC$13,0)),MATCH(ROW(bhpc_data[sku]),ROW(bhpc_data[sku])),""),ROWS($A$15:A106)+$B$3))),IF($EC$13="",INDEX(bhpc_data[description],SMALL(IF(ISNUMBER(MATCH(bhpc_data[category],$EC$9,0)*MATCH(bhpc_data[sex],$EC$11,0)),MATCH(ROW(bhpc_data[sku]),ROW(bhpc_data[sku])),""),ROWS($A$15:A106)+$B$3)),INDEX(bhpc_data[description],SMALL(IF(ISNUMBER(MATCH(bhpc_data[category],$EC$9,0)*MATCH(bhpc_data[sex],$EC$11,0)*MATCH(bhpc_data[size1],$EC$13,0)),MATCH(ROW(bhpc_data[sku]),ROW(bhpc_data[sku])),""),ROWS($A$15:A106)+$B$3))))),"")</f>
        <v>BHPC TESTERS PASSION 100ML EDP WOMEN</v>
      </c>
      <c r="EG101" s="543">
        <f>IFERROR(IF('BHPC MANAGER'!$EE101="","",INDEX(inventory[ESISTENZA],MATCH('BHPC MANAGER'!$EE101,inventory[ARTICOLO],0))),0)</f>
        <v>0</v>
      </c>
      <c r="EH101" s="544" t="s">
        <v>914</v>
      </c>
      <c r="EI101" s="544">
        <f t="shared" si="11"/>
        <v>0</v>
      </c>
      <c r="EJ101" s="545" t="s">
        <v>914</v>
      </c>
      <c r="EK101" s="546">
        <f t="shared" si="12"/>
        <v>0</v>
      </c>
    </row>
    <row r="102" spans="63:141" ht="15" customHeight="1" x14ac:dyDescent="0.35">
      <c r="BK102" s="366"/>
      <c r="BL102" s="367"/>
      <c r="BM102" s="368"/>
      <c r="BN102" s="367"/>
      <c r="BO102" s="368"/>
      <c r="BZ102" s="497"/>
      <c r="CA102" s="477" t="str">
        <f>IF(BZ102="","",INDEX(bhpc_data[description],MATCH(BZ102,bhpc_data[sku],0)))</f>
        <v/>
      </c>
      <c r="CB102" s="480"/>
      <c r="CC102" s="479"/>
      <c r="CD102" s="498"/>
      <c r="CE102" s="499"/>
      <c r="CF102" s="500"/>
      <c r="CG102" s="483" t="str">
        <f>IFERROR(ROUNDUP(CB102/INDEX(bhpc_data[units_per_carton],MATCH(BZ102,bhpc_data[sku],0)),0),"")</f>
        <v/>
      </c>
      <c r="CH102" s="484" t="str">
        <f>IFERROR(ROUNDUP(CD102/INDEX(bhpc_data[units_per_carton],MATCH(BZ102,bhpc_data[sku],0)),0),"")</f>
        <v/>
      </c>
      <c r="CI102" s="484" t="str">
        <f>IFERROR(ROUNDUP(CF102/INDEX(bhpc_data[units_per_carton],MATCH(BZ102,bhpc_data[sku])),0),"")</f>
        <v/>
      </c>
      <c r="CJ102" s="484" t="str">
        <f>IFERROR(((CB102+CD102+CF102)/INDEX(bhpc_data[units_per_carton],MATCH(BZ102,bhpc_data[sku],0)))*INDEX(bhpc_data[net_weight],MATCH(BZ102,bhpc_data[sku],0)),"")</f>
        <v/>
      </c>
      <c r="CK102" s="484" t="str">
        <f>IFERROR(((CB102+CD102+CF102)/INDEX(bhpc_data[units_per_carton],MATCH(BZ102,bhpc_data[sku],0)))*INDEX(bhpc_data[gross_weight],MATCH(BZ102,bhpc_data[sku],0)),"")</f>
        <v/>
      </c>
      <c r="CL102" s="485" t="str">
        <f>IFERROR((CB102+CD102+CF102)/INDEX(bhpc_data[units_per_carton],MATCH(BZ102,bhpc_data[sku],0))*INDEX(bhpc_data[lenght],MATCH(BZ102,bhpc_data[sku],0))*INDEX(bhpc_data[width],MATCH(BZ102,bhpc_data[sku],0))*INDEX(bhpc_data[height],MATCH(BZ102,bhpc_data[sku],0))/1000000000,"")</f>
        <v/>
      </c>
      <c r="CM102" s="486" t="str">
        <f>IFERROR(INDEX(bhpc_data[category],MATCH(BZ102,bhpc_data[sku],0)),"")</f>
        <v/>
      </c>
      <c r="CN102" s="486" t="str">
        <f>IFERROR(INDEX(bhpc_data[size1],MATCH(BZ102,bhpc_data[sku],0)),"")</f>
        <v/>
      </c>
      <c r="CO102" s="487" t="str">
        <f>IFERROR(INDEX(bhpc_data[hs_code],MATCH(BZ102,bhpc_data[sku],0)),"")</f>
        <v/>
      </c>
      <c r="CP102" s="500"/>
      <c r="CQ102" s="488" t="str">
        <f>IFERROR(IF(BZ102="","",IF($BX$15="SALE",INDEX(inventory[COSTO UNITARIO],MATCH(BZ102,inventory[ARTICOLO],0)),IF($BX$15="SAMPLING",INDEX(inventory[COSTO UNITARIO],MATCH(BZ102,inventory[ARTICOLO],0)),""))),"")</f>
        <v/>
      </c>
      <c r="CR102" s="488" t="str">
        <f t="shared" si="8"/>
        <v/>
      </c>
      <c r="CS102" s="489" t="str">
        <f t="shared" si="9"/>
        <v/>
      </c>
      <c r="CT102" s="573" t="str">
        <f t="shared" si="10"/>
        <v/>
      </c>
      <c r="DA102" s="350" t="str">
        <f>IFERROR(VLOOKUP(BZ102,bhpc_data[],22,FALSE),"")</f>
        <v/>
      </c>
      <c r="EE102" s="547" t="str" cm="1">
        <f t="array" ref="EE102">IFERROR(IF($EC$9="",IF($EC$11="",IF($EC$13="",INDEX(bhpc_data[sku],SMALL(MATCH(ROW(bhpc_data[sku]),ROW(bhpc_data[sku])),ROWS($A$15:A107)+$B$3)),INDEX(bhpc_data[sku],SMALL(IF(ISNUMBER(MATCH(bhpc_data[size1],$EC$13,0)),MATCH(ROW(bhpc_data[sku]),ROW(bhpc_data[sku])),""),ROWS($A$15:A107)+$B$3))),IF($EC$13="",INDEX(bhpc_data[sku],SMALL(IF(ISNUMBER(MATCH(bhpc_data[sex],$EC$11,0)),MATCH(ROW(bhpc_data[sku]),ROW(bhpc_data[sku])),""),ROWS($A$15:A107)+$B$3)),INDEX(bhpc_data[sku],SMALL(IF(ISNUMBER(MATCH(bhpc_data[sex],$EC$11,0)*MATCH(bhpc_data[size1],$EC$13,0)),MATCH(ROW(bhpc_data[sku]),ROW(bhpc_data[sku])),""),ROWS($A$15:A107)+$B$3)))),IF($EC$11="",IF($EC$13="",INDEX(bhpc_data[sku],SMALL(IF(ISNUMBER(MATCH(bhpc_data[category],$EC$9,0)),MATCH(ROW(bhpc_data[sku]),ROW(bhpc_data[sku])),""),ROWS($A$15:A107)+$B$3)),INDEX(bhpc_data[sku],SMALL(IF(ISNUMBER(MATCH(bhpc_data[category],$EC$9,0)*MATCH(bhpc_data[size1],$EC$13,0)),MATCH(ROW(bhpc_data[sku]),ROW(bhpc_data[sku])),""),ROWS($A$15:A107)+$B$3))),IF($EC$13="",INDEX(bhpc_data[sku],SMALL(IF(ISNUMBER(MATCH(bhpc_data[category],$EC$9,0)*MATCH(bhpc_data[sex],$EC$11,0)),MATCH(ROW(bhpc_data[sku]),ROW(bhpc_data[sku])),""),ROWS($A$15:A107)+$B$3)),INDEX(bhpc_data[sku],SMALL(IF(ISNUMBER(MATCH(bhpc_data[category],$EC$9,0)*MATCH(bhpc_data[sex],$EC$11,0)*MATCH(bhpc_data[size1],$EC$13,0)),MATCH(ROW(bhpc_data[sku]),ROW(bhpc_data[sku])),""),ROWS($A$15:A107)+$B$3))))),"")</f>
        <v>PT6020</v>
      </c>
      <c r="EF102" s="548" t="str" cm="1">
        <f t="array" ref="EF102">IFERROR(IF($EC$9="",IF($EC$11="",IF($EC$13="",INDEX(bhpc_data[description],SMALL(MATCH(ROW(bhpc_data[sku]),ROW(bhpc_data[sku])),ROWS($A$15:A107)+$B$3)),INDEX(bhpc_data[description],SMALL(IF(ISNUMBER(MATCH(bhpc_data[size1],$EC$13,0)),MATCH(ROW(bhpc_data[sku]),ROW(bhpc_data[sku])),""),ROWS($A$15:A107)+$B$3))),IF($EC$13="",INDEX(bhpc_data[description],SMALL(IF(ISNUMBER(MATCH(bhpc_data[sex],$EC$11,0)),MATCH(ROW(bhpc_data[sku]),ROW(bhpc_data[sku])),""),ROWS($A$15:A107)+$B$3)),INDEX(bhpc_data[description],SMALL(IF(ISNUMBER(MATCH(bhpc_data[sex],$EC$11,0)*MATCH(bhpc_data[size1],$EC$13,0)),MATCH(ROW(bhpc_data[sku]),ROW(bhpc_data[sku])),""),ROWS($A$15:A107)+$B$3)))),IF($EC$11="",IF($EC$13="",INDEX(bhpc_data[description],SMALL(IF(ISNUMBER(MATCH(bhpc_data[category],$EC$9,0)),MATCH(ROW(bhpc_data[sku]),ROW(bhpc_data[sku])),""),ROWS($A$15:A107)+$B$3)),INDEX(bhpc_data[description],SMALL(IF(ISNUMBER(MATCH(bhpc_data[category],$EC$9,0)*MATCH(bhpc_data[size1],$EC$13,0)),MATCH(ROW(bhpc_data[sku]),ROW(bhpc_data[sku])),""),ROWS($A$15:A107)+$B$3))),IF($EC$13="",INDEX(bhpc_data[description],SMALL(IF(ISNUMBER(MATCH(bhpc_data[category],$EC$9,0)*MATCH(bhpc_data[sex],$EC$11,0)),MATCH(ROW(bhpc_data[sku]),ROW(bhpc_data[sku])),""),ROWS($A$15:A107)+$B$3)),INDEX(bhpc_data[description],SMALL(IF(ISNUMBER(MATCH(bhpc_data[category],$EC$9,0)*MATCH(bhpc_data[sex],$EC$11,0)*MATCH(bhpc_data[size1],$EC$13,0)),MATCH(ROW(bhpc_data[sku]),ROW(bhpc_data[sku])),""),ROWS($A$15:A107)+$B$3))))),"")</f>
        <v>BHPC TESTERS KNIGHT 100ML EDP MEN</v>
      </c>
      <c r="EG102" s="549">
        <f>IFERROR(IF('BHPC MANAGER'!$EE102="","",INDEX(inventory[ESISTENZA],MATCH('BHPC MANAGER'!$EE102,inventory[ARTICOLO],0))),0)</f>
        <v>0</v>
      </c>
      <c r="EH102" s="550" t="s">
        <v>914</v>
      </c>
      <c r="EI102" s="550">
        <f t="shared" si="11"/>
        <v>0</v>
      </c>
      <c r="EJ102" s="551" t="s">
        <v>914</v>
      </c>
      <c r="EK102" s="552">
        <f t="shared" si="12"/>
        <v>0</v>
      </c>
    </row>
    <row r="103" spans="63:141" ht="15" customHeight="1" x14ac:dyDescent="0.35">
      <c r="BK103" s="366"/>
      <c r="BL103" s="367"/>
      <c r="BM103" s="368"/>
      <c r="BN103" s="367"/>
      <c r="BO103" s="368"/>
      <c r="BZ103" s="497"/>
      <c r="CA103" s="477" t="str">
        <f>IF(BZ103="","",INDEX(bhpc_data[description],MATCH(BZ103,bhpc_data[sku],0)))</f>
        <v/>
      </c>
      <c r="CB103" s="480"/>
      <c r="CC103" s="479"/>
      <c r="CD103" s="498"/>
      <c r="CE103" s="499"/>
      <c r="CF103" s="500"/>
      <c r="CG103" s="483" t="str">
        <f>IFERROR(ROUNDUP(CB103/INDEX(bhpc_data[units_per_carton],MATCH(BZ103,bhpc_data[sku],0)),0),"")</f>
        <v/>
      </c>
      <c r="CH103" s="484" t="str">
        <f>IFERROR(ROUNDUP(CD103/INDEX(bhpc_data[units_per_carton],MATCH(BZ103,bhpc_data[sku],0)),0),"")</f>
        <v/>
      </c>
      <c r="CI103" s="484" t="str">
        <f>IFERROR(ROUNDUP(CF103/INDEX(bhpc_data[units_per_carton],MATCH(BZ103,bhpc_data[sku])),0),"")</f>
        <v/>
      </c>
      <c r="CJ103" s="484" t="str">
        <f>IFERROR(((CB103+CD103+CF103)/INDEX(bhpc_data[units_per_carton],MATCH(BZ103,bhpc_data[sku],0)))*INDEX(bhpc_data[net_weight],MATCH(BZ103,bhpc_data[sku],0)),"")</f>
        <v/>
      </c>
      <c r="CK103" s="484" t="str">
        <f>IFERROR(((CB103+CD103+CF103)/INDEX(bhpc_data[units_per_carton],MATCH(BZ103,bhpc_data[sku],0)))*INDEX(bhpc_data[gross_weight],MATCH(BZ103,bhpc_data[sku],0)),"")</f>
        <v/>
      </c>
      <c r="CL103" s="485" t="str">
        <f>IFERROR((CB103+CD103+CF103)/INDEX(bhpc_data[units_per_carton],MATCH(BZ103,bhpc_data[sku],0))*INDEX(bhpc_data[lenght],MATCH(BZ103,bhpc_data[sku],0))*INDEX(bhpc_data[width],MATCH(BZ103,bhpc_data[sku],0))*INDEX(bhpc_data[height],MATCH(BZ103,bhpc_data[sku],0))/1000000000,"")</f>
        <v/>
      </c>
      <c r="CM103" s="486" t="str">
        <f>IFERROR(INDEX(bhpc_data[category],MATCH(BZ103,bhpc_data[sku],0)),"")</f>
        <v/>
      </c>
      <c r="CN103" s="486" t="str">
        <f>IFERROR(INDEX(bhpc_data[size1],MATCH(BZ103,bhpc_data[sku],0)),"")</f>
        <v/>
      </c>
      <c r="CO103" s="487" t="str">
        <f>IFERROR(INDEX(bhpc_data[hs_code],MATCH(BZ103,bhpc_data[sku],0)),"")</f>
        <v/>
      </c>
      <c r="CP103" s="500"/>
      <c r="CQ103" s="488" t="str">
        <f>IFERROR(IF(BZ103="","",IF($BX$15="SALE",INDEX(inventory[COSTO UNITARIO],MATCH(BZ103,inventory[ARTICOLO],0)),IF($BX$15="SAMPLING",INDEX(inventory[COSTO UNITARIO],MATCH(BZ103,inventory[ARTICOLO],0)),""))),"")</f>
        <v/>
      </c>
      <c r="CR103" s="488" t="str">
        <f t="shared" si="8"/>
        <v/>
      </c>
      <c r="CS103" s="489" t="str">
        <f t="shared" si="9"/>
        <v/>
      </c>
      <c r="CT103" s="573" t="str">
        <f t="shared" si="10"/>
        <v/>
      </c>
      <c r="DA103" s="350" t="str">
        <f>IFERROR(VLOOKUP(BZ103,bhpc_data[],22,FALSE),"")</f>
        <v/>
      </c>
      <c r="EE103" s="541" t="str" cm="1">
        <f t="array" ref="EE103">IFERROR(IF($EC$9="",IF($EC$11="",IF($EC$13="",INDEX(bhpc_data[sku],SMALL(MATCH(ROW(bhpc_data[sku]),ROW(bhpc_data[sku])),ROWS($A$15:A108)+$B$3)),INDEX(bhpc_data[sku],SMALL(IF(ISNUMBER(MATCH(bhpc_data[size1],$EC$13,0)),MATCH(ROW(bhpc_data[sku]),ROW(bhpc_data[sku])),""),ROWS($A$15:A108)+$B$3))),IF($EC$13="",INDEX(bhpc_data[sku],SMALL(IF(ISNUMBER(MATCH(bhpc_data[sex],$EC$11,0)),MATCH(ROW(bhpc_data[sku]),ROW(bhpc_data[sku])),""),ROWS($A$15:A108)+$B$3)),INDEX(bhpc_data[sku],SMALL(IF(ISNUMBER(MATCH(bhpc_data[sex],$EC$11,0)*MATCH(bhpc_data[size1],$EC$13,0)),MATCH(ROW(bhpc_data[sku]),ROW(bhpc_data[sku])),""),ROWS($A$15:A108)+$B$3)))),IF($EC$11="",IF($EC$13="",INDEX(bhpc_data[sku],SMALL(IF(ISNUMBER(MATCH(bhpc_data[category],$EC$9,0)),MATCH(ROW(bhpc_data[sku]),ROW(bhpc_data[sku])),""),ROWS($A$15:A108)+$B$3)),INDEX(bhpc_data[sku],SMALL(IF(ISNUMBER(MATCH(bhpc_data[category],$EC$9,0)*MATCH(bhpc_data[size1],$EC$13,0)),MATCH(ROW(bhpc_data[sku]),ROW(bhpc_data[sku])),""),ROWS($A$15:A108)+$B$3))),IF($EC$13="",INDEX(bhpc_data[sku],SMALL(IF(ISNUMBER(MATCH(bhpc_data[category],$EC$9,0)*MATCH(bhpc_data[sex],$EC$11,0)),MATCH(ROW(bhpc_data[sku]),ROW(bhpc_data[sku])),""),ROWS($A$15:A108)+$B$3)),INDEX(bhpc_data[sku],SMALL(IF(ISNUMBER(MATCH(bhpc_data[category],$EC$9,0)*MATCH(bhpc_data[sex],$EC$11,0)*MATCH(bhpc_data[size1],$EC$13,0)),MATCH(ROW(bhpc_data[sku]),ROW(bhpc_data[sku])),""),ROWS($A$15:A108)+$B$3))))),"")</f>
        <v>PT6021</v>
      </c>
      <c r="EF103" s="542" t="str" cm="1">
        <f t="array" ref="EF103">IFERROR(IF($EC$9="",IF($EC$11="",IF($EC$13="",INDEX(bhpc_data[description],SMALL(MATCH(ROW(bhpc_data[sku]),ROW(bhpc_data[sku])),ROWS($A$15:A108)+$B$3)),INDEX(bhpc_data[description],SMALL(IF(ISNUMBER(MATCH(bhpc_data[size1],$EC$13,0)),MATCH(ROW(bhpc_data[sku]),ROW(bhpc_data[sku])),""),ROWS($A$15:A108)+$B$3))),IF($EC$13="",INDEX(bhpc_data[description],SMALL(IF(ISNUMBER(MATCH(bhpc_data[sex],$EC$11,0)),MATCH(ROW(bhpc_data[sku]),ROW(bhpc_data[sku])),""),ROWS($A$15:A108)+$B$3)),INDEX(bhpc_data[description],SMALL(IF(ISNUMBER(MATCH(bhpc_data[sex],$EC$11,0)*MATCH(bhpc_data[size1],$EC$13,0)),MATCH(ROW(bhpc_data[sku]),ROW(bhpc_data[sku])),""),ROWS($A$15:A108)+$B$3)))),IF($EC$11="",IF($EC$13="",INDEX(bhpc_data[description],SMALL(IF(ISNUMBER(MATCH(bhpc_data[category],$EC$9,0)),MATCH(ROW(bhpc_data[sku]),ROW(bhpc_data[sku])),""),ROWS($A$15:A108)+$B$3)),INDEX(bhpc_data[description],SMALL(IF(ISNUMBER(MATCH(bhpc_data[category],$EC$9,0)*MATCH(bhpc_data[size1],$EC$13,0)),MATCH(ROW(bhpc_data[sku]),ROW(bhpc_data[sku])),""),ROWS($A$15:A108)+$B$3))),IF($EC$13="",INDEX(bhpc_data[description],SMALL(IF(ISNUMBER(MATCH(bhpc_data[category],$EC$9,0)*MATCH(bhpc_data[sex],$EC$11,0)),MATCH(ROW(bhpc_data[sku]),ROW(bhpc_data[sku])),""),ROWS($A$15:A108)+$B$3)),INDEX(bhpc_data[description],SMALL(IF(ISNUMBER(MATCH(bhpc_data[category],$EC$9,0)*MATCH(bhpc_data[sex],$EC$11,0)*MATCH(bhpc_data[size1],$EC$13,0)),MATCH(ROW(bhpc_data[sku]),ROW(bhpc_data[sku])),""),ROWS($A$15:A108)+$B$3))))),"")</f>
        <v>BHPC TESTERS ROYALE 100ML EDP MEN</v>
      </c>
      <c r="EG103" s="543">
        <f>IFERROR(IF('BHPC MANAGER'!$EE103="","",INDEX(inventory[ESISTENZA],MATCH('BHPC MANAGER'!$EE103,inventory[ARTICOLO],0))),0)</f>
        <v>0</v>
      </c>
      <c r="EH103" s="544" t="s">
        <v>914</v>
      </c>
      <c r="EI103" s="544">
        <f t="shared" si="11"/>
        <v>0</v>
      </c>
      <c r="EJ103" s="545" t="s">
        <v>914</v>
      </c>
      <c r="EK103" s="546">
        <f t="shared" si="12"/>
        <v>0</v>
      </c>
    </row>
    <row r="104" spans="63:141" ht="15" customHeight="1" x14ac:dyDescent="0.35">
      <c r="BK104" s="366"/>
      <c r="BL104" s="367"/>
      <c r="BM104" s="368"/>
      <c r="BN104" s="367"/>
      <c r="BO104" s="368"/>
      <c r="BZ104" s="497"/>
      <c r="CA104" s="477" t="str">
        <f>IF(BZ104="","",INDEX(bhpc_data[description],MATCH(BZ104,bhpc_data[sku],0)))</f>
        <v/>
      </c>
      <c r="CB104" s="480"/>
      <c r="CC104" s="479"/>
      <c r="CD104" s="498"/>
      <c r="CE104" s="499"/>
      <c r="CF104" s="500"/>
      <c r="CG104" s="483" t="str">
        <f>IFERROR(ROUNDUP(CB104/INDEX(bhpc_data[units_per_carton],MATCH(BZ104,bhpc_data[sku],0)),0),"")</f>
        <v/>
      </c>
      <c r="CH104" s="484" t="str">
        <f>IFERROR(ROUNDUP(CD104/INDEX(bhpc_data[units_per_carton],MATCH(BZ104,bhpc_data[sku],0)),0),"")</f>
        <v/>
      </c>
      <c r="CI104" s="484" t="str">
        <f>IFERROR(ROUNDUP(CF104/INDEX(bhpc_data[units_per_carton],MATCH(BZ104,bhpc_data[sku])),0),"")</f>
        <v/>
      </c>
      <c r="CJ104" s="484" t="str">
        <f>IFERROR(((CB104+CD104+CF104)/INDEX(bhpc_data[units_per_carton],MATCH(BZ104,bhpc_data[sku],0)))*INDEX(bhpc_data[net_weight],MATCH(BZ104,bhpc_data[sku],0)),"")</f>
        <v/>
      </c>
      <c r="CK104" s="484" t="str">
        <f>IFERROR(((CB104+CD104+CF104)/INDEX(bhpc_data[units_per_carton],MATCH(BZ104,bhpc_data[sku],0)))*INDEX(bhpc_data[gross_weight],MATCH(BZ104,bhpc_data[sku],0)),"")</f>
        <v/>
      </c>
      <c r="CL104" s="485" t="str">
        <f>IFERROR((CB104+CD104+CF104)/INDEX(bhpc_data[units_per_carton],MATCH(BZ104,bhpc_data[sku],0))*INDEX(bhpc_data[lenght],MATCH(BZ104,bhpc_data[sku],0))*INDEX(bhpc_data[width],MATCH(BZ104,bhpc_data[sku],0))*INDEX(bhpc_data[height],MATCH(BZ104,bhpc_data[sku],0))/1000000000,"")</f>
        <v/>
      </c>
      <c r="CM104" s="486" t="str">
        <f>IFERROR(INDEX(bhpc_data[category],MATCH(BZ104,bhpc_data[sku],0)),"")</f>
        <v/>
      </c>
      <c r="CN104" s="486" t="str">
        <f>IFERROR(INDEX(bhpc_data[size1],MATCH(BZ104,bhpc_data[sku],0)),"")</f>
        <v/>
      </c>
      <c r="CO104" s="487" t="str">
        <f>IFERROR(INDEX(bhpc_data[hs_code],MATCH(BZ104,bhpc_data[sku],0)),"")</f>
        <v/>
      </c>
      <c r="CP104" s="500"/>
      <c r="CQ104" s="488" t="str">
        <f>IFERROR(IF(BZ104="","",IF($BX$15="SALE",INDEX(inventory[COSTO UNITARIO],MATCH(BZ104,inventory[ARTICOLO],0)),IF($BX$15="SAMPLING",INDEX(inventory[COSTO UNITARIO],MATCH(BZ104,inventory[ARTICOLO],0)),""))),"")</f>
        <v/>
      </c>
      <c r="CR104" s="488" t="str">
        <f t="shared" si="8"/>
        <v/>
      </c>
      <c r="CS104" s="489" t="str">
        <f t="shared" si="9"/>
        <v/>
      </c>
      <c r="CT104" s="573" t="str">
        <f t="shared" si="10"/>
        <v/>
      </c>
      <c r="DA104" s="350" t="str">
        <f>IFERROR(VLOOKUP(BZ104,bhpc_data[],22,FALSE),"")</f>
        <v/>
      </c>
      <c r="EE104" s="547" t="str" cm="1">
        <f t="array" ref="EE104">IFERROR(IF($EC$9="",IF($EC$11="",IF($EC$13="",INDEX(bhpc_data[sku],SMALL(MATCH(ROW(bhpc_data[sku]),ROW(bhpc_data[sku])),ROWS($A$15:A109)+$B$3)),INDEX(bhpc_data[sku],SMALL(IF(ISNUMBER(MATCH(bhpc_data[size1],$EC$13,0)),MATCH(ROW(bhpc_data[sku]),ROW(bhpc_data[sku])),""),ROWS($A$15:A109)+$B$3))),IF($EC$13="",INDEX(bhpc_data[sku],SMALL(IF(ISNUMBER(MATCH(bhpc_data[sex],$EC$11,0)),MATCH(ROW(bhpc_data[sku]),ROW(bhpc_data[sku])),""),ROWS($A$15:A109)+$B$3)),INDEX(bhpc_data[sku],SMALL(IF(ISNUMBER(MATCH(bhpc_data[sex],$EC$11,0)*MATCH(bhpc_data[size1],$EC$13,0)),MATCH(ROW(bhpc_data[sku]),ROW(bhpc_data[sku])),""),ROWS($A$15:A109)+$B$3)))),IF($EC$11="",IF($EC$13="",INDEX(bhpc_data[sku],SMALL(IF(ISNUMBER(MATCH(bhpc_data[category],$EC$9,0)),MATCH(ROW(bhpc_data[sku]),ROW(bhpc_data[sku])),""),ROWS($A$15:A109)+$B$3)),INDEX(bhpc_data[sku],SMALL(IF(ISNUMBER(MATCH(bhpc_data[category],$EC$9,0)*MATCH(bhpc_data[size1],$EC$13,0)),MATCH(ROW(bhpc_data[sku]),ROW(bhpc_data[sku])),""),ROWS($A$15:A109)+$B$3))),IF($EC$13="",INDEX(bhpc_data[sku],SMALL(IF(ISNUMBER(MATCH(bhpc_data[category],$EC$9,0)*MATCH(bhpc_data[sex],$EC$11,0)),MATCH(ROW(bhpc_data[sku]),ROW(bhpc_data[sku])),""),ROWS($A$15:A109)+$B$3)),INDEX(bhpc_data[sku],SMALL(IF(ISNUMBER(MATCH(bhpc_data[category],$EC$9,0)*MATCH(bhpc_data[sex],$EC$11,0)*MATCH(bhpc_data[size1],$EC$13,0)),MATCH(ROW(bhpc_data[sku]),ROW(bhpc_data[sku])),""),ROWS($A$15:A109)+$B$3))))),"")</f>
        <v>X00TPM</v>
      </c>
      <c r="EF104" s="548" t="str" cm="1">
        <f t="array" ref="EF104">IFERROR(IF($EC$9="",IF($EC$11="",IF($EC$13="",INDEX(bhpc_data[description],SMALL(MATCH(ROW(bhpc_data[sku]),ROW(bhpc_data[sku])),ROWS($A$15:A109)+$B$3)),INDEX(bhpc_data[description],SMALL(IF(ISNUMBER(MATCH(bhpc_data[size1],$EC$13,0)),MATCH(ROW(bhpc_data[sku]),ROW(bhpc_data[sku])),""),ROWS($A$15:A109)+$B$3))),IF($EC$13="",INDEX(bhpc_data[description],SMALL(IF(ISNUMBER(MATCH(bhpc_data[sex],$EC$11,0)),MATCH(ROW(bhpc_data[sku]),ROW(bhpc_data[sku])),""),ROWS($A$15:A109)+$B$3)),INDEX(bhpc_data[description],SMALL(IF(ISNUMBER(MATCH(bhpc_data[sex],$EC$11,0)*MATCH(bhpc_data[size1],$EC$13,0)),MATCH(ROW(bhpc_data[sku]),ROW(bhpc_data[sku])),""),ROWS($A$15:A109)+$B$3)))),IF($EC$11="",IF($EC$13="",INDEX(bhpc_data[description],SMALL(IF(ISNUMBER(MATCH(bhpc_data[category],$EC$9,0)),MATCH(ROW(bhpc_data[sku]),ROW(bhpc_data[sku])),""),ROWS($A$15:A109)+$B$3)),INDEX(bhpc_data[description],SMALL(IF(ISNUMBER(MATCH(bhpc_data[category],$EC$9,0)*MATCH(bhpc_data[size1],$EC$13,0)),MATCH(ROW(bhpc_data[sku]),ROW(bhpc_data[sku])),""),ROWS($A$15:A109)+$B$3))),IF($EC$13="",INDEX(bhpc_data[description],SMALL(IF(ISNUMBER(MATCH(bhpc_data[category],$EC$9,0)*MATCH(bhpc_data[sex],$EC$11,0)),MATCH(ROW(bhpc_data[sku]),ROW(bhpc_data[sku])),""),ROWS($A$15:A109)+$B$3)),INDEX(bhpc_data[description],SMALL(IF(ISNUMBER(MATCH(bhpc_data[category],$EC$9,0)*MATCH(bhpc_data[sex],$EC$11,0)*MATCH(bhpc_data[size1],$EC$13,0)),MATCH(ROW(bhpc_data[sku]),ROW(bhpc_data[sku])),""),ROWS($A$15:A109)+$B$3))))),"")</f>
        <v>BHPC BOX TWIN PACK DEO MEN</v>
      </c>
      <c r="EG104" s="549">
        <f>IFERROR(IF('BHPC MANAGER'!$EE104="","",INDEX(inventory[ESISTENZA],MATCH('BHPC MANAGER'!$EE104,inventory[ARTICOLO],0))),0)</f>
        <v>29</v>
      </c>
      <c r="EH104" s="550" t="s">
        <v>914</v>
      </c>
      <c r="EI104" s="550">
        <f t="shared" si="11"/>
        <v>29</v>
      </c>
      <c r="EJ104" s="551" t="s">
        <v>914</v>
      </c>
      <c r="EK104" s="552">
        <f t="shared" si="12"/>
        <v>29</v>
      </c>
    </row>
    <row r="105" spans="63:141" ht="15" customHeight="1" x14ac:dyDescent="0.35">
      <c r="BK105" s="366"/>
      <c r="BL105" s="367"/>
      <c r="BM105" s="368"/>
      <c r="BN105" s="367"/>
      <c r="BO105" s="368"/>
      <c r="BZ105" s="497"/>
      <c r="CA105" s="477" t="str">
        <f>IF(BZ105="","",INDEX(bhpc_data[description],MATCH(BZ105,bhpc_data[sku],0)))</f>
        <v/>
      </c>
      <c r="CB105" s="480"/>
      <c r="CC105" s="479"/>
      <c r="CD105" s="498"/>
      <c r="CE105" s="499"/>
      <c r="CF105" s="500"/>
      <c r="CG105" s="483" t="str">
        <f>IFERROR(ROUNDUP(CB105/INDEX(bhpc_data[units_per_carton],MATCH(BZ105,bhpc_data[sku],0)),0),"")</f>
        <v/>
      </c>
      <c r="CH105" s="484" t="str">
        <f>IFERROR(ROUNDUP(CD105/INDEX(bhpc_data[units_per_carton],MATCH(BZ105,bhpc_data[sku],0)),0),"")</f>
        <v/>
      </c>
      <c r="CI105" s="484" t="str">
        <f>IFERROR(ROUNDUP(CF105/INDEX(bhpc_data[units_per_carton],MATCH(BZ105,bhpc_data[sku])),0),"")</f>
        <v/>
      </c>
      <c r="CJ105" s="484" t="str">
        <f>IFERROR(((CB105+CD105+CF105)/INDEX(bhpc_data[units_per_carton],MATCH(BZ105,bhpc_data[sku],0)))*INDEX(bhpc_data[net_weight],MATCH(BZ105,bhpc_data[sku],0)),"")</f>
        <v/>
      </c>
      <c r="CK105" s="484" t="str">
        <f>IFERROR(((CB105+CD105+CF105)/INDEX(bhpc_data[units_per_carton],MATCH(BZ105,bhpc_data[sku],0)))*INDEX(bhpc_data[gross_weight],MATCH(BZ105,bhpc_data[sku],0)),"")</f>
        <v/>
      </c>
      <c r="CL105" s="485" t="str">
        <f>IFERROR((CB105+CD105+CF105)/INDEX(bhpc_data[units_per_carton],MATCH(BZ105,bhpc_data[sku],0))*INDEX(bhpc_data[lenght],MATCH(BZ105,bhpc_data[sku],0))*INDEX(bhpc_data[width],MATCH(BZ105,bhpc_data[sku],0))*INDEX(bhpc_data[height],MATCH(BZ105,bhpc_data[sku],0))/1000000000,"")</f>
        <v/>
      </c>
      <c r="CM105" s="486" t="str">
        <f>IFERROR(INDEX(bhpc_data[category],MATCH(BZ105,bhpc_data[sku],0)),"")</f>
        <v/>
      </c>
      <c r="CN105" s="486" t="str">
        <f>IFERROR(INDEX(bhpc_data[size1],MATCH(BZ105,bhpc_data[sku],0)),"")</f>
        <v/>
      </c>
      <c r="CO105" s="487" t="str">
        <f>IFERROR(INDEX(bhpc_data[hs_code],MATCH(BZ105,bhpc_data[sku],0)),"")</f>
        <v/>
      </c>
      <c r="CP105" s="500"/>
      <c r="CQ105" s="488" t="str">
        <f>IFERROR(IF(BZ105="","",IF($BX$15="SALE",INDEX(inventory[COSTO UNITARIO],MATCH(BZ105,inventory[ARTICOLO],0)),IF($BX$15="SAMPLING",INDEX(inventory[COSTO UNITARIO],MATCH(BZ105,inventory[ARTICOLO],0)),""))),"")</f>
        <v/>
      </c>
      <c r="CR105" s="488" t="str">
        <f t="shared" si="8"/>
        <v/>
      </c>
      <c r="CS105" s="489" t="str">
        <f t="shared" si="9"/>
        <v/>
      </c>
      <c r="CT105" s="573" t="str">
        <f t="shared" si="10"/>
        <v/>
      </c>
      <c r="DA105" s="350" t="str">
        <f>IFERROR(VLOOKUP(BZ105,bhpc_data[],22,FALSE),"")</f>
        <v/>
      </c>
      <c r="EE105" s="541" t="str" cm="1">
        <f t="array" ref="EE105">IFERROR(IF($EC$9="",IF($EC$11="",IF($EC$13="",INDEX(bhpc_data[sku],SMALL(MATCH(ROW(bhpc_data[sku]),ROW(bhpc_data[sku])),ROWS($A$15:A110)+$B$3)),INDEX(bhpc_data[sku],SMALL(IF(ISNUMBER(MATCH(bhpc_data[size1],$EC$13,0)),MATCH(ROW(bhpc_data[sku]),ROW(bhpc_data[sku])),""),ROWS($A$15:A110)+$B$3))),IF($EC$13="",INDEX(bhpc_data[sku],SMALL(IF(ISNUMBER(MATCH(bhpc_data[sex],$EC$11,0)),MATCH(ROW(bhpc_data[sku]),ROW(bhpc_data[sku])),""),ROWS($A$15:A110)+$B$3)),INDEX(bhpc_data[sku],SMALL(IF(ISNUMBER(MATCH(bhpc_data[sex],$EC$11,0)*MATCH(bhpc_data[size1],$EC$13,0)),MATCH(ROW(bhpc_data[sku]),ROW(bhpc_data[sku])),""),ROWS($A$15:A110)+$B$3)))),IF($EC$11="",IF($EC$13="",INDEX(bhpc_data[sku],SMALL(IF(ISNUMBER(MATCH(bhpc_data[category],$EC$9,0)),MATCH(ROW(bhpc_data[sku]),ROW(bhpc_data[sku])),""),ROWS($A$15:A110)+$B$3)),INDEX(bhpc_data[sku],SMALL(IF(ISNUMBER(MATCH(bhpc_data[category],$EC$9,0)*MATCH(bhpc_data[size1],$EC$13,0)),MATCH(ROW(bhpc_data[sku]),ROW(bhpc_data[sku])),""),ROWS($A$15:A110)+$B$3))),IF($EC$13="",INDEX(bhpc_data[sku],SMALL(IF(ISNUMBER(MATCH(bhpc_data[category],$EC$9,0)*MATCH(bhpc_data[sex],$EC$11,0)),MATCH(ROW(bhpc_data[sku]),ROW(bhpc_data[sku])),""),ROWS($A$15:A110)+$B$3)),INDEX(bhpc_data[sku],SMALL(IF(ISNUMBER(MATCH(bhpc_data[category],$EC$9,0)*MATCH(bhpc_data[sex],$EC$11,0)*MATCH(bhpc_data[size1],$EC$13,0)),MATCH(ROW(bhpc_data[sku]),ROW(bhpc_data[sku])),""),ROWS($A$15:A110)+$B$3))))),"")</f>
        <v>X00TPW</v>
      </c>
      <c r="EF105" s="542" t="str" cm="1">
        <f t="array" ref="EF105">IFERROR(IF($EC$9="",IF($EC$11="",IF($EC$13="",INDEX(bhpc_data[description],SMALL(MATCH(ROW(bhpc_data[sku]),ROW(bhpc_data[sku])),ROWS($A$15:A110)+$B$3)),INDEX(bhpc_data[description],SMALL(IF(ISNUMBER(MATCH(bhpc_data[size1],$EC$13,0)),MATCH(ROW(bhpc_data[sku]),ROW(bhpc_data[sku])),""),ROWS($A$15:A110)+$B$3))),IF($EC$13="",INDEX(bhpc_data[description],SMALL(IF(ISNUMBER(MATCH(bhpc_data[sex],$EC$11,0)),MATCH(ROW(bhpc_data[sku]),ROW(bhpc_data[sku])),""),ROWS($A$15:A110)+$B$3)),INDEX(bhpc_data[description],SMALL(IF(ISNUMBER(MATCH(bhpc_data[sex],$EC$11,0)*MATCH(bhpc_data[size1],$EC$13,0)),MATCH(ROW(bhpc_data[sku]),ROW(bhpc_data[sku])),""),ROWS($A$15:A110)+$B$3)))),IF($EC$11="",IF($EC$13="",INDEX(bhpc_data[description],SMALL(IF(ISNUMBER(MATCH(bhpc_data[category],$EC$9,0)),MATCH(ROW(bhpc_data[sku]),ROW(bhpc_data[sku])),""),ROWS($A$15:A110)+$B$3)),INDEX(bhpc_data[description],SMALL(IF(ISNUMBER(MATCH(bhpc_data[category],$EC$9,0)*MATCH(bhpc_data[size1],$EC$13,0)),MATCH(ROW(bhpc_data[sku]),ROW(bhpc_data[sku])),""),ROWS($A$15:A110)+$B$3))),IF($EC$13="",INDEX(bhpc_data[description],SMALL(IF(ISNUMBER(MATCH(bhpc_data[category],$EC$9,0)*MATCH(bhpc_data[sex],$EC$11,0)),MATCH(ROW(bhpc_data[sku]),ROW(bhpc_data[sku])),""),ROWS($A$15:A110)+$B$3)),INDEX(bhpc_data[description],SMALL(IF(ISNUMBER(MATCH(bhpc_data[category],$EC$9,0)*MATCH(bhpc_data[sex],$EC$11,0)*MATCH(bhpc_data[size1],$EC$13,0)),MATCH(ROW(bhpc_data[sku]),ROW(bhpc_data[sku])),""),ROWS($A$15:A110)+$B$3))))),"")</f>
        <v>BHPC BOX TWIN PACK DEO WOMEN</v>
      </c>
      <c r="EG105" s="543">
        <f>IFERROR(IF('BHPC MANAGER'!$EE105="","",INDEX(inventory[ESISTENZA],MATCH('BHPC MANAGER'!$EE105,inventory[ARTICOLO],0))),0)</f>
        <v>29</v>
      </c>
      <c r="EH105" s="544" t="s">
        <v>914</v>
      </c>
      <c r="EI105" s="544">
        <f t="shared" si="11"/>
        <v>29</v>
      </c>
      <c r="EJ105" s="545" t="s">
        <v>914</v>
      </c>
      <c r="EK105" s="546">
        <f t="shared" si="12"/>
        <v>29</v>
      </c>
    </row>
    <row r="106" spans="63:141" ht="15" customHeight="1" x14ac:dyDescent="0.35">
      <c r="BK106" s="366"/>
      <c r="BL106" s="367"/>
      <c r="BM106" s="368"/>
      <c r="BN106" s="367"/>
      <c r="BO106" s="368"/>
      <c r="BZ106" s="497"/>
      <c r="CA106" s="477" t="str">
        <f>IF(BZ106="","",INDEX(bhpc_data[description],MATCH(BZ106,bhpc_data[sku],0)))</f>
        <v/>
      </c>
      <c r="CB106" s="480"/>
      <c r="CC106" s="479"/>
      <c r="CD106" s="498"/>
      <c r="CE106" s="499"/>
      <c r="CF106" s="500"/>
      <c r="CG106" s="483" t="str">
        <f>IFERROR(ROUNDUP(CB106/INDEX(bhpc_data[units_per_carton],MATCH(BZ106,bhpc_data[sku],0)),0),"")</f>
        <v/>
      </c>
      <c r="CH106" s="484" t="str">
        <f>IFERROR(ROUNDUP(CD106/INDEX(bhpc_data[units_per_carton],MATCH(BZ106,bhpc_data[sku],0)),0),"")</f>
        <v/>
      </c>
      <c r="CI106" s="484" t="str">
        <f>IFERROR(ROUNDUP(CF106/INDEX(bhpc_data[units_per_carton],MATCH(BZ106,bhpc_data[sku])),0),"")</f>
        <v/>
      </c>
      <c r="CJ106" s="484" t="str">
        <f>IFERROR(((CB106+CD106+CF106)/INDEX(bhpc_data[units_per_carton],MATCH(BZ106,bhpc_data[sku],0)))*INDEX(bhpc_data[net_weight],MATCH(BZ106,bhpc_data[sku],0)),"")</f>
        <v/>
      </c>
      <c r="CK106" s="484" t="str">
        <f>IFERROR(((CB106+CD106+CF106)/INDEX(bhpc_data[units_per_carton],MATCH(BZ106,bhpc_data[sku],0)))*INDEX(bhpc_data[gross_weight],MATCH(BZ106,bhpc_data[sku],0)),"")</f>
        <v/>
      </c>
      <c r="CL106" s="485" t="str">
        <f>IFERROR((CB106+CD106+CF106)/INDEX(bhpc_data[units_per_carton],MATCH(BZ106,bhpc_data[sku],0))*INDEX(bhpc_data[lenght],MATCH(BZ106,bhpc_data[sku],0))*INDEX(bhpc_data[width],MATCH(BZ106,bhpc_data[sku],0))*INDEX(bhpc_data[height],MATCH(BZ106,bhpc_data[sku],0))/1000000000,"")</f>
        <v/>
      </c>
      <c r="CM106" s="486" t="str">
        <f>IFERROR(INDEX(bhpc_data[category],MATCH(BZ106,bhpc_data[sku],0)),"")</f>
        <v/>
      </c>
      <c r="CN106" s="486" t="str">
        <f>IFERROR(INDEX(bhpc_data[size1],MATCH(BZ106,bhpc_data[sku],0)),"")</f>
        <v/>
      </c>
      <c r="CO106" s="487" t="str">
        <f>IFERROR(INDEX(bhpc_data[hs_code],MATCH(BZ106,bhpc_data[sku],0)),"")</f>
        <v/>
      </c>
      <c r="CP106" s="500"/>
      <c r="CQ106" s="488" t="str">
        <f>IFERROR(IF(BZ106="","",IF($BX$15="SALE",INDEX(inventory[COSTO UNITARIO],MATCH(BZ106,inventory[ARTICOLO],0)),IF($BX$15="SAMPLING",INDEX(inventory[COSTO UNITARIO],MATCH(BZ106,inventory[ARTICOLO],0)),""))),"")</f>
        <v/>
      </c>
      <c r="CR106" s="488" t="str">
        <f t="shared" ref="CR106:CR110" si="13">IFERROR(IF(BZ106="","",(CB106+CD106)*CQ106),"")</f>
        <v/>
      </c>
      <c r="CS106" s="489" t="str">
        <f t="shared" si="9"/>
        <v/>
      </c>
      <c r="CT106" s="573" t="str">
        <f t="shared" si="10"/>
        <v/>
      </c>
      <c r="DA106" s="350" t="str">
        <f>IFERROR(VLOOKUP(BZ106,bhpc_data[],22,FALSE),"")</f>
        <v/>
      </c>
      <c r="EE106" s="547" t="str" cm="1">
        <f t="array" ref="EE106">IFERROR(IF($EC$9="",IF($EC$11="",IF($EC$13="",INDEX(bhpc_data[sku],SMALL(MATCH(ROW(bhpc_data[sku]),ROW(bhpc_data[sku])),ROWS($A$15:A111)+$B$3)),INDEX(bhpc_data[sku],SMALL(IF(ISNUMBER(MATCH(bhpc_data[size1],$EC$13,0)),MATCH(ROW(bhpc_data[sku]),ROW(bhpc_data[sku])),""),ROWS($A$15:A111)+$B$3))),IF($EC$13="",INDEX(bhpc_data[sku],SMALL(IF(ISNUMBER(MATCH(bhpc_data[sex],$EC$11,0)),MATCH(ROW(bhpc_data[sku]),ROW(bhpc_data[sku])),""),ROWS($A$15:A111)+$B$3)),INDEX(bhpc_data[sku],SMALL(IF(ISNUMBER(MATCH(bhpc_data[sex],$EC$11,0)*MATCH(bhpc_data[size1],$EC$13,0)),MATCH(ROW(bhpc_data[sku]),ROW(bhpc_data[sku])),""),ROWS($A$15:A111)+$B$3)))),IF($EC$11="",IF($EC$13="",INDEX(bhpc_data[sku],SMALL(IF(ISNUMBER(MATCH(bhpc_data[category],$EC$9,0)),MATCH(ROW(bhpc_data[sku]),ROW(bhpc_data[sku])),""),ROWS($A$15:A111)+$B$3)),INDEX(bhpc_data[sku],SMALL(IF(ISNUMBER(MATCH(bhpc_data[category],$EC$9,0)*MATCH(bhpc_data[size1],$EC$13,0)),MATCH(ROW(bhpc_data[sku]),ROW(bhpc_data[sku])),""),ROWS($A$15:A111)+$B$3))),IF($EC$13="",INDEX(bhpc_data[sku],SMALL(IF(ISNUMBER(MATCH(bhpc_data[category],$EC$9,0)*MATCH(bhpc_data[sex],$EC$11,0)),MATCH(ROW(bhpc_data[sku]),ROW(bhpc_data[sku])),""),ROWS($A$15:A111)+$B$3)),INDEX(bhpc_data[sku],SMALL(IF(ISNUMBER(MATCH(bhpc_data[category],$EC$9,0)*MATCH(bhpc_data[sex],$EC$11,0)*MATCH(bhpc_data[size1],$EC$13,0)),MATCH(ROW(bhpc_data[sku]),ROW(bhpc_data[sku])),""),ROWS($A$15:A111)+$B$3))))),"")</f>
        <v>X05004</v>
      </c>
      <c r="EF106" s="548" t="str" cm="1">
        <f t="array" ref="EF106">IFERROR(IF($EC$9="",IF($EC$11="",IF($EC$13="",INDEX(bhpc_data[description],SMALL(MATCH(ROW(bhpc_data[sku]),ROW(bhpc_data[sku])),ROWS($A$15:A111)+$B$3)),INDEX(bhpc_data[description],SMALL(IF(ISNUMBER(MATCH(bhpc_data[size1],$EC$13,0)),MATCH(ROW(bhpc_data[sku]),ROW(bhpc_data[sku])),""),ROWS($A$15:A111)+$B$3))),IF($EC$13="",INDEX(bhpc_data[description],SMALL(IF(ISNUMBER(MATCH(bhpc_data[sex],$EC$11,0)),MATCH(ROW(bhpc_data[sku]),ROW(bhpc_data[sku])),""),ROWS($A$15:A111)+$B$3)),INDEX(bhpc_data[description],SMALL(IF(ISNUMBER(MATCH(bhpc_data[sex],$EC$11,0)*MATCH(bhpc_data[size1],$EC$13,0)),MATCH(ROW(bhpc_data[sku]),ROW(bhpc_data[sku])),""),ROWS($A$15:A111)+$B$3)))),IF($EC$11="",IF($EC$13="",INDEX(bhpc_data[description],SMALL(IF(ISNUMBER(MATCH(bhpc_data[category],$EC$9,0)),MATCH(ROW(bhpc_data[sku]),ROW(bhpc_data[sku])),""),ROWS($A$15:A111)+$B$3)),INDEX(bhpc_data[description],SMALL(IF(ISNUMBER(MATCH(bhpc_data[category],$EC$9,0)*MATCH(bhpc_data[size1],$EC$13,0)),MATCH(ROW(bhpc_data[sku]),ROW(bhpc_data[sku])),""),ROWS($A$15:A111)+$B$3))),IF($EC$13="",INDEX(bhpc_data[description],SMALL(IF(ISNUMBER(MATCH(bhpc_data[category],$EC$9,0)*MATCH(bhpc_data[sex],$EC$11,0)),MATCH(ROW(bhpc_data[sku]),ROW(bhpc_data[sku])),""),ROWS($A$15:A111)+$B$3)),INDEX(bhpc_data[description],SMALL(IF(ISNUMBER(MATCH(bhpc_data[category],$EC$9,0)*MATCH(bhpc_data[sex],$EC$11,0)*MATCH(bhpc_data[size1],$EC$13,0)),MATCH(ROW(bhpc_data[sku]),ROW(bhpc_data[sku])),""),ROWS($A$15:A111)+$B$3))))),"")</f>
        <v>BHPC GIFT BOX MEN NO.1 100ML</v>
      </c>
      <c r="EG106" s="549">
        <f>IFERROR(IF('BHPC MANAGER'!$EE106="","",INDEX(inventory[ESISTENZA],MATCH('BHPC MANAGER'!$EE106,inventory[ARTICOLO],0))),0)</f>
        <v>106</v>
      </c>
      <c r="EH106" s="550">
        <v>50</v>
      </c>
      <c r="EI106" s="550">
        <f t="shared" si="11"/>
        <v>156</v>
      </c>
      <c r="EJ106" s="551">
        <v>0</v>
      </c>
      <c r="EK106" s="552">
        <f t="shared" si="12"/>
        <v>156</v>
      </c>
    </row>
    <row r="107" spans="63:141" ht="15" customHeight="1" x14ac:dyDescent="0.35">
      <c r="BK107" s="366"/>
      <c r="BL107" s="367"/>
      <c r="BM107" s="368"/>
      <c r="BN107" s="367"/>
      <c r="BO107" s="368"/>
      <c r="BZ107" s="497"/>
      <c r="CA107" s="477" t="str">
        <f>IF(BZ107="","",INDEX(bhpc_data[description],MATCH(BZ107,bhpc_data[sku],0)))</f>
        <v/>
      </c>
      <c r="CB107" s="480"/>
      <c r="CC107" s="479"/>
      <c r="CD107" s="501"/>
      <c r="CE107" s="502"/>
      <c r="CF107" s="500"/>
      <c r="CG107" s="483" t="str">
        <f>IFERROR(ROUNDUP(CB107/INDEX(bhpc_data[units_per_carton],MATCH(BZ107,bhpc_data[sku],0)),0),"")</f>
        <v/>
      </c>
      <c r="CH107" s="484" t="str">
        <f>IFERROR(ROUNDUP(CD107/INDEX(bhpc_data[units_per_carton],MATCH(BZ107,bhpc_data[sku],0)),0),"")</f>
        <v/>
      </c>
      <c r="CI107" s="484" t="str">
        <f>IFERROR(ROUNDUP(CF107/INDEX(bhpc_data[units_per_carton],MATCH(BZ107,bhpc_data[sku])),0),"")</f>
        <v/>
      </c>
      <c r="CJ107" s="484" t="str">
        <f>IFERROR(((CB107+CD107+CF107)/INDEX(bhpc_data[units_per_carton],MATCH(BZ107,bhpc_data[sku],0)))*INDEX(bhpc_data[net_weight],MATCH(BZ107,bhpc_data[sku],0)),"")</f>
        <v/>
      </c>
      <c r="CK107" s="484" t="str">
        <f>IFERROR(((CB107+CD107+CF107)/INDEX(bhpc_data[units_per_carton],MATCH(BZ107,bhpc_data[sku],0)))*INDEX(bhpc_data[gross_weight],MATCH(BZ107,bhpc_data[sku],0)),"")</f>
        <v/>
      </c>
      <c r="CL107" s="485" t="str">
        <f>IFERROR((CB107+CD107+CF107)/INDEX(bhpc_data[units_per_carton],MATCH(BZ107,bhpc_data[sku],0))*INDEX(bhpc_data[lenght],MATCH(BZ107,bhpc_data[sku],0))*INDEX(bhpc_data[width],MATCH(BZ107,bhpc_data[sku],0))*INDEX(bhpc_data[height],MATCH(BZ107,bhpc_data[sku],0))/1000000000,"")</f>
        <v/>
      </c>
      <c r="CM107" s="486" t="str">
        <f>IFERROR(INDEX(bhpc_data[category],MATCH(BZ107,bhpc_data[sku],0)),"")</f>
        <v/>
      </c>
      <c r="CN107" s="486" t="str">
        <f>IFERROR(INDEX(bhpc_data[size1],MATCH(BZ107,bhpc_data[sku],0)),"")</f>
        <v/>
      </c>
      <c r="CO107" s="487" t="str">
        <f>IFERROR(INDEX(bhpc_data[hs_code],MATCH(BZ107,bhpc_data[sku],0)),"")</f>
        <v/>
      </c>
      <c r="CP107" s="500"/>
      <c r="CQ107" s="503" t="str">
        <f>IFERROR(IF(BZ107="","",IF($BX$15="SALE",INDEX(inventory[COSTO UNITARIO],MATCH(BZ107,inventory[ARTICOLO],0)),IF($BX$15="SAMPLING",INDEX(inventory[COSTO UNITARIO],MATCH(BZ107,inventory[ARTICOLO],0)),""))),"")</f>
        <v/>
      </c>
      <c r="CR107" s="488" t="str">
        <f t="shared" si="13"/>
        <v/>
      </c>
      <c r="CS107" s="489" t="str">
        <f t="shared" si="9"/>
        <v/>
      </c>
      <c r="CT107" s="573" t="str">
        <f t="shared" si="10"/>
        <v/>
      </c>
      <c r="DA107" s="350" t="str">
        <f>IFERROR(VLOOKUP(BZ107,bhpc_data[],22,FALSE),"")</f>
        <v/>
      </c>
      <c r="EE107" s="541" t="str" cm="1">
        <f t="array" ref="EE107">IFERROR(IF($EC$9="",IF($EC$11="",IF($EC$13="",INDEX(bhpc_data[sku],SMALL(MATCH(ROW(bhpc_data[sku]),ROW(bhpc_data[sku])),ROWS($A$15:A112)+$B$3)),INDEX(bhpc_data[sku],SMALL(IF(ISNUMBER(MATCH(bhpc_data[size1],$EC$13,0)),MATCH(ROW(bhpc_data[sku]),ROW(bhpc_data[sku])),""),ROWS($A$15:A112)+$B$3))),IF($EC$13="",INDEX(bhpc_data[sku],SMALL(IF(ISNUMBER(MATCH(bhpc_data[sex],$EC$11,0)),MATCH(ROW(bhpc_data[sku]),ROW(bhpc_data[sku])),""),ROWS($A$15:A112)+$B$3)),INDEX(bhpc_data[sku],SMALL(IF(ISNUMBER(MATCH(bhpc_data[sex],$EC$11,0)*MATCH(bhpc_data[size1],$EC$13,0)),MATCH(ROW(bhpc_data[sku]),ROW(bhpc_data[sku])),""),ROWS($A$15:A112)+$B$3)))),IF($EC$11="",IF($EC$13="",INDEX(bhpc_data[sku],SMALL(IF(ISNUMBER(MATCH(bhpc_data[category],$EC$9,0)),MATCH(ROW(bhpc_data[sku]),ROW(bhpc_data[sku])),""),ROWS($A$15:A112)+$B$3)),INDEX(bhpc_data[sku],SMALL(IF(ISNUMBER(MATCH(bhpc_data[category],$EC$9,0)*MATCH(bhpc_data[size1],$EC$13,0)),MATCH(ROW(bhpc_data[sku]),ROW(bhpc_data[sku])),""),ROWS($A$15:A112)+$B$3))),IF($EC$13="",INDEX(bhpc_data[sku],SMALL(IF(ISNUMBER(MATCH(bhpc_data[category],$EC$9,0)*MATCH(bhpc_data[sex],$EC$11,0)),MATCH(ROW(bhpc_data[sku]),ROW(bhpc_data[sku])),""),ROWS($A$15:A112)+$B$3)),INDEX(bhpc_data[sku],SMALL(IF(ISNUMBER(MATCH(bhpc_data[category],$EC$9,0)*MATCH(bhpc_data[sex],$EC$11,0)*MATCH(bhpc_data[size1],$EC$13,0)),MATCH(ROW(bhpc_data[sku]),ROW(bhpc_data[sku])),""),ROWS($A$15:A112)+$B$3))))),"")</f>
        <v>X05005</v>
      </c>
      <c r="EF107" s="542" t="str" cm="1">
        <f t="array" ref="EF107">IFERROR(IF($EC$9="",IF($EC$11="",IF($EC$13="",INDEX(bhpc_data[description],SMALL(MATCH(ROW(bhpc_data[sku]),ROW(bhpc_data[sku])),ROWS($A$15:A112)+$B$3)),INDEX(bhpc_data[description],SMALL(IF(ISNUMBER(MATCH(bhpc_data[size1],$EC$13,0)),MATCH(ROW(bhpc_data[sku]),ROW(bhpc_data[sku])),""),ROWS($A$15:A112)+$B$3))),IF($EC$13="",INDEX(bhpc_data[description],SMALL(IF(ISNUMBER(MATCH(bhpc_data[sex],$EC$11,0)),MATCH(ROW(bhpc_data[sku]),ROW(bhpc_data[sku])),""),ROWS($A$15:A112)+$B$3)),INDEX(bhpc_data[description],SMALL(IF(ISNUMBER(MATCH(bhpc_data[sex],$EC$11,0)*MATCH(bhpc_data[size1],$EC$13,0)),MATCH(ROW(bhpc_data[sku]),ROW(bhpc_data[sku])),""),ROWS($A$15:A112)+$B$3)))),IF($EC$11="",IF($EC$13="",INDEX(bhpc_data[description],SMALL(IF(ISNUMBER(MATCH(bhpc_data[category],$EC$9,0)),MATCH(ROW(bhpc_data[sku]),ROW(bhpc_data[sku])),""),ROWS($A$15:A112)+$B$3)),INDEX(bhpc_data[description],SMALL(IF(ISNUMBER(MATCH(bhpc_data[category],$EC$9,0)*MATCH(bhpc_data[size1],$EC$13,0)),MATCH(ROW(bhpc_data[sku]),ROW(bhpc_data[sku])),""),ROWS($A$15:A112)+$B$3))),IF($EC$13="",INDEX(bhpc_data[description],SMALL(IF(ISNUMBER(MATCH(bhpc_data[category],$EC$9,0)*MATCH(bhpc_data[sex],$EC$11,0)),MATCH(ROW(bhpc_data[sku]),ROW(bhpc_data[sku])),""),ROWS($A$15:A112)+$B$3)),INDEX(bhpc_data[description],SMALL(IF(ISNUMBER(MATCH(bhpc_data[category],$EC$9,0)*MATCH(bhpc_data[sex],$EC$11,0)*MATCH(bhpc_data[size1],$EC$13,0)),MATCH(ROW(bhpc_data[sku]),ROW(bhpc_data[sku])),""),ROWS($A$15:A112)+$B$3))))),"")</f>
        <v>BHPC GIFT BOX MEN NO.9 100ML</v>
      </c>
      <c r="EG107" s="543">
        <f>IFERROR(IF('BHPC MANAGER'!$EE107="","",INDEX(inventory[ESISTENZA],MATCH('BHPC MANAGER'!$EE107,inventory[ARTICOLO],0))),0)</f>
        <v>256</v>
      </c>
      <c r="EH107" s="544">
        <v>50</v>
      </c>
      <c r="EI107" s="544">
        <f t="shared" si="11"/>
        <v>306</v>
      </c>
      <c r="EJ107" s="545">
        <v>0</v>
      </c>
      <c r="EK107" s="546">
        <f t="shared" si="12"/>
        <v>306</v>
      </c>
    </row>
    <row r="108" spans="63:141" ht="15" customHeight="1" x14ac:dyDescent="0.35">
      <c r="BK108" s="366"/>
      <c r="BL108" s="367"/>
      <c r="BM108" s="368"/>
      <c r="BN108" s="367"/>
      <c r="BO108" s="368"/>
      <c r="BZ108" s="497"/>
      <c r="CA108" s="477" t="str">
        <f>IF(BZ108="","",INDEX(bhpc_data[description],MATCH(BZ108,bhpc_data[sku],0)))</f>
        <v/>
      </c>
      <c r="CB108" s="480"/>
      <c r="CC108" s="479"/>
      <c r="CD108" s="501"/>
      <c r="CE108" s="502"/>
      <c r="CF108" s="500"/>
      <c r="CG108" s="483" t="str">
        <f>IFERROR(ROUNDUP(CB108/INDEX(bhpc_data[units_per_carton],MATCH(BZ108,bhpc_data[sku],0)),0),"")</f>
        <v/>
      </c>
      <c r="CH108" s="484" t="str">
        <f>IFERROR(ROUNDUP(CD108/INDEX(bhpc_data[units_per_carton],MATCH(BZ108,bhpc_data[sku],0)),0),"")</f>
        <v/>
      </c>
      <c r="CI108" s="484" t="str">
        <f>IFERROR(ROUNDUP(CF108/INDEX(bhpc_data[units_per_carton],MATCH(BZ108,bhpc_data[sku])),0),"")</f>
        <v/>
      </c>
      <c r="CJ108" s="484" t="str">
        <f>IFERROR(((CB108+CD108+CF108)/INDEX(bhpc_data[units_per_carton],MATCH(BZ108,bhpc_data[sku],0)))*INDEX(bhpc_data[net_weight],MATCH(BZ108,bhpc_data[sku],0)),"")</f>
        <v/>
      </c>
      <c r="CK108" s="484" t="str">
        <f>IFERROR(((CB108+CD108+CF108)/INDEX(bhpc_data[units_per_carton],MATCH(BZ108,bhpc_data[sku],0)))*INDEX(bhpc_data[gross_weight],MATCH(BZ108,bhpc_data[sku],0)),"")</f>
        <v/>
      </c>
      <c r="CL108" s="485" t="str">
        <f>IFERROR((CB108+CD108+CF108)/INDEX(bhpc_data[units_per_carton],MATCH(BZ108,bhpc_data[sku],0))*INDEX(bhpc_data[lenght],MATCH(BZ108,bhpc_data[sku],0))*INDEX(bhpc_data[width],MATCH(BZ108,bhpc_data[sku],0))*INDEX(bhpc_data[height],MATCH(BZ108,bhpc_data[sku],0))/1000000000,"")</f>
        <v/>
      </c>
      <c r="CM108" s="486" t="str">
        <f>IFERROR(INDEX(bhpc_data[category],MATCH(BZ108,bhpc_data[sku],0)),"")</f>
        <v/>
      </c>
      <c r="CN108" s="486" t="str">
        <f>IFERROR(INDEX(bhpc_data[size1],MATCH(BZ108,bhpc_data[sku],0)),"")</f>
        <v/>
      </c>
      <c r="CO108" s="487" t="str">
        <f>IFERROR(INDEX(bhpc_data[hs_code],MATCH(BZ108,bhpc_data[sku],0)),"")</f>
        <v/>
      </c>
      <c r="CP108" s="500"/>
      <c r="CQ108" s="503" t="str">
        <f>IFERROR(IF(BZ108="","",IF($BX$15="SALE",INDEX(inventory[COSTO UNITARIO],MATCH(BZ108,inventory[ARTICOLO],0)),IF($BX$15="SAMPLING",INDEX(inventory[COSTO UNITARIO],MATCH(BZ108,inventory[ARTICOLO],0)),""))),"")</f>
        <v/>
      </c>
      <c r="CR108" s="488" t="str">
        <f t="shared" si="13"/>
        <v/>
      </c>
      <c r="CS108" s="489" t="str">
        <f t="shared" si="9"/>
        <v/>
      </c>
      <c r="CT108" s="573" t="str">
        <f t="shared" si="10"/>
        <v/>
      </c>
      <c r="DA108" s="350" t="str">
        <f>IFERROR(VLOOKUP(BZ108,bhpc_data[],22,FALSE),"")</f>
        <v/>
      </c>
      <c r="EE108" s="547" t="str" cm="1">
        <f t="array" ref="EE108">IFERROR(IF($EC$9="",IF($EC$11="",IF($EC$13="",INDEX(bhpc_data[sku],SMALL(MATCH(ROW(bhpc_data[sku]),ROW(bhpc_data[sku])),ROWS($A$15:A113)+$B$3)),INDEX(bhpc_data[sku],SMALL(IF(ISNUMBER(MATCH(bhpc_data[size1],$EC$13,0)),MATCH(ROW(bhpc_data[sku]),ROW(bhpc_data[sku])),""),ROWS($A$15:A113)+$B$3))),IF($EC$13="",INDEX(bhpc_data[sku],SMALL(IF(ISNUMBER(MATCH(bhpc_data[sex],$EC$11,0)),MATCH(ROW(bhpc_data[sku]),ROW(bhpc_data[sku])),""),ROWS($A$15:A113)+$B$3)),INDEX(bhpc_data[sku],SMALL(IF(ISNUMBER(MATCH(bhpc_data[sex],$EC$11,0)*MATCH(bhpc_data[size1],$EC$13,0)),MATCH(ROW(bhpc_data[sku]),ROW(bhpc_data[sku])),""),ROWS($A$15:A113)+$B$3)))),IF($EC$11="",IF($EC$13="",INDEX(bhpc_data[sku],SMALL(IF(ISNUMBER(MATCH(bhpc_data[category],$EC$9,0)),MATCH(ROW(bhpc_data[sku]),ROW(bhpc_data[sku])),""),ROWS($A$15:A113)+$B$3)),INDEX(bhpc_data[sku],SMALL(IF(ISNUMBER(MATCH(bhpc_data[category],$EC$9,0)*MATCH(bhpc_data[size1],$EC$13,0)),MATCH(ROW(bhpc_data[sku]),ROW(bhpc_data[sku])),""),ROWS($A$15:A113)+$B$3))),IF($EC$13="",INDEX(bhpc_data[sku],SMALL(IF(ISNUMBER(MATCH(bhpc_data[category],$EC$9,0)*MATCH(bhpc_data[sex],$EC$11,0)),MATCH(ROW(bhpc_data[sku]),ROW(bhpc_data[sku])),""),ROWS($A$15:A113)+$B$3)),INDEX(bhpc_data[sku],SMALL(IF(ISNUMBER(MATCH(bhpc_data[category],$EC$9,0)*MATCH(bhpc_data[sex],$EC$11,0)*MATCH(bhpc_data[size1],$EC$13,0)),MATCH(ROW(bhpc_data[sku]),ROW(bhpc_data[sku])),""),ROWS($A$15:A113)+$B$3))))),"")</f>
        <v>X05006</v>
      </c>
      <c r="EF108" s="548" t="str" cm="1">
        <f t="array" ref="EF108">IFERROR(IF($EC$9="",IF($EC$11="",IF($EC$13="",INDEX(bhpc_data[description],SMALL(MATCH(ROW(bhpc_data[sku]),ROW(bhpc_data[sku])),ROWS($A$15:A113)+$B$3)),INDEX(bhpc_data[description],SMALL(IF(ISNUMBER(MATCH(bhpc_data[size1],$EC$13,0)),MATCH(ROW(bhpc_data[sku]),ROW(bhpc_data[sku])),""),ROWS($A$15:A113)+$B$3))),IF($EC$13="",INDEX(bhpc_data[description],SMALL(IF(ISNUMBER(MATCH(bhpc_data[sex],$EC$11,0)),MATCH(ROW(bhpc_data[sku]),ROW(bhpc_data[sku])),""),ROWS($A$15:A113)+$B$3)),INDEX(bhpc_data[description],SMALL(IF(ISNUMBER(MATCH(bhpc_data[sex],$EC$11,0)*MATCH(bhpc_data[size1],$EC$13,0)),MATCH(ROW(bhpc_data[sku]),ROW(bhpc_data[sku])),""),ROWS($A$15:A113)+$B$3)))),IF($EC$11="",IF($EC$13="",INDEX(bhpc_data[description],SMALL(IF(ISNUMBER(MATCH(bhpc_data[category],$EC$9,0)),MATCH(ROW(bhpc_data[sku]),ROW(bhpc_data[sku])),""),ROWS($A$15:A113)+$B$3)),INDEX(bhpc_data[description],SMALL(IF(ISNUMBER(MATCH(bhpc_data[category],$EC$9,0)*MATCH(bhpc_data[size1],$EC$13,0)),MATCH(ROW(bhpc_data[sku]),ROW(bhpc_data[sku])),""),ROWS($A$15:A113)+$B$3))),IF($EC$13="",INDEX(bhpc_data[description],SMALL(IF(ISNUMBER(MATCH(bhpc_data[category],$EC$9,0)*MATCH(bhpc_data[sex],$EC$11,0)),MATCH(ROW(bhpc_data[sku]),ROW(bhpc_data[sku])),""),ROWS($A$15:A113)+$B$3)),INDEX(bhpc_data[description],SMALL(IF(ISNUMBER(MATCH(bhpc_data[category],$EC$9,0)*MATCH(bhpc_data[sex],$EC$11,0)*MATCH(bhpc_data[size1],$EC$13,0)),MATCH(ROW(bhpc_data[sku]),ROW(bhpc_data[sku])),""),ROWS($A$15:A113)+$B$3))))),"")</f>
        <v>BHPC GIFT BOX MEN NO.8 100ML</v>
      </c>
      <c r="EG108" s="549">
        <f>IFERROR(IF('BHPC MANAGER'!$EE108="","",INDEX(inventory[ESISTENZA],MATCH('BHPC MANAGER'!$EE108,inventory[ARTICOLO],0))),0)</f>
        <v>66</v>
      </c>
      <c r="EH108" s="550">
        <v>50</v>
      </c>
      <c r="EI108" s="550">
        <f t="shared" si="11"/>
        <v>116</v>
      </c>
      <c r="EJ108" s="551">
        <v>0</v>
      </c>
      <c r="EK108" s="552">
        <f t="shared" si="12"/>
        <v>116</v>
      </c>
    </row>
    <row r="109" spans="63:141" ht="15" customHeight="1" x14ac:dyDescent="0.35">
      <c r="BK109" s="366"/>
      <c r="BL109" s="367"/>
      <c r="BM109" s="368"/>
      <c r="BN109" s="367"/>
      <c r="BO109" s="368"/>
      <c r="BZ109" s="497"/>
      <c r="CA109" s="477" t="str">
        <f>IF(BZ109="","",INDEX(bhpc_data[description],MATCH(BZ109,bhpc_data[sku],0)))</f>
        <v/>
      </c>
      <c r="CB109" s="480"/>
      <c r="CC109" s="479"/>
      <c r="CD109" s="501"/>
      <c r="CE109" s="502"/>
      <c r="CF109" s="500"/>
      <c r="CG109" s="483" t="str">
        <f>IFERROR(ROUNDUP(CB109/INDEX(bhpc_data[units_per_carton],MATCH(BZ109,bhpc_data[sku],0)),0),"")</f>
        <v/>
      </c>
      <c r="CH109" s="484" t="str">
        <f>IFERROR(ROUNDUP(CD109/INDEX(bhpc_data[units_per_carton],MATCH(BZ109,bhpc_data[sku],0)),0),"")</f>
        <v/>
      </c>
      <c r="CI109" s="484" t="str">
        <f>IFERROR(ROUNDUP(CF109/INDEX(bhpc_data[units_per_carton],MATCH(BZ109,bhpc_data[sku])),0),"")</f>
        <v/>
      </c>
      <c r="CJ109" s="484" t="str">
        <f>IFERROR(((CB109+CD109+CF109)/INDEX(bhpc_data[units_per_carton],MATCH(BZ109,bhpc_data[sku],0)))*INDEX(bhpc_data[net_weight],MATCH(BZ109,bhpc_data[sku],0)),"")</f>
        <v/>
      </c>
      <c r="CK109" s="484" t="str">
        <f>IFERROR(((CB109+CD109+CF109)/INDEX(bhpc_data[units_per_carton],MATCH(BZ109,bhpc_data[sku],0)))*INDEX(bhpc_data[gross_weight],MATCH(BZ109,bhpc_data[sku],0)),"")</f>
        <v/>
      </c>
      <c r="CL109" s="485" t="str">
        <f>IFERROR((CB109+CD109+CF109)/INDEX(bhpc_data[units_per_carton],MATCH(BZ109,bhpc_data[sku],0))*INDEX(bhpc_data[lenght],MATCH(BZ109,bhpc_data[sku],0))*INDEX(bhpc_data[width],MATCH(BZ109,bhpc_data[sku],0))*INDEX(bhpc_data[height],MATCH(BZ109,bhpc_data[sku],0))/1000000000,"")</f>
        <v/>
      </c>
      <c r="CM109" s="486" t="str">
        <f>IFERROR(INDEX(bhpc_data[category],MATCH(BZ109,bhpc_data[sku],0)),"")</f>
        <v/>
      </c>
      <c r="CN109" s="486" t="str">
        <f>IFERROR(INDEX(bhpc_data[size1],MATCH(BZ109,bhpc_data[sku],0)),"")</f>
        <v/>
      </c>
      <c r="CO109" s="487" t="str">
        <f>IFERROR(INDEX(bhpc_data[hs_code],MATCH(BZ109,bhpc_data[sku],0)),"")</f>
        <v/>
      </c>
      <c r="CP109" s="500"/>
      <c r="CQ109" s="503" t="str">
        <f>IFERROR(IF(BZ109="","",IF($BX$15="SALE",INDEX(inventory[COSTO UNITARIO],MATCH(BZ109,inventory[ARTICOLO],0)),IF($BX$15="SAMPLING",INDEX(inventory[COSTO UNITARIO],MATCH(BZ109,inventory[ARTICOLO],0)),""))),"")</f>
        <v/>
      </c>
      <c r="CR109" s="488" t="str">
        <f t="shared" si="13"/>
        <v/>
      </c>
      <c r="CS109" s="489" t="str">
        <f t="shared" si="9"/>
        <v/>
      </c>
      <c r="CT109" s="573" t="str">
        <f t="shared" si="10"/>
        <v/>
      </c>
      <c r="DA109" s="350" t="str">
        <f>IFERROR(VLOOKUP(BZ109,bhpc_data[],22,FALSE),"")</f>
        <v/>
      </c>
      <c r="EE109" s="541" t="str" cm="1">
        <f t="array" ref="EE109">IFERROR(IF($EC$9="",IF($EC$11="",IF($EC$13="",INDEX(bhpc_data[sku],SMALL(MATCH(ROW(bhpc_data[sku]),ROW(bhpc_data[sku])),ROWS($A$15:A114)+$B$3)),INDEX(bhpc_data[sku],SMALL(IF(ISNUMBER(MATCH(bhpc_data[size1],$EC$13,0)),MATCH(ROW(bhpc_data[sku]),ROW(bhpc_data[sku])),""),ROWS($A$15:A114)+$B$3))),IF($EC$13="",INDEX(bhpc_data[sku],SMALL(IF(ISNUMBER(MATCH(bhpc_data[sex],$EC$11,0)),MATCH(ROW(bhpc_data[sku]),ROW(bhpc_data[sku])),""),ROWS($A$15:A114)+$B$3)),INDEX(bhpc_data[sku],SMALL(IF(ISNUMBER(MATCH(bhpc_data[sex],$EC$11,0)*MATCH(bhpc_data[size1],$EC$13,0)),MATCH(ROW(bhpc_data[sku]),ROW(bhpc_data[sku])),""),ROWS($A$15:A114)+$B$3)))),IF($EC$11="",IF($EC$13="",INDEX(bhpc_data[sku],SMALL(IF(ISNUMBER(MATCH(bhpc_data[category],$EC$9,0)),MATCH(ROW(bhpc_data[sku]),ROW(bhpc_data[sku])),""),ROWS($A$15:A114)+$B$3)),INDEX(bhpc_data[sku],SMALL(IF(ISNUMBER(MATCH(bhpc_data[category],$EC$9,0)*MATCH(bhpc_data[size1],$EC$13,0)),MATCH(ROW(bhpc_data[sku]),ROW(bhpc_data[sku])),""),ROWS($A$15:A114)+$B$3))),IF($EC$13="",INDEX(bhpc_data[sku],SMALL(IF(ISNUMBER(MATCH(bhpc_data[category],$EC$9,0)*MATCH(bhpc_data[sex],$EC$11,0)),MATCH(ROW(bhpc_data[sku]),ROW(bhpc_data[sku])),""),ROWS($A$15:A114)+$B$3)),INDEX(bhpc_data[sku],SMALL(IF(ISNUMBER(MATCH(bhpc_data[category],$EC$9,0)*MATCH(bhpc_data[sex],$EC$11,0)*MATCH(bhpc_data[size1],$EC$13,0)),MATCH(ROW(bhpc_data[sku]),ROW(bhpc_data[sku])),""),ROWS($A$15:A114)+$B$3))))),"")</f>
        <v>X05007</v>
      </c>
      <c r="EF109" s="542" t="str" cm="1">
        <f t="array" ref="EF109">IFERROR(IF($EC$9="",IF($EC$11="",IF($EC$13="",INDEX(bhpc_data[description],SMALL(MATCH(ROW(bhpc_data[sku]),ROW(bhpc_data[sku])),ROWS($A$15:A114)+$B$3)),INDEX(bhpc_data[description],SMALL(IF(ISNUMBER(MATCH(bhpc_data[size1],$EC$13,0)),MATCH(ROW(bhpc_data[sku]),ROW(bhpc_data[sku])),""),ROWS($A$15:A114)+$B$3))),IF($EC$13="",INDEX(bhpc_data[description],SMALL(IF(ISNUMBER(MATCH(bhpc_data[sex],$EC$11,0)),MATCH(ROW(bhpc_data[sku]),ROW(bhpc_data[sku])),""),ROWS($A$15:A114)+$B$3)),INDEX(bhpc_data[description],SMALL(IF(ISNUMBER(MATCH(bhpc_data[sex],$EC$11,0)*MATCH(bhpc_data[size1],$EC$13,0)),MATCH(ROW(bhpc_data[sku]),ROW(bhpc_data[sku])),""),ROWS($A$15:A114)+$B$3)))),IF($EC$11="",IF($EC$13="",INDEX(bhpc_data[description],SMALL(IF(ISNUMBER(MATCH(bhpc_data[category],$EC$9,0)),MATCH(ROW(bhpc_data[sku]),ROW(bhpc_data[sku])),""),ROWS($A$15:A114)+$B$3)),INDEX(bhpc_data[description],SMALL(IF(ISNUMBER(MATCH(bhpc_data[category],$EC$9,0)*MATCH(bhpc_data[size1],$EC$13,0)),MATCH(ROW(bhpc_data[sku]),ROW(bhpc_data[sku])),""),ROWS($A$15:A114)+$B$3))),IF($EC$13="",INDEX(bhpc_data[description],SMALL(IF(ISNUMBER(MATCH(bhpc_data[category],$EC$9,0)*MATCH(bhpc_data[sex],$EC$11,0)),MATCH(ROW(bhpc_data[sku]),ROW(bhpc_data[sku])),""),ROWS($A$15:A114)+$B$3)),INDEX(bhpc_data[description],SMALL(IF(ISNUMBER(MATCH(bhpc_data[category],$EC$9,0)*MATCH(bhpc_data[sex],$EC$11,0)*MATCH(bhpc_data[size1],$EC$13,0)),MATCH(ROW(bhpc_data[sku]),ROW(bhpc_data[sku])),""),ROWS($A$15:A114)+$B$3))))),"")</f>
        <v>BHPC GIFT BOX MEN NO.2 100ML</v>
      </c>
      <c r="EG109" s="543">
        <f>IFERROR(IF('BHPC MANAGER'!$EE109="","",INDEX(inventory[ESISTENZA],MATCH('BHPC MANAGER'!$EE109,inventory[ARTICOLO],0))),0)</f>
        <v>256</v>
      </c>
      <c r="EH109" s="544">
        <v>50</v>
      </c>
      <c r="EI109" s="544">
        <f t="shared" si="11"/>
        <v>306</v>
      </c>
      <c r="EJ109" s="545">
        <v>0</v>
      </c>
      <c r="EK109" s="546">
        <f t="shared" si="12"/>
        <v>306</v>
      </c>
    </row>
    <row r="110" spans="63:141" ht="15" customHeight="1" thickBot="1" x14ac:dyDescent="0.4">
      <c r="BK110" s="366"/>
      <c r="BL110" s="367"/>
      <c r="BM110" s="368"/>
      <c r="BN110" s="367"/>
      <c r="BO110" s="368"/>
      <c r="BZ110" s="504"/>
      <c r="CA110" s="505" t="str">
        <f>IF(BZ110="","",INDEX(bhpc_data[description],MATCH(BZ110,bhpc_data[sku],0)))</f>
        <v/>
      </c>
      <c r="CB110" s="506"/>
      <c r="CC110" s="507"/>
      <c r="CD110" s="508"/>
      <c r="CE110" s="509"/>
      <c r="CF110" s="510"/>
      <c r="CG110" s="511" t="str">
        <f>IFERROR(ROUNDUP(CB110/INDEX(bhpc_data[units_per_carton],MATCH(BZ110,bhpc_data[sku],0)),0),"")</f>
        <v/>
      </c>
      <c r="CH110" s="512" t="str">
        <f>IFERROR(ROUNDUP(CD110/INDEX(bhpc_data[units_per_carton],MATCH(BZ110,bhpc_data[sku],0)),0),"")</f>
        <v/>
      </c>
      <c r="CI110" s="512" t="str">
        <f>IFERROR(ROUNDUP(CF110/INDEX(bhpc_data[units_per_carton],MATCH(BZ110,bhpc_data[sku])),0),"")</f>
        <v/>
      </c>
      <c r="CJ110" s="513" t="str">
        <f>IFERROR(((CB110+CD110+CF110)/INDEX(bhpc_data[units_per_carton],MATCH(BZ110,bhpc_data[sku],0)))*INDEX(bhpc_data[net_weight],MATCH(BZ110,bhpc_data[sku],0)),"")</f>
        <v/>
      </c>
      <c r="CK110" s="513" t="str">
        <f>IFERROR(((CB110+CD110+CF110)/INDEX(bhpc_data[units_per_carton],MATCH(BZ110,bhpc_data[sku],0)))*INDEX(bhpc_data[gross_weight],MATCH(BZ110,bhpc_data[sku],0)),"")</f>
        <v/>
      </c>
      <c r="CL110" s="514" t="str">
        <f>IFERROR((CB110+CD110+CF110)/INDEX(bhpc_data[units_per_carton],MATCH(BZ110,bhpc_data[sku],0))*INDEX(bhpc_data[lenght],MATCH(BZ110,bhpc_data[sku],0))*INDEX(bhpc_data[width],MATCH(BZ110,bhpc_data[sku],0))*INDEX(bhpc_data[height],MATCH(BZ110,bhpc_data[sku],0))/1000000000,"")</f>
        <v/>
      </c>
      <c r="CM110" s="515" t="str">
        <f>IFERROR(INDEX(bhpc_data[category],MATCH(BZ110,bhpc_data[sku],0)),"")</f>
        <v/>
      </c>
      <c r="CN110" s="515" t="str">
        <f>IFERROR(INDEX(bhpc_data[size1],MATCH(BZ110,bhpc_data[sku],0)),"")</f>
        <v/>
      </c>
      <c r="CO110" s="516" t="str">
        <f>IFERROR(INDEX(bhpc_data[hs_code],MATCH(BZ110,bhpc_data[sku],0)),"")</f>
        <v/>
      </c>
      <c r="CP110" s="510"/>
      <c r="CQ110" s="517" t="str">
        <f>IFERROR(IF(BZ110="","",IF($BX$15="SALE",INDEX(inventory[COSTO UNITARIO],MATCH(BZ110,inventory[ARTICOLO],0)),IF($BX$15="SAMPLING",INDEX(inventory[COSTO UNITARIO],MATCH(BZ110,inventory[ARTICOLO],0)),""))),"")</f>
        <v/>
      </c>
      <c r="CR110" s="519" t="str">
        <f t="shared" si="13"/>
        <v/>
      </c>
      <c r="CS110" s="518" t="str">
        <f t="shared" si="9"/>
        <v/>
      </c>
      <c r="CT110" s="574" t="str">
        <f t="shared" si="10"/>
        <v/>
      </c>
      <c r="DA110" s="350" t="str">
        <f>IFERROR(VLOOKUP(BZ110,bhpc_data[],22,FALSE),"")</f>
        <v/>
      </c>
      <c r="EE110" s="547" t="str" cm="1">
        <f t="array" ref="EE110">IFERROR(IF($EC$9="",IF($EC$11="",IF($EC$13="",INDEX(bhpc_data[sku],SMALL(MATCH(ROW(bhpc_data[sku]),ROW(bhpc_data[sku])),ROWS($A$15:A115)+$B$3)),INDEX(bhpc_data[sku],SMALL(IF(ISNUMBER(MATCH(bhpc_data[size1],$EC$13,0)),MATCH(ROW(bhpc_data[sku]),ROW(bhpc_data[sku])),""),ROWS($A$15:A115)+$B$3))),IF($EC$13="",INDEX(bhpc_data[sku],SMALL(IF(ISNUMBER(MATCH(bhpc_data[sex],$EC$11,0)),MATCH(ROW(bhpc_data[sku]),ROW(bhpc_data[sku])),""),ROWS($A$15:A115)+$B$3)),INDEX(bhpc_data[sku],SMALL(IF(ISNUMBER(MATCH(bhpc_data[sex],$EC$11,0)*MATCH(bhpc_data[size1],$EC$13,0)),MATCH(ROW(bhpc_data[sku]),ROW(bhpc_data[sku])),""),ROWS($A$15:A115)+$B$3)))),IF($EC$11="",IF($EC$13="",INDEX(bhpc_data[sku],SMALL(IF(ISNUMBER(MATCH(bhpc_data[category],$EC$9,0)),MATCH(ROW(bhpc_data[sku]),ROW(bhpc_data[sku])),""),ROWS($A$15:A115)+$B$3)),INDEX(bhpc_data[sku],SMALL(IF(ISNUMBER(MATCH(bhpc_data[category],$EC$9,0)*MATCH(bhpc_data[size1],$EC$13,0)),MATCH(ROW(bhpc_data[sku]),ROW(bhpc_data[sku])),""),ROWS($A$15:A115)+$B$3))),IF($EC$13="",INDEX(bhpc_data[sku],SMALL(IF(ISNUMBER(MATCH(bhpc_data[category],$EC$9,0)*MATCH(bhpc_data[sex],$EC$11,0)),MATCH(ROW(bhpc_data[sku]),ROW(bhpc_data[sku])),""),ROWS($A$15:A115)+$B$3)),INDEX(bhpc_data[sku],SMALL(IF(ISNUMBER(MATCH(bhpc_data[category],$EC$9,0)*MATCH(bhpc_data[sex],$EC$11,0)*MATCH(bhpc_data[size1],$EC$13,0)),MATCH(ROW(bhpc_data[sku]),ROW(bhpc_data[sku])),""),ROWS($A$15:A115)+$B$3))))),"")</f>
        <v>X05008</v>
      </c>
      <c r="EF110" s="548" t="str" cm="1">
        <f t="array" ref="EF110">IFERROR(IF($EC$9="",IF($EC$11="",IF($EC$13="",INDEX(bhpc_data[description],SMALL(MATCH(ROW(bhpc_data[sku]),ROW(bhpc_data[sku])),ROWS($A$15:A115)+$B$3)),INDEX(bhpc_data[description],SMALL(IF(ISNUMBER(MATCH(bhpc_data[size1],$EC$13,0)),MATCH(ROW(bhpc_data[sku]),ROW(bhpc_data[sku])),""),ROWS($A$15:A115)+$B$3))),IF($EC$13="",INDEX(bhpc_data[description],SMALL(IF(ISNUMBER(MATCH(bhpc_data[sex],$EC$11,0)),MATCH(ROW(bhpc_data[sku]),ROW(bhpc_data[sku])),""),ROWS($A$15:A115)+$B$3)),INDEX(bhpc_data[description],SMALL(IF(ISNUMBER(MATCH(bhpc_data[sex],$EC$11,0)*MATCH(bhpc_data[size1],$EC$13,0)),MATCH(ROW(bhpc_data[sku]),ROW(bhpc_data[sku])),""),ROWS($A$15:A115)+$B$3)))),IF($EC$11="",IF($EC$13="",INDEX(bhpc_data[description],SMALL(IF(ISNUMBER(MATCH(bhpc_data[category],$EC$9,0)),MATCH(ROW(bhpc_data[sku]),ROW(bhpc_data[sku])),""),ROWS($A$15:A115)+$B$3)),INDEX(bhpc_data[description],SMALL(IF(ISNUMBER(MATCH(bhpc_data[category],$EC$9,0)*MATCH(bhpc_data[size1],$EC$13,0)),MATCH(ROW(bhpc_data[sku]),ROW(bhpc_data[sku])),""),ROWS($A$15:A115)+$B$3))),IF($EC$13="",INDEX(bhpc_data[description],SMALL(IF(ISNUMBER(MATCH(bhpc_data[category],$EC$9,0)*MATCH(bhpc_data[sex],$EC$11,0)),MATCH(ROW(bhpc_data[sku]),ROW(bhpc_data[sku])),""),ROWS($A$15:A115)+$B$3)),INDEX(bhpc_data[description],SMALL(IF(ISNUMBER(MATCH(bhpc_data[category],$EC$9,0)*MATCH(bhpc_data[sex],$EC$11,0)*MATCH(bhpc_data[size1],$EC$13,0)),MATCH(ROW(bhpc_data[sku]),ROW(bhpc_data[sku])),""),ROWS($A$15:A115)+$B$3))))),"")</f>
        <v>BHPC GIFT BOX MEN NO.1 50ML</v>
      </c>
      <c r="EG110" s="549">
        <f>IFERROR(IF('BHPC MANAGER'!$EE110="","",INDEX(inventory[ESISTENZA],MATCH('BHPC MANAGER'!$EE110,inventory[ARTICOLO],0))),0)</f>
        <v>0</v>
      </c>
      <c r="EH110" s="550" t="s">
        <v>914</v>
      </c>
      <c r="EI110" s="550">
        <f t="shared" si="11"/>
        <v>0</v>
      </c>
      <c r="EJ110" s="551" t="s">
        <v>914</v>
      </c>
      <c r="EK110" s="552">
        <f t="shared" si="12"/>
        <v>0</v>
      </c>
    </row>
    <row r="111" spans="63:141" x14ac:dyDescent="0.35">
      <c r="BK111" s="366"/>
      <c r="BL111" s="367"/>
      <c r="BM111" s="368"/>
      <c r="BN111" s="367"/>
      <c r="BO111" s="368"/>
      <c r="EE111" s="541" t="str" cm="1">
        <f t="array" ref="EE111">IFERROR(IF($EC$9="",IF($EC$11="",IF($EC$13="",INDEX(bhpc_data[sku],SMALL(MATCH(ROW(bhpc_data[sku]),ROW(bhpc_data[sku])),ROWS($A$15:A116)+$B$3)),INDEX(bhpc_data[sku],SMALL(IF(ISNUMBER(MATCH(bhpc_data[size1],$EC$13,0)),MATCH(ROW(bhpc_data[sku]),ROW(bhpc_data[sku])),""),ROWS($A$15:A116)+$B$3))),IF($EC$13="",INDEX(bhpc_data[sku],SMALL(IF(ISNUMBER(MATCH(bhpc_data[sex],$EC$11,0)),MATCH(ROW(bhpc_data[sku]),ROW(bhpc_data[sku])),""),ROWS($A$15:A116)+$B$3)),INDEX(bhpc_data[sku],SMALL(IF(ISNUMBER(MATCH(bhpc_data[sex],$EC$11,0)*MATCH(bhpc_data[size1],$EC$13,0)),MATCH(ROW(bhpc_data[sku]),ROW(bhpc_data[sku])),""),ROWS($A$15:A116)+$B$3)))),IF($EC$11="",IF($EC$13="",INDEX(bhpc_data[sku],SMALL(IF(ISNUMBER(MATCH(bhpc_data[category],$EC$9,0)),MATCH(ROW(bhpc_data[sku]),ROW(bhpc_data[sku])),""),ROWS($A$15:A116)+$B$3)),INDEX(bhpc_data[sku],SMALL(IF(ISNUMBER(MATCH(bhpc_data[category],$EC$9,0)*MATCH(bhpc_data[size1],$EC$13,0)),MATCH(ROW(bhpc_data[sku]),ROW(bhpc_data[sku])),""),ROWS($A$15:A116)+$B$3))),IF($EC$13="",INDEX(bhpc_data[sku],SMALL(IF(ISNUMBER(MATCH(bhpc_data[category],$EC$9,0)*MATCH(bhpc_data[sex],$EC$11,0)),MATCH(ROW(bhpc_data[sku]),ROW(bhpc_data[sku])),""),ROWS($A$15:A116)+$B$3)),INDEX(bhpc_data[sku],SMALL(IF(ISNUMBER(MATCH(bhpc_data[category],$EC$9,0)*MATCH(bhpc_data[sex],$EC$11,0)*MATCH(bhpc_data[size1],$EC$13,0)),MATCH(ROW(bhpc_data[sku]),ROW(bhpc_data[sku])),""),ROWS($A$15:A116)+$B$3))))),"")</f>
        <v>X05009</v>
      </c>
      <c r="EF111" s="542" t="str" cm="1">
        <f t="array" ref="EF111">IFERROR(IF($EC$9="",IF($EC$11="",IF($EC$13="",INDEX(bhpc_data[description],SMALL(MATCH(ROW(bhpc_data[sku]),ROW(bhpc_data[sku])),ROWS($A$15:A116)+$B$3)),INDEX(bhpc_data[description],SMALL(IF(ISNUMBER(MATCH(bhpc_data[size1],$EC$13,0)),MATCH(ROW(bhpc_data[sku]),ROW(bhpc_data[sku])),""),ROWS($A$15:A116)+$B$3))),IF($EC$13="",INDEX(bhpc_data[description],SMALL(IF(ISNUMBER(MATCH(bhpc_data[sex],$EC$11,0)),MATCH(ROW(bhpc_data[sku]),ROW(bhpc_data[sku])),""),ROWS($A$15:A116)+$B$3)),INDEX(bhpc_data[description],SMALL(IF(ISNUMBER(MATCH(bhpc_data[sex],$EC$11,0)*MATCH(bhpc_data[size1],$EC$13,0)),MATCH(ROW(bhpc_data[sku]),ROW(bhpc_data[sku])),""),ROWS($A$15:A116)+$B$3)))),IF($EC$11="",IF($EC$13="",INDEX(bhpc_data[description],SMALL(IF(ISNUMBER(MATCH(bhpc_data[category],$EC$9,0)),MATCH(ROW(bhpc_data[sku]),ROW(bhpc_data[sku])),""),ROWS($A$15:A116)+$B$3)),INDEX(bhpc_data[description],SMALL(IF(ISNUMBER(MATCH(bhpc_data[category],$EC$9,0)*MATCH(bhpc_data[size1],$EC$13,0)),MATCH(ROW(bhpc_data[sku]),ROW(bhpc_data[sku])),""),ROWS($A$15:A116)+$B$3))),IF($EC$13="",INDEX(bhpc_data[description],SMALL(IF(ISNUMBER(MATCH(bhpc_data[category],$EC$9,0)*MATCH(bhpc_data[sex],$EC$11,0)),MATCH(ROW(bhpc_data[sku]),ROW(bhpc_data[sku])),""),ROWS($A$15:A116)+$B$3)),INDEX(bhpc_data[description],SMALL(IF(ISNUMBER(MATCH(bhpc_data[category],$EC$9,0)*MATCH(bhpc_data[sex],$EC$11,0)*MATCH(bhpc_data[size1],$EC$13,0)),MATCH(ROW(bhpc_data[sku]),ROW(bhpc_data[sku])),""),ROWS($A$15:A116)+$B$3))))),"")</f>
        <v>BHPC GIFT BOX MEN NO.9 50ML</v>
      </c>
      <c r="EG111" s="543">
        <f>IFERROR(IF('BHPC MANAGER'!$EE111="","",INDEX(inventory[ESISTENZA],MATCH('BHPC MANAGER'!$EE111,inventory[ARTICOLO],0))),0)</f>
        <v>0</v>
      </c>
      <c r="EH111" s="544" t="s">
        <v>914</v>
      </c>
      <c r="EI111" s="544">
        <f t="shared" si="11"/>
        <v>0</v>
      </c>
      <c r="EJ111" s="545" t="s">
        <v>914</v>
      </c>
      <c r="EK111" s="546">
        <f t="shared" si="12"/>
        <v>0</v>
      </c>
    </row>
    <row r="112" spans="63:141" x14ac:dyDescent="0.35">
      <c r="BK112" s="366"/>
      <c r="BL112" s="367"/>
      <c r="BM112" s="368"/>
      <c r="BN112" s="367"/>
      <c r="BO112" s="368"/>
      <c r="EE112" s="547" t="str" cm="1">
        <f t="array" ref="EE112">IFERROR(IF($EC$9="",IF($EC$11="",IF($EC$13="",INDEX(bhpc_data[sku],SMALL(MATCH(ROW(bhpc_data[sku]),ROW(bhpc_data[sku])),ROWS($A$15:A117)+$B$3)),INDEX(bhpc_data[sku],SMALL(IF(ISNUMBER(MATCH(bhpc_data[size1],$EC$13,0)),MATCH(ROW(bhpc_data[sku]),ROW(bhpc_data[sku])),""),ROWS($A$15:A117)+$B$3))),IF($EC$13="",INDEX(bhpc_data[sku],SMALL(IF(ISNUMBER(MATCH(bhpc_data[sex],$EC$11,0)),MATCH(ROW(bhpc_data[sku]),ROW(bhpc_data[sku])),""),ROWS($A$15:A117)+$B$3)),INDEX(bhpc_data[sku],SMALL(IF(ISNUMBER(MATCH(bhpc_data[sex],$EC$11,0)*MATCH(bhpc_data[size1],$EC$13,0)),MATCH(ROW(bhpc_data[sku]),ROW(bhpc_data[sku])),""),ROWS($A$15:A117)+$B$3)))),IF($EC$11="",IF($EC$13="",INDEX(bhpc_data[sku],SMALL(IF(ISNUMBER(MATCH(bhpc_data[category],$EC$9,0)),MATCH(ROW(bhpc_data[sku]),ROW(bhpc_data[sku])),""),ROWS($A$15:A117)+$B$3)),INDEX(bhpc_data[sku],SMALL(IF(ISNUMBER(MATCH(bhpc_data[category],$EC$9,0)*MATCH(bhpc_data[size1],$EC$13,0)),MATCH(ROW(bhpc_data[sku]),ROW(bhpc_data[sku])),""),ROWS($A$15:A117)+$B$3))),IF($EC$13="",INDEX(bhpc_data[sku],SMALL(IF(ISNUMBER(MATCH(bhpc_data[category],$EC$9,0)*MATCH(bhpc_data[sex],$EC$11,0)),MATCH(ROW(bhpc_data[sku]),ROW(bhpc_data[sku])),""),ROWS($A$15:A117)+$B$3)),INDEX(bhpc_data[sku],SMALL(IF(ISNUMBER(MATCH(bhpc_data[category],$EC$9,0)*MATCH(bhpc_data[sex],$EC$11,0)*MATCH(bhpc_data[size1],$EC$13,0)),MATCH(ROW(bhpc_data[sku]),ROW(bhpc_data[sku])),""),ROWS($A$15:A117)+$B$3))))),"")</f>
        <v>X05010</v>
      </c>
      <c r="EF112" s="548" t="str" cm="1">
        <f t="array" ref="EF112">IFERROR(IF($EC$9="",IF($EC$11="",IF($EC$13="",INDEX(bhpc_data[description],SMALL(MATCH(ROW(bhpc_data[sku]),ROW(bhpc_data[sku])),ROWS($A$15:A117)+$B$3)),INDEX(bhpc_data[description],SMALL(IF(ISNUMBER(MATCH(bhpc_data[size1],$EC$13,0)),MATCH(ROW(bhpc_data[sku]),ROW(bhpc_data[sku])),""),ROWS($A$15:A117)+$B$3))),IF($EC$13="",INDEX(bhpc_data[description],SMALL(IF(ISNUMBER(MATCH(bhpc_data[sex],$EC$11,0)),MATCH(ROW(bhpc_data[sku]),ROW(bhpc_data[sku])),""),ROWS($A$15:A117)+$B$3)),INDEX(bhpc_data[description],SMALL(IF(ISNUMBER(MATCH(bhpc_data[sex],$EC$11,0)*MATCH(bhpc_data[size1],$EC$13,0)),MATCH(ROW(bhpc_data[sku]),ROW(bhpc_data[sku])),""),ROWS($A$15:A117)+$B$3)))),IF($EC$11="",IF($EC$13="",INDEX(bhpc_data[description],SMALL(IF(ISNUMBER(MATCH(bhpc_data[category],$EC$9,0)),MATCH(ROW(bhpc_data[sku]),ROW(bhpc_data[sku])),""),ROWS($A$15:A117)+$B$3)),INDEX(bhpc_data[description],SMALL(IF(ISNUMBER(MATCH(bhpc_data[category],$EC$9,0)*MATCH(bhpc_data[size1],$EC$13,0)),MATCH(ROW(bhpc_data[sku]),ROW(bhpc_data[sku])),""),ROWS($A$15:A117)+$B$3))),IF($EC$13="",INDEX(bhpc_data[description],SMALL(IF(ISNUMBER(MATCH(bhpc_data[category],$EC$9,0)*MATCH(bhpc_data[sex],$EC$11,0)),MATCH(ROW(bhpc_data[sku]),ROW(bhpc_data[sku])),""),ROWS($A$15:A117)+$B$3)),INDEX(bhpc_data[description],SMALL(IF(ISNUMBER(MATCH(bhpc_data[category],$EC$9,0)*MATCH(bhpc_data[sex],$EC$11,0)*MATCH(bhpc_data[size1],$EC$13,0)),MATCH(ROW(bhpc_data[sku]),ROW(bhpc_data[sku])),""),ROWS($A$15:A117)+$B$3))))),"")</f>
        <v>BHPC GIFT BOX MEN NO.8 50ML</v>
      </c>
      <c r="EG112" s="549">
        <f>IFERROR(IF('BHPC MANAGER'!$EE112="","",INDEX(inventory[ESISTENZA],MATCH('BHPC MANAGER'!$EE112,inventory[ARTICOLO],0))),0)</f>
        <v>0</v>
      </c>
      <c r="EH112" s="550" t="s">
        <v>914</v>
      </c>
      <c r="EI112" s="550">
        <f t="shared" si="11"/>
        <v>0</v>
      </c>
      <c r="EJ112" s="551" t="s">
        <v>914</v>
      </c>
      <c r="EK112" s="552">
        <f t="shared" si="12"/>
        <v>0</v>
      </c>
    </row>
    <row r="113" spans="63:141" x14ac:dyDescent="0.35">
      <c r="BK113" s="366"/>
      <c r="BL113" s="367"/>
      <c r="BM113" s="368"/>
      <c r="BN113" s="367"/>
      <c r="BO113" s="368"/>
      <c r="EE113" s="541" t="str" cm="1">
        <f t="array" ref="EE113">IFERROR(IF($EC$9="",IF($EC$11="",IF($EC$13="",INDEX(bhpc_data[sku],SMALL(MATCH(ROW(bhpc_data[sku]),ROW(bhpc_data[sku])),ROWS($A$15:A118)+$B$3)),INDEX(bhpc_data[sku],SMALL(IF(ISNUMBER(MATCH(bhpc_data[size1],$EC$13,0)),MATCH(ROW(bhpc_data[sku]),ROW(bhpc_data[sku])),""),ROWS($A$15:A118)+$B$3))),IF($EC$13="",INDEX(bhpc_data[sku],SMALL(IF(ISNUMBER(MATCH(bhpc_data[sex],$EC$11,0)),MATCH(ROW(bhpc_data[sku]),ROW(bhpc_data[sku])),""),ROWS($A$15:A118)+$B$3)),INDEX(bhpc_data[sku],SMALL(IF(ISNUMBER(MATCH(bhpc_data[sex],$EC$11,0)*MATCH(bhpc_data[size1],$EC$13,0)),MATCH(ROW(bhpc_data[sku]),ROW(bhpc_data[sku])),""),ROWS($A$15:A118)+$B$3)))),IF($EC$11="",IF($EC$13="",INDEX(bhpc_data[sku],SMALL(IF(ISNUMBER(MATCH(bhpc_data[category],$EC$9,0)),MATCH(ROW(bhpc_data[sku]),ROW(bhpc_data[sku])),""),ROWS($A$15:A118)+$B$3)),INDEX(bhpc_data[sku],SMALL(IF(ISNUMBER(MATCH(bhpc_data[category],$EC$9,0)*MATCH(bhpc_data[size1],$EC$13,0)),MATCH(ROW(bhpc_data[sku]),ROW(bhpc_data[sku])),""),ROWS($A$15:A118)+$B$3))),IF($EC$13="",INDEX(bhpc_data[sku],SMALL(IF(ISNUMBER(MATCH(bhpc_data[category],$EC$9,0)*MATCH(bhpc_data[sex],$EC$11,0)),MATCH(ROW(bhpc_data[sku]),ROW(bhpc_data[sku])),""),ROWS($A$15:A118)+$B$3)),INDEX(bhpc_data[sku],SMALL(IF(ISNUMBER(MATCH(bhpc_data[category],$EC$9,0)*MATCH(bhpc_data[sex],$EC$11,0)*MATCH(bhpc_data[size1],$EC$13,0)),MATCH(ROW(bhpc_data[sku]),ROW(bhpc_data[sku])),""),ROWS($A$15:A118)+$B$3))))),"")</f>
        <v>X05011</v>
      </c>
      <c r="EF113" s="542" t="str" cm="1">
        <f t="array" ref="EF113">IFERROR(IF($EC$9="",IF($EC$11="",IF($EC$13="",INDEX(bhpc_data[description],SMALL(MATCH(ROW(bhpc_data[sku]),ROW(bhpc_data[sku])),ROWS($A$15:A118)+$B$3)),INDEX(bhpc_data[description],SMALL(IF(ISNUMBER(MATCH(bhpc_data[size1],$EC$13,0)),MATCH(ROW(bhpc_data[sku]),ROW(bhpc_data[sku])),""),ROWS($A$15:A118)+$B$3))),IF($EC$13="",INDEX(bhpc_data[description],SMALL(IF(ISNUMBER(MATCH(bhpc_data[sex],$EC$11,0)),MATCH(ROW(bhpc_data[sku]),ROW(bhpc_data[sku])),""),ROWS($A$15:A118)+$B$3)),INDEX(bhpc_data[description],SMALL(IF(ISNUMBER(MATCH(bhpc_data[sex],$EC$11,0)*MATCH(bhpc_data[size1],$EC$13,0)),MATCH(ROW(bhpc_data[sku]),ROW(bhpc_data[sku])),""),ROWS($A$15:A118)+$B$3)))),IF($EC$11="",IF($EC$13="",INDEX(bhpc_data[description],SMALL(IF(ISNUMBER(MATCH(bhpc_data[category],$EC$9,0)),MATCH(ROW(bhpc_data[sku]),ROW(bhpc_data[sku])),""),ROWS($A$15:A118)+$B$3)),INDEX(bhpc_data[description],SMALL(IF(ISNUMBER(MATCH(bhpc_data[category],$EC$9,0)*MATCH(bhpc_data[size1],$EC$13,0)),MATCH(ROW(bhpc_data[sku]),ROW(bhpc_data[sku])),""),ROWS($A$15:A118)+$B$3))),IF($EC$13="",INDEX(bhpc_data[description],SMALL(IF(ISNUMBER(MATCH(bhpc_data[category],$EC$9,0)*MATCH(bhpc_data[sex],$EC$11,0)),MATCH(ROW(bhpc_data[sku]),ROW(bhpc_data[sku])),""),ROWS($A$15:A118)+$B$3)),INDEX(bhpc_data[description],SMALL(IF(ISNUMBER(MATCH(bhpc_data[category],$EC$9,0)*MATCH(bhpc_data[sex],$EC$11,0)*MATCH(bhpc_data[size1],$EC$13,0)),MATCH(ROW(bhpc_data[sku]),ROW(bhpc_data[sku])),""),ROWS($A$15:A118)+$B$3))))),"")</f>
        <v>BHPC GIFT BOX MEN NO.2 50ML</v>
      </c>
      <c r="EG113" s="543">
        <f>IFERROR(IF('BHPC MANAGER'!$EE113="","",INDEX(inventory[ESISTENZA],MATCH('BHPC MANAGER'!$EE113,inventory[ARTICOLO],0))),0)</f>
        <v>0</v>
      </c>
      <c r="EH113" s="544" t="s">
        <v>914</v>
      </c>
      <c r="EI113" s="544">
        <f t="shared" si="11"/>
        <v>0</v>
      </c>
      <c r="EJ113" s="545" t="s">
        <v>914</v>
      </c>
      <c r="EK113" s="546">
        <f t="shared" si="12"/>
        <v>0</v>
      </c>
    </row>
    <row r="114" spans="63:141" x14ac:dyDescent="0.35">
      <c r="BK114" s="366"/>
      <c r="BL114" s="367"/>
      <c r="BM114" s="368"/>
      <c r="BN114" s="367"/>
      <c r="BO114" s="368"/>
      <c r="EE114" s="547" t="str" cm="1">
        <f t="array" ref="EE114">IFERROR(IF($EC$9="",IF($EC$11="",IF($EC$13="",INDEX(bhpc_data[sku],SMALL(MATCH(ROW(bhpc_data[sku]),ROW(bhpc_data[sku])),ROWS($A$15:A119)+$B$3)),INDEX(bhpc_data[sku],SMALL(IF(ISNUMBER(MATCH(bhpc_data[size1],$EC$13,0)),MATCH(ROW(bhpc_data[sku]),ROW(bhpc_data[sku])),""),ROWS($A$15:A119)+$B$3))),IF($EC$13="",INDEX(bhpc_data[sku],SMALL(IF(ISNUMBER(MATCH(bhpc_data[sex],$EC$11,0)),MATCH(ROW(bhpc_data[sku]),ROW(bhpc_data[sku])),""),ROWS($A$15:A119)+$B$3)),INDEX(bhpc_data[sku],SMALL(IF(ISNUMBER(MATCH(bhpc_data[sex],$EC$11,0)*MATCH(bhpc_data[size1],$EC$13,0)),MATCH(ROW(bhpc_data[sku]),ROW(bhpc_data[sku])),""),ROWS($A$15:A119)+$B$3)))),IF($EC$11="",IF($EC$13="",INDEX(bhpc_data[sku],SMALL(IF(ISNUMBER(MATCH(bhpc_data[category],$EC$9,0)),MATCH(ROW(bhpc_data[sku]),ROW(bhpc_data[sku])),""),ROWS($A$15:A119)+$B$3)),INDEX(bhpc_data[sku],SMALL(IF(ISNUMBER(MATCH(bhpc_data[category],$EC$9,0)*MATCH(bhpc_data[size1],$EC$13,0)),MATCH(ROW(bhpc_data[sku]),ROW(bhpc_data[sku])),""),ROWS($A$15:A119)+$B$3))),IF($EC$13="",INDEX(bhpc_data[sku],SMALL(IF(ISNUMBER(MATCH(bhpc_data[category],$EC$9,0)*MATCH(bhpc_data[sex],$EC$11,0)),MATCH(ROW(bhpc_data[sku]),ROW(bhpc_data[sku])),""),ROWS($A$15:A119)+$B$3)),INDEX(bhpc_data[sku],SMALL(IF(ISNUMBER(MATCH(bhpc_data[category],$EC$9,0)*MATCH(bhpc_data[sex],$EC$11,0)*MATCH(bhpc_data[size1],$EC$13,0)),MATCH(ROW(bhpc_data[sku]),ROW(bhpc_data[sku])),""),ROWS($A$15:A119)+$B$3))))),"")</f>
        <v>X05028</v>
      </c>
      <c r="EF114" s="548" t="str" cm="1">
        <f t="array" ref="EF114">IFERROR(IF($EC$9="",IF($EC$11="",IF($EC$13="",INDEX(bhpc_data[description],SMALL(MATCH(ROW(bhpc_data[sku]),ROW(bhpc_data[sku])),ROWS($A$15:A119)+$B$3)),INDEX(bhpc_data[description],SMALL(IF(ISNUMBER(MATCH(bhpc_data[size1],$EC$13,0)),MATCH(ROW(bhpc_data[sku]),ROW(bhpc_data[sku])),""),ROWS($A$15:A119)+$B$3))),IF($EC$13="",INDEX(bhpc_data[description],SMALL(IF(ISNUMBER(MATCH(bhpc_data[sex],$EC$11,0)),MATCH(ROW(bhpc_data[sku]),ROW(bhpc_data[sku])),""),ROWS($A$15:A119)+$B$3)),INDEX(bhpc_data[description],SMALL(IF(ISNUMBER(MATCH(bhpc_data[sex],$EC$11,0)*MATCH(bhpc_data[size1],$EC$13,0)),MATCH(ROW(bhpc_data[sku]),ROW(bhpc_data[sku])),""),ROWS($A$15:A119)+$B$3)))),IF($EC$11="",IF($EC$13="",INDEX(bhpc_data[description],SMALL(IF(ISNUMBER(MATCH(bhpc_data[category],$EC$9,0)),MATCH(ROW(bhpc_data[sku]),ROW(bhpc_data[sku])),""),ROWS($A$15:A119)+$B$3)),INDEX(bhpc_data[description],SMALL(IF(ISNUMBER(MATCH(bhpc_data[category],$EC$9,0)*MATCH(bhpc_data[size1],$EC$13,0)),MATCH(ROW(bhpc_data[sku]),ROW(bhpc_data[sku])),""),ROWS($A$15:A119)+$B$3))),IF($EC$13="",INDEX(bhpc_data[description],SMALL(IF(ISNUMBER(MATCH(bhpc_data[category],$EC$9,0)*MATCH(bhpc_data[sex],$EC$11,0)),MATCH(ROW(bhpc_data[sku]),ROW(bhpc_data[sku])),""),ROWS($A$15:A119)+$B$3)),INDEX(bhpc_data[description],SMALL(IF(ISNUMBER(MATCH(bhpc_data[category],$EC$9,0)*MATCH(bhpc_data[sex],$EC$11,0)*MATCH(bhpc_data[size1],$EC$13,0)),MATCH(ROW(bhpc_data[sku]),ROW(bhpc_data[sku])),""),ROWS($A$15:A119)+$B$3))))),"")</f>
        <v>BHPC GIFT BOX WOMEN NO.1 50ML</v>
      </c>
      <c r="EG114" s="549">
        <f>IFERROR(IF('BHPC MANAGER'!$EE114="","",INDEX(inventory[ESISTENZA],MATCH('BHPC MANAGER'!$EE114,inventory[ARTICOLO],0))),0)</f>
        <v>0</v>
      </c>
      <c r="EH114" s="550" t="s">
        <v>914</v>
      </c>
      <c r="EI114" s="550">
        <f t="shared" si="11"/>
        <v>0</v>
      </c>
      <c r="EJ114" s="551" t="s">
        <v>914</v>
      </c>
      <c r="EK114" s="552">
        <f t="shared" si="12"/>
        <v>0</v>
      </c>
    </row>
    <row r="115" spans="63:141" x14ac:dyDescent="0.35">
      <c r="BK115" s="366"/>
      <c r="BL115" s="367"/>
      <c r="BM115" s="368"/>
      <c r="BN115" s="367"/>
      <c r="BO115" s="368"/>
      <c r="EE115" s="541" t="str" cm="1">
        <f t="array" ref="EE115">IFERROR(IF($EC$9="",IF($EC$11="",IF($EC$13="",INDEX(bhpc_data[sku],SMALL(MATCH(ROW(bhpc_data[sku]),ROW(bhpc_data[sku])),ROWS($A$15:A120)+$B$3)),INDEX(bhpc_data[sku],SMALL(IF(ISNUMBER(MATCH(bhpc_data[size1],$EC$13,0)),MATCH(ROW(bhpc_data[sku]),ROW(bhpc_data[sku])),""),ROWS($A$15:A120)+$B$3))),IF($EC$13="",INDEX(bhpc_data[sku],SMALL(IF(ISNUMBER(MATCH(bhpc_data[sex],$EC$11,0)),MATCH(ROW(bhpc_data[sku]),ROW(bhpc_data[sku])),""),ROWS($A$15:A120)+$B$3)),INDEX(bhpc_data[sku],SMALL(IF(ISNUMBER(MATCH(bhpc_data[sex],$EC$11,0)*MATCH(bhpc_data[size1],$EC$13,0)),MATCH(ROW(bhpc_data[sku]),ROW(bhpc_data[sku])),""),ROWS($A$15:A120)+$B$3)))),IF($EC$11="",IF($EC$13="",INDEX(bhpc_data[sku],SMALL(IF(ISNUMBER(MATCH(bhpc_data[category],$EC$9,0)),MATCH(ROW(bhpc_data[sku]),ROW(bhpc_data[sku])),""),ROWS($A$15:A120)+$B$3)),INDEX(bhpc_data[sku],SMALL(IF(ISNUMBER(MATCH(bhpc_data[category],$EC$9,0)*MATCH(bhpc_data[size1],$EC$13,0)),MATCH(ROW(bhpc_data[sku]),ROW(bhpc_data[sku])),""),ROWS($A$15:A120)+$B$3))),IF($EC$13="",INDEX(bhpc_data[sku],SMALL(IF(ISNUMBER(MATCH(bhpc_data[category],$EC$9,0)*MATCH(bhpc_data[sex],$EC$11,0)),MATCH(ROW(bhpc_data[sku]),ROW(bhpc_data[sku])),""),ROWS($A$15:A120)+$B$3)),INDEX(bhpc_data[sku],SMALL(IF(ISNUMBER(MATCH(bhpc_data[category],$EC$9,0)*MATCH(bhpc_data[sex],$EC$11,0)*MATCH(bhpc_data[size1],$EC$13,0)),MATCH(ROW(bhpc_data[sku]),ROW(bhpc_data[sku])),""),ROWS($A$15:A120)+$B$3))))),"")</f>
        <v>X05029</v>
      </c>
      <c r="EF115" s="542" t="str" cm="1">
        <f t="array" ref="EF115">IFERROR(IF($EC$9="",IF($EC$11="",IF($EC$13="",INDEX(bhpc_data[description],SMALL(MATCH(ROW(bhpc_data[sku]),ROW(bhpc_data[sku])),ROWS($A$15:A120)+$B$3)),INDEX(bhpc_data[description],SMALL(IF(ISNUMBER(MATCH(bhpc_data[size1],$EC$13,0)),MATCH(ROW(bhpc_data[sku]),ROW(bhpc_data[sku])),""),ROWS($A$15:A120)+$B$3))),IF($EC$13="",INDEX(bhpc_data[description],SMALL(IF(ISNUMBER(MATCH(bhpc_data[sex],$EC$11,0)),MATCH(ROW(bhpc_data[sku]),ROW(bhpc_data[sku])),""),ROWS($A$15:A120)+$B$3)),INDEX(bhpc_data[description],SMALL(IF(ISNUMBER(MATCH(bhpc_data[sex],$EC$11,0)*MATCH(bhpc_data[size1],$EC$13,0)),MATCH(ROW(bhpc_data[sku]),ROW(bhpc_data[sku])),""),ROWS($A$15:A120)+$B$3)))),IF($EC$11="",IF($EC$13="",INDEX(bhpc_data[description],SMALL(IF(ISNUMBER(MATCH(bhpc_data[category],$EC$9,0)),MATCH(ROW(bhpc_data[sku]),ROW(bhpc_data[sku])),""),ROWS($A$15:A120)+$B$3)),INDEX(bhpc_data[description],SMALL(IF(ISNUMBER(MATCH(bhpc_data[category],$EC$9,0)*MATCH(bhpc_data[size1],$EC$13,0)),MATCH(ROW(bhpc_data[sku]),ROW(bhpc_data[sku])),""),ROWS($A$15:A120)+$B$3))),IF($EC$13="",INDEX(bhpc_data[description],SMALL(IF(ISNUMBER(MATCH(bhpc_data[category],$EC$9,0)*MATCH(bhpc_data[sex],$EC$11,0)),MATCH(ROW(bhpc_data[sku]),ROW(bhpc_data[sku])),""),ROWS($A$15:A120)+$B$3)),INDEX(bhpc_data[description],SMALL(IF(ISNUMBER(MATCH(bhpc_data[category],$EC$9,0)*MATCH(bhpc_data[sex],$EC$11,0)*MATCH(bhpc_data[size1],$EC$13,0)),MATCH(ROW(bhpc_data[sku]),ROW(bhpc_data[sku])),""),ROWS($A$15:A120)+$B$3))))),"")</f>
        <v>BHPC GIFT BOX WOMEN NO.9 50ML</v>
      </c>
      <c r="EG115" s="543">
        <f>IFERROR(IF('BHPC MANAGER'!$EE115="","",INDEX(inventory[ESISTENZA],MATCH('BHPC MANAGER'!$EE115,inventory[ARTICOLO],0))),0)</f>
        <v>0</v>
      </c>
      <c r="EH115" s="544" t="s">
        <v>914</v>
      </c>
      <c r="EI115" s="544">
        <f t="shared" si="11"/>
        <v>0</v>
      </c>
      <c r="EJ115" s="545" t="s">
        <v>914</v>
      </c>
      <c r="EK115" s="546">
        <f t="shared" si="12"/>
        <v>0</v>
      </c>
    </row>
    <row r="116" spans="63:141" x14ac:dyDescent="0.35">
      <c r="BK116" s="366"/>
      <c r="BL116" s="367"/>
      <c r="BM116" s="368"/>
      <c r="BN116" s="367"/>
      <c r="BO116" s="368"/>
      <c r="EE116" s="547" t="str" cm="1">
        <f t="array" ref="EE116">IFERROR(IF($EC$9="",IF($EC$11="",IF($EC$13="",INDEX(bhpc_data[sku],SMALL(MATCH(ROW(bhpc_data[sku]),ROW(bhpc_data[sku])),ROWS($A$15:A121)+$B$3)),INDEX(bhpc_data[sku],SMALL(IF(ISNUMBER(MATCH(bhpc_data[size1],$EC$13,0)),MATCH(ROW(bhpc_data[sku]),ROW(bhpc_data[sku])),""),ROWS($A$15:A121)+$B$3))),IF($EC$13="",INDEX(bhpc_data[sku],SMALL(IF(ISNUMBER(MATCH(bhpc_data[sex],$EC$11,0)),MATCH(ROW(bhpc_data[sku]),ROW(bhpc_data[sku])),""),ROWS($A$15:A121)+$B$3)),INDEX(bhpc_data[sku],SMALL(IF(ISNUMBER(MATCH(bhpc_data[sex],$EC$11,0)*MATCH(bhpc_data[size1],$EC$13,0)),MATCH(ROW(bhpc_data[sku]),ROW(bhpc_data[sku])),""),ROWS($A$15:A121)+$B$3)))),IF($EC$11="",IF($EC$13="",INDEX(bhpc_data[sku],SMALL(IF(ISNUMBER(MATCH(bhpc_data[category],$EC$9,0)),MATCH(ROW(bhpc_data[sku]),ROW(bhpc_data[sku])),""),ROWS($A$15:A121)+$B$3)),INDEX(bhpc_data[sku],SMALL(IF(ISNUMBER(MATCH(bhpc_data[category],$EC$9,0)*MATCH(bhpc_data[size1],$EC$13,0)),MATCH(ROW(bhpc_data[sku]),ROW(bhpc_data[sku])),""),ROWS($A$15:A121)+$B$3))),IF($EC$13="",INDEX(bhpc_data[sku],SMALL(IF(ISNUMBER(MATCH(bhpc_data[category],$EC$9,0)*MATCH(bhpc_data[sex],$EC$11,0)),MATCH(ROW(bhpc_data[sku]),ROW(bhpc_data[sku])),""),ROWS($A$15:A121)+$B$3)),INDEX(bhpc_data[sku],SMALL(IF(ISNUMBER(MATCH(bhpc_data[category],$EC$9,0)*MATCH(bhpc_data[sex],$EC$11,0)*MATCH(bhpc_data[size1],$EC$13,0)),MATCH(ROW(bhpc_data[sku]),ROW(bhpc_data[sku])),""),ROWS($A$15:A121)+$B$3))))),"")</f>
        <v>X05030</v>
      </c>
      <c r="EF116" s="548" t="str" cm="1">
        <f t="array" ref="EF116">IFERROR(IF($EC$9="",IF($EC$11="",IF($EC$13="",INDEX(bhpc_data[description],SMALL(MATCH(ROW(bhpc_data[sku]),ROW(bhpc_data[sku])),ROWS($A$15:A121)+$B$3)),INDEX(bhpc_data[description],SMALL(IF(ISNUMBER(MATCH(bhpc_data[size1],$EC$13,0)),MATCH(ROW(bhpc_data[sku]),ROW(bhpc_data[sku])),""),ROWS($A$15:A121)+$B$3))),IF($EC$13="",INDEX(bhpc_data[description],SMALL(IF(ISNUMBER(MATCH(bhpc_data[sex],$EC$11,0)),MATCH(ROW(bhpc_data[sku]),ROW(bhpc_data[sku])),""),ROWS($A$15:A121)+$B$3)),INDEX(bhpc_data[description],SMALL(IF(ISNUMBER(MATCH(bhpc_data[sex],$EC$11,0)*MATCH(bhpc_data[size1],$EC$13,0)),MATCH(ROW(bhpc_data[sku]),ROW(bhpc_data[sku])),""),ROWS($A$15:A121)+$B$3)))),IF($EC$11="",IF($EC$13="",INDEX(bhpc_data[description],SMALL(IF(ISNUMBER(MATCH(bhpc_data[category],$EC$9,0)),MATCH(ROW(bhpc_data[sku]),ROW(bhpc_data[sku])),""),ROWS($A$15:A121)+$B$3)),INDEX(bhpc_data[description],SMALL(IF(ISNUMBER(MATCH(bhpc_data[category],$EC$9,0)*MATCH(bhpc_data[size1],$EC$13,0)),MATCH(ROW(bhpc_data[sku]),ROW(bhpc_data[sku])),""),ROWS($A$15:A121)+$B$3))),IF($EC$13="",INDEX(bhpc_data[description],SMALL(IF(ISNUMBER(MATCH(bhpc_data[category],$EC$9,0)*MATCH(bhpc_data[sex],$EC$11,0)),MATCH(ROW(bhpc_data[sku]),ROW(bhpc_data[sku])),""),ROWS($A$15:A121)+$B$3)),INDEX(bhpc_data[description],SMALL(IF(ISNUMBER(MATCH(bhpc_data[category],$EC$9,0)*MATCH(bhpc_data[sex],$EC$11,0)*MATCH(bhpc_data[size1],$EC$13,0)),MATCH(ROW(bhpc_data[sku]),ROW(bhpc_data[sku])),""),ROWS($A$15:A121)+$B$3))))),"")</f>
        <v>BHPC GIFT BOX WOMEN NO.8 50ML</v>
      </c>
      <c r="EG116" s="549">
        <f>IFERROR(IF('BHPC MANAGER'!$EE116="","",INDEX(inventory[ESISTENZA],MATCH('BHPC MANAGER'!$EE116,inventory[ARTICOLO],0))),0)</f>
        <v>0</v>
      </c>
      <c r="EH116" s="550" t="s">
        <v>914</v>
      </c>
      <c r="EI116" s="550">
        <f t="shared" si="11"/>
        <v>0</v>
      </c>
      <c r="EJ116" s="551" t="s">
        <v>914</v>
      </c>
      <c r="EK116" s="552">
        <f t="shared" si="12"/>
        <v>0</v>
      </c>
    </row>
    <row r="117" spans="63:141" x14ac:dyDescent="0.35">
      <c r="BK117" s="366"/>
      <c r="BL117" s="367"/>
      <c r="BM117" s="368"/>
      <c r="BN117" s="367"/>
      <c r="BO117" s="368"/>
      <c r="EE117" s="541" t="str" cm="1">
        <f t="array" ref="EE117">IFERROR(IF($EC$9="",IF($EC$11="",IF($EC$13="",INDEX(bhpc_data[sku],SMALL(MATCH(ROW(bhpc_data[sku]),ROW(bhpc_data[sku])),ROWS($A$15:A122)+$B$3)),INDEX(bhpc_data[sku],SMALL(IF(ISNUMBER(MATCH(bhpc_data[size1],$EC$13,0)),MATCH(ROW(bhpc_data[sku]),ROW(bhpc_data[sku])),""),ROWS($A$15:A122)+$B$3))),IF($EC$13="",INDEX(bhpc_data[sku],SMALL(IF(ISNUMBER(MATCH(bhpc_data[sex],$EC$11,0)),MATCH(ROW(bhpc_data[sku]),ROW(bhpc_data[sku])),""),ROWS($A$15:A122)+$B$3)),INDEX(bhpc_data[sku],SMALL(IF(ISNUMBER(MATCH(bhpc_data[sex],$EC$11,0)*MATCH(bhpc_data[size1],$EC$13,0)),MATCH(ROW(bhpc_data[sku]),ROW(bhpc_data[sku])),""),ROWS($A$15:A122)+$B$3)))),IF($EC$11="",IF($EC$13="",INDEX(bhpc_data[sku],SMALL(IF(ISNUMBER(MATCH(bhpc_data[category],$EC$9,0)),MATCH(ROW(bhpc_data[sku]),ROW(bhpc_data[sku])),""),ROWS($A$15:A122)+$B$3)),INDEX(bhpc_data[sku],SMALL(IF(ISNUMBER(MATCH(bhpc_data[category],$EC$9,0)*MATCH(bhpc_data[size1],$EC$13,0)),MATCH(ROW(bhpc_data[sku]),ROW(bhpc_data[sku])),""),ROWS($A$15:A122)+$B$3))),IF($EC$13="",INDEX(bhpc_data[sku],SMALL(IF(ISNUMBER(MATCH(bhpc_data[category],$EC$9,0)*MATCH(bhpc_data[sex],$EC$11,0)),MATCH(ROW(bhpc_data[sku]),ROW(bhpc_data[sku])),""),ROWS($A$15:A122)+$B$3)),INDEX(bhpc_data[sku],SMALL(IF(ISNUMBER(MATCH(bhpc_data[category],$EC$9,0)*MATCH(bhpc_data[sex],$EC$11,0)*MATCH(bhpc_data[size1],$EC$13,0)),MATCH(ROW(bhpc_data[sku]),ROW(bhpc_data[sku])),""),ROWS($A$15:A122)+$B$3))))),"")</f>
        <v>X05031</v>
      </c>
      <c r="EF117" s="542" t="str" cm="1">
        <f t="array" ref="EF117">IFERROR(IF($EC$9="",IF($EC$11="",IF($EC$13="",INDEX(bhpc_data[description],SMALL(MATCH(ROW(bhpc_data[sku]),ROW(bhpc_data[sku])),ROWS($A$15:A122)+$B$3)),INDEX(bhpc_data[description],SMALL(IF(ISNUMBER(MATCH(bhpc_data[size1],$EC$13,0)),MATCH(ROW(bhpc_data[sku]),ROW(bhpc_data[sku])),""),ROWS($A$15:A122)+$B$3))),IF($EC$13="",INDEX(bhpc_data[description],SMALL(IF(ISNUMBER(MATCH(bhpc_data[sex],$EC$11,0)),MATCH(ROW(bhpc_data[sku]),ROW(bhpc_data[sku])),""),ROWS($A$15:A122)+$B$3)),INDEX(bhpc_data[description],SMALL(IF(ISNUMBER(MATCH(bhpc_data[sex],$EC$11,0)*MATCH(bhpc_data[size1],$EC$13,0)),MATCH(ROW(bhpc_data[sku]),ROW(bhpc_data[sku])),""),ROWS($A$15:A122)+$B$3)))),IF($EC$11="",IF($EC$13="",INDEX(bhpc_data[description],SMALL(IF(ISNUMBER(MATCH(bhpc_data[category],$EC$9,0)),MATCH(ROW(bhpc_data[sku]),ROW(bhpc_data[sku])),""),ROWS($A$15:A122)+$B$3)),INDEX(bhpc_data[description],SMALL(IF(ISNUMBER(MATCH(bhpc_data[category],$EC$9,0)*MATCH(bhpc_data[size1],$EC$13,0)),MATCH(ROW(bhpc_data[sku]),ROW(bhpc_data[sku])),""),ROWS($A$15:A122)+$B$3))),IF($EC$13="",INDEX(bhpc_data[description],SMALL(IF(ISNUMBER(MATCH(bhpc_data[category],$EC$9,0)*MATCH(bhpc_data[sex],$EC$11,0)),MATCH(ROW(bhpc_data[sku]),ROW(bhpc_data[sku])),""),ROWS($A$15:A122)+$B$3)),INDEX(bhpc_data[description],SMALL(IF(ISNUMBER(MATCH(bhpc_data[category],$EC$9,0)*MATCH(bhpc_data[sex],$EC$11,0)*MATCH(bhpc_data[size1],$EC$13,0)),MATCH(ROW(bhpc_data[sku]),ROW(bhpc_data[sku])),""),ROWS($A$15:A122)+$B$3))))),"")</f>
        <v>BHPC GIFT BOX WOMEN NO.2 50ML</v>
      </c>
      <c r="EG117" s="543">
        <f>IFERROR(IF('BHPC MANAGER'!$EE117="","",INDEX(inventory[ESISTENZA],MATCH('BHPC MANAGER'!$EE117,inventory[ARTICOLO],0))),0)</f>
        <v>0</v>
      </c>
      <c r="EH117" s="544" t="s">
        <v>914</v>
      </c>
      <c r="EI117" s="544">
        <f t="shared" si="11"/>
        <v>0</v>
      </c>
      <c r="EJ117" s="545" t="s">
        <v>914</v>
      </c>
      <c r="EK117" s="546">
        <f t="shared" si="12"/>
        <v>0</v>
      </c>
    </row>
    <row r="118" spans="63:141" x14ac:dyDescent="0.35">
      <c r="BK118" s="366"/>
      <c r="BL118" s="367"/>
      <c r="BM118" s="368"/>
      <c r="BN118" s="367"/>
      <c r="BO118" s="368"/>
      <c r="EE118" s="547" t="str" cm="1">
        <f t="array" ref="EE118">IFERROR(IF($EC$9="",IF($EC$11="",IF($EC$13="",INDEX(bhpc_data[sku],SMALL(MATCH(ROW(bhpc_data[sku]),ROW(bhpc_data[sku])),ROWS($A$15:A123)+$B$3)),INDEX(bhpc_data[sku],SMALL(IF(ISNUMBER(MATCH(bhpc_data[size1],$EC$13,0)),MATCH(ROW(bhpc_data[sku]),ROW(bhpc_data[sku])),""),ROWS($A$15:A123)+$B$3))),IF($EC$13="",INDEX(bhpc_data[sku],SMALL(IF(ISNUMBER(MATCH(bhpc_data[sex],$EC$11,0)),MATCH(ROW(bhpc_data[sku]),ROW(bhpc_data[sku])),""),ROWS($A$15:A123)+$B$3)),INDEX(bhpc_data[sku],SMALL(IF(ISNUMBER(MATCH(bhpc_data[sex],$EC$11,0)*MATCH(bhpc_data[size1],$EC$13,0)),MATCH(ROW(bhpc_data[sku]),ROW(bhpc_data[sku])),""),ROWS($A$15:A123)+$B$3)))),IF($EC$11="",IF($EC$13="",INDEX(bhpc_data[sku],SMALL(IF(ISNUMBER(MATCH(bhpc_data[category],$EC$9,0)),MATCH(ROW(bhpc_data[sku]),ROW(bhpc_data[sku])),""),ROWS($A$15:A123)+$B$3)),INDEX(bhpc_data[sku],SMALL(IF(ISNUMBER(MATCH(bhpc_data[category],$EC$9,0)*MATCH(bhpc_data[size1],$EC$13,0)),MATCH(ROW(bhpc_data[sku]),ROW(bhpc_data[sku])),""),ROWS($A$15:A123)+$B$3))),IF($EC$13="",INDEX(bhpc_data[sku],SMALL(IF(ISNUMBER(MATCH(bhpc_data[category],$EC$9,0)*MATCH(bhpc_data[sex],$EC$11,0)),MATCH(ROW(bhpc_data[sku]),ROW(bhpc_data[sku])),""),ROWS($A$15:A123)+$B$3)),INDEX(bhpc_data[sku],SMALL(IF(ISNUMBER(MATCH(bhpc_data[category],$EC$9,0)*MATCH(bhpc_data[sex],$EC$11,0)*MATCH(bhpc_data[size1],$EC$13,0)),MATCH(ROW(bhpc_data[sku]),ROW(bhpc_data[sku])),""),ROWS($A$15:A123)+$B$3))))),"")</f>
        <v>X05050</v>
      </c>
      <c r="EF118" s="548" t="str" cm="1">
        <f t="array" ref="EF118">IFERROR(IF($EC$9="",IF($EC$11="",IF($EC$13="",INDEX(bhpc_data[description],SMALL(MATCH(ROW(bhpc_data[sku]),ROW(bhpc_data[sku])),ROWS($A$15:A123)+$B$3)),INDEX(bhpc_data[description],SMALL(IF(ISNUMBER(MATCH(bhpc_data[size1],$EC$13,0)),MATCH(ROW(bhpc_data[sku]),ROW(bhpc_data[sku])),""),ROWS($A$15:A123)+$B$3))),IF($EC$13="",INDEX(bhpc_data[description],SMALL(IF(ISNUMBER(MATCH(bhpc_data[sex],$EC$11,0)),MATCH(ROW(bhpc_data[sku]),ROW(bhpc_data[sku])),""),ROWS($A$15:A123)+$B$3)),INDEX(bhpc_data[description],SMALL(IF(ISNUMBER(MATCH(bhpc_data[sex],$EC$11,0)*MATCH(bhpc_data[size1],$EC$13,0)),MATCH(ROW(bhpc_data[sku]),ROW(bhpc_data[sku])),""),ROWS($A$15:A123)+$B$3)))),IF($EC$11="",IF($EC$13="",INDEX(bhpc_data[description],SMALL(IF(ISNUMBER(MATCH(bhpc_data[category],$EC$9,0)),MATCH(ROW(bhpc_data[sku]),ROW(bhpc_data[sku])),""),ROWS($A$15:A123)+$B$3)),INDEX(bhpc_data[description],SMALL(IF(ISNUMBER(MATCH(bhpc_data[category],$EC$9,0)*MATCH(bhpc_data[size1],$EC$13,0)),MATCH(ROW(bhpc_data[sku]),ROW(bhpc_data[sku])),""),ROWS($A$15:A123)+$B$3))),IF($EC$13="",INDEX(bhpc_data[description],SMALL(IF(ISNUMBER(MATCH(bhpc_data[category],$EC$9,0)*MATCH(bhpc_data[sex],$EC$11,0)),MATCH(ROW(bhpc_data[sku]),ROW(bhpc_data[sku])),""),ROWS($A$15:A123)+$B$3)),INDEX(bhpc_data[description],SMALL(IF(ISNUMBER(MATCH(bhpc_data[category],$EC$9,0)*MATCH(bhpc_data[sex],$EC$11,0)*MATCH(bhpc_data[size1],$EC$13,0)),MATCH(ROW(bhpc_data[sku]),ROW(bhpc_data[sku])),""),ROWS($A$15:A123)+$B$3))))),"")</f>
        <v>BHPC GIFT BOX WOMEN NO.1 100ML</v>
      </c>
      <c r="EG118" s="549">
        <f>IFERROR(IF('BHPC MANAGER'!$EE118="","",INDEX(inventory[ESISTENZA],MATCH('BHPC MANAGER'!$EE118,inventory[ARTICOLO],0))),0)</f>
        <v>46</v>
      </c>
      <c r="EH118" s="550" t="s">
        <v>914</v>
      </c>
      <c r="EI118" s="550">
        <f t="shared" si="11"/>
        <v>46</v>
      </c>
      <c r="EJ118" s="551" t="s">
        <v>914</v>
      </c>
      <c r="EK118" s="552">
        <f t="shared" si="12"/>
        <v>46</v>
      </c>
    </row>
    <row r="119" spans="63:141" x14ac:dyDescent="0.35">
      <c r="BK119" s="366"/>
      <c r="BL119" s="367"/>
      <c r="BM119" s="368"/>
      <c r="BN119" s="367"/>
      <c r="BO119" s="368"/>
      <c r="EE119" s="541" t="str" cm="1">
        <f t="array" ref="EE119">IFERROR(IF($EC$9="",IF($EC$11="",IF($EC$13="",INDEX(bhpc_data[sku],SMALL(MATCH(ROW(bhpc_data[sku]),ROW(bhpc_data[sku])),ROWS($A$15:A124)+$B$3)),INDEX(bhpc_data[sku],SMALL(IF(ISNUMBER(MATCH(bhpc_data[size1],$EC$13,0)),MATCH(ROW(bhpc_data[sku]),ROW(bhpc_data[sku])),""),ROWS($A$15:A124)+$B$3))),IF($EC$13="",INDEX(bhpc_data[sku],SMALL(IF(ISNUMBER(MATCH(bhpc_data[sex],$EC$11,0)),MATCH(ROW(bhpc_data[sku]),ROW(bhpc_data[sku])),""),ROWS($A$15:A124)+$B$3)),INDEX(bhpc_data[sku],SMALL(IF(ISNUMBER(MATCH(bhpc_data[sex],$EC$11,0)*MATCH(bhpc_data[size1],$EC$13,0)),MATCH(ROW(bhpc_data[sku]),ROW(bhpc_data[sku])),""),ROWS($A$15:A124)+$B$3)))),IF($EC$11="",IF($EC$13="",INDEX(bhpc_data[sku],SMALL(IF(ISNUMBER(MATCH(bhpc_data[category],$EC$9,0)),MATCH(ROW(bhpc_data[sku]),ROW(bhpc_data[sku])),""),ROWS($A$15:A124)+$B$3)),INDEX(bhpc_data[sku],SMALL(IF(ISNUMBER(MATCH(bhpc_data[category],$EC$9,0)*MATCH(bhpc_data[size1],$EC$13,0)),MATCH(ROW(bhpc_data[sku]),ROW(bhpc_data[sku])),""),ROWS($A$15:A124)+$B$3))),IF($EC$13="",INDEX(bhpc_data[sku],SMALL(IF(ISNUMBER(MATCH(bhpc_data[category],$EC$9,0)*MATCH(bhpc_data[sex],$EC$11,0)),MATCH(ROW(bhpc_data[sku]),ROW(bhpc_data[sku])),""),ROWS($A$15:A124)+$B$3)),INDEX(bhpc_data[sku],SMALL(IF(ISNUMBER(MATCH(bhpc_data[category],$EC$9,0)*MATCH(bhpc_data[sex],$EC$11,0)*MATCH(bhpc_data[size1],$EC$13,0)),MATCH(ROW(bhpc_data[sku]),ROW(bhpc_data[sku])),""),ROWS($A$15:A124)+$B$3))))),"")</f>
        <v>X05051</v>
      </c>
      <c r="EF119" s="542" t="str" cm="1">
        <f t="array" ref="EF119">IFERROR(IF($EC$9="",IF($EC$11="",IF($EC$13="",INDEX(bhpc_data[description],SMALL(MATCH(ROW(bhpc_data[sku]),ROW(bhpc_data[sku])),ROWS($A$15:A124)+$B$3)),INDEX(bhpc_data[description],SMALL(IF(ISNUMBER(MATCH(bhpc_data[size1],$EC$13,0)),MATCH(ROW(bhpc_data[sku]),ROW(bhpc_data[sku])),""),ROWS($A$15:A124)+$B$3))),IF($EC$13="",INDEX(bhpc_data[description],SMALL(IF(ISNUMBER(MATCH(bhpc_data[sex],$EC$11,0)),MATCH(ROW(bhpc_data[sku]),ROW(bhpc_data[sku])),""),ROWS($A$15:A124)+$B$3)),INDEX(bhpc_data[description],SMALL(IF(ISNUMBER(MATCH(bhpc_data[sex],$EC$11,0)*MATCH(bhpc_data[size1],$EC$13,0)),MATCH(ROW(bhpc_data[sku]),ROW(bhpc_data[sku])),""),ROWS($A$15:A124)+$B$3)))),IF($EC$11="",IF($EC$13="",INDEX(bhpc_data[description],SMALL(IF(ISNUMBER(MATCH(bhpc_data[category],$EC$9,0)),MATCH(ROW(bhpc_data[sku]),ROW(bhpc_data[sku])),""),ROWS($A$15:A124)+$B$3)),INDEX(bhpc_data[description],SMALL(IF(ISNUMBER(MATCH(bhpc_data[category],$EC$9,0)*MATCH(bhpc_data[size1],$EC$13,0)),MATCH(ROW(bhpc_data[sku]),ROW(bhpc_data[sku])),""),ROWS($A$15:A124)+$B$3))),IF($EC$13="",INDEX(bhpc_data[description],SMALL(IF(ISNUMBER(MATCH(bhpc_data[category],$EC$9,0)*MATCH(bhpc_data[sex],$EC$11,0)),MATCH(ROW(bhpc_data[sku]),ROW(bhpc_data[sku])),""),ROWS($A$15:A124)+$B$3)),INDEX(bhpc_data[description],SMALL(IF(ISNUMBER(MATCH(bhpc_data[category],$EC$9,0)*MATCH(bhpc_data[sex],$EC$11,0)*MATCH(bhpc_data[size1],$EC$13,0)),MATCH(ROW(bhpc_data[sku]),ROW(bhpc_data[sku])),""),ROWS($A$15:A124)+$B$3))))),"")</f>
        <v>BHPC GIFT BOX WOMEN NO.9 100ML</v>
      </c>
      <c r="EG119" s="543">
        <f>IFERROR(IF('BHPC MANAGER'!$EE119="","",INDEX(inventory[ESISTENZA],MATCH('BHPC MANAGER'!$EE119,inventory[ARTICOLO],0))),0)</f>
        <v>6</v>
      </c>
      <c r="EH119" s="544" t="s">
        <v>914</v>
      </c>
      <c r="EI119" s="544">
        <f t="shared" si="11"/>
        <v>6</v>
      </c>
      <c r="EJ119" s="545" t="s">
        <v>914</v>
      </c>
      <c r="EK119" s="546">
        <f t="shared" si="12"/>
        <v>6</v>
      </c>
    </row>
    <row r="120" spans="63:141" x14ac:dyDescent="0.35">
      <c r="BK120" s="366"/>
      <c r="BL120" s="367"/>
      <c r="BM120" s="368"/>
      <c r="BN120" s="367"/>
      <c r="BO120" s="368"/>
      <c r="EE120" s="547" t="str" cm="1">
        <f t="array" ref="EE120">IFERROR(IF($EC$9="",IF($EC$11="",IF($EC$13="",INDEX(bhpc_data[sku],SMALL(MATCH(ROW(bhpc_data[sku]),ROW(bhpc_data[sku])),ROWS($A$15:A125)+$B$3)),INDEX(bhpc_data[sku],SMALL(IF(ISNUMBER(MATCH(bhpc_data[size1],$EC$13,0)),MATCH(ROW(bhpc_data[sku]),ROW(bhpc_data[sku])),""),ROWS($A$15:A125)+$B$3))),IF($EC$13="",INDEX(bhpc_data[sku],SMALL(IF(ISNUMBER(MATCH(bhpc_data[sex],$EC$11,0)),MATCH(ROW(bhpc_data[sku]),ROW(bhpc_data[sku])),""),ROWS($A$15:A125)+$B$3)),INDEX(bhpc_data[sku],SMALL(IF(ISNUMBER(MATCH(bhpc_data[sex],$EC$11,0)*MATCH(bhpc_data[size1],$EC$13,0)),MATCH(ROW(bhpc_data[sku]),ROW(bhpc_data[sku])),""),ROWS($A$15:A125)+$B$3)))),IF($EC$11="",IF($EC$13="",INDEX(bhpc_data[sku],SMALL(IF(ISNUMBER(MATCH(bhpc_data[category],$EC$9,0)),MATCH(ROW(bhpc_data[sku]),ROW(bhpc_data[sku])),""),ROWS($A$15:A125)+$B$3)),INDEX(bhpc_data[sku],SMALL(IF(ISNUMBER(MATCH(bhpc_data[category],$EC$9,0)*MATCH(bhpc_data[size1],$EC$13,0)),MATCH(ROW(bhpc_data[sku]),ROW(bhpc_data[sku])),""),ROWS($A$15:A125)+$B$3))),IF($EC$13="",INDEX(bhpc_data[sku],SMALL(IF(ISNUMBER(MATCH(bhpc_data[category],$EC$9,0)*MATCH(bhpc_data[sex],$EC$11,0)),MATCH(ROW(bhpc_data[sku]),ROW(bhpc_data[sku])),""),ROWS($A$15:A125)+$B$3)),INDEX(bhpc_data[sku],SMALL(IF(ISNUMBER(MATCH(bhpc_data[category],$EC$9,0)*MATCH(bhpc_data[sex],$EC$11,0)*MATCH(bhpc_data[size1],$EC$13,0)),MATCH(ROW(bhpc_data[sku]),ROW(bhpc_data[sku])),""),ROWS($A$15:A125)+$B$3))))),"")</f>
        <v>X05052</v>
      </c>
      <c r="EF120" s="548" t="str" cm="1">
        <f t="array" ref="EF120">IFERROR(IF($EC$9="",IF($EC$11="",IF($EC$13="",INDEX(bhpc_data[description],SMALL(MATCH(ROW(bhpc_data[sku]),ROW(bhpc_data[sku])),ROWS($A$15:A125)+$B$3)),INDEX(bhpc_data[description],SMALL(IF(ISNUMBER(MATCH(bhpc_data[size1],$EC$13,0)),MATCH(ROW(bhpc_data[sku]),ROW(bhpc_data[sku])),""),ROWS($A$15:A125)+$B$3))),IF($EC$13="",INDEX(bhpc_data[description],SMALL(IF(ISNUMBER(MATCH(bhpc_data[sex],$EC$11,0)),MATCH(ROW(bhpc_data[sku]),ROW(bhpc_data[sku])),""),ROWS($A$15:A125)+$B$3)),INDEX(bhpc_data[description],SMALL(IF(ISNUMBER(MATCH(bhpc_data[sex],$EC$11,0)*MATCH(bhpc_data[size1],$EC$13,0)),MATCH(ROW(bhpc_data[sku]),ROW(bhpc_data[sku])),""),ROWS($A$15:A125)+$B$3)))),IF($EC$11="",IF($EC$13="",INDEX(bhpc_data[description],SMALL(IF(ISNUMBER(MATCH(bhpc_data[category],$EC$9,0)),MATCH(ROW(bhpc_data[sku]),ROW(bhpc_data[sku])),""),ROWS($A$15:A125)+$B$3)),INDEX(bhpc_data[description],SMALL(IF(ISNUMBER(MATCH(bhpc_data[category],$EC$9,0)*MATCH(bhpc_data[size1],$EC$13,0)),MATCH(ROW(bhpc_data[sku]),ROW(bhpc_data[sku])),""),ROWS($A$15:A125)+$B$3))),IF($EC$13="",INDEX(bhpc_data[description],SMALL(IF(ISNUMBER(MATCH(bhpc_data[category],$EC$9,0)*MATCH(bhpc_data[sex],$EC$11,0)),MATCH(ROW(bhpc_data[sku]),ROW(bhpc_data[sku])),""),ROWS($A$15:A125)+$B$3)),INDEX(bhpc_data[description],SMALL(IF(ISNUMBER(MATCH(bhpc_data[category],$EC$9,0)*MATCH(bhpc_data[sex],$EC$11,0)*MATCH(bhpc_data[size1],$EC$13,0)),MATCH(ROW(bhpc_data[sku]),ROW(bhpc_data[sku])),""),ROWS($A$15:A125)+$B$3))))),"")</f>
        <v>BHPC GIFT BOX WOMEN NO.8 100ML</v>
      </c>
      <c r="EG120" s="549">
        <f>IFERROR(IF('BHPC MANAGER'!$EE120="","",INDEX(inventory[ESISTENZA],MATCH('BHPC MANAGER'!$EE120,inventory[ARTICOLO],0))),0)</f>
        <v>6</v>
      </c>
      <c r="EH120" s="550" t="s">
        <v>914</v>
      </c>
      <c r="EI120" s="550">
        <f t="shared" si="11"/>
        <v>6</v>
      </c>
      <c r="EJ120" s="551" t="s">
        <v>914</v>
      </c>
      <c r="EK120" s="552">
        <f t="shared" si="12"/>
        <v>6</v>
      </c>
    </row>
    <row r="121" spans="63:141" x14ac:dyDescent="0.35">
      <c r="BK121" s="366"/>
      <c r="BL121" s="367"/>
      <c r="BM121" s="368"/>
      <c r="BN121" s="367"/>
      <c r="BO121" s="368"/>
      <c r="EE121" s="541" t="str" cm="1">
        <f t="array" ref="EE121">IFERROR(IF($EC$9="",IF($EC$11="",IF($EC$13="",INDEX(bhpc_data[sku],SMALL(MATCH(ROW(bhpc_data[sku]),ROW(bhpc_data[sku])),ROWS($A$15:A126)+$B$3)),INDEX(bhpc_data[sku],SMALL(IF(ISNUMBER(MATCH(bhpc_data[size1],$EC$13,0)),MATCH(ROW(bhpc_data[sku]),ROW(bhpc_data[sku])),""),ROWS($A$15:A126)+$B$3))),IF($EC$13="",INDEX(bhpc_data[sku],SMALL(IF(ISNUMBER(MATCH(bhpc_data[sex],$EC$11,0)),MATCH(ROW(bhpc_data[sku]),ROW(bhpc_data[sku])),""),ROWS($A$15:A126)+$B$3)),INDEX(bhpc_data[sku],SMALL(IF(ISNUMBER(MATCH(bhpc_data[sex],$EC$11,0)*MATCH(bhpc_data[size1],$EC$13,0)),MATCH(ROW(bhpc_data[sku]),ROW(bhpc_data[sku])),""),ROWS($A$15:A126)+$B$3)))),IF($EC$11="",IF($EC$13="",INDEX(bhpc_data[sku],SMALL(IF(ISNUMBER(MATCH(bhpc_data[category],$EC$9,0)),MATCH(ROW(bhpc_data[sku]),ROW(bhpc_data[sku])),""),ROWS($A$15:A126)+$B$3)),INDEX(bhpc_data[sku],SMALL(IF(ISNUMBER(MATCH(bhpc_data[category],$EC$9,0)*MATCH(bhpc_data[size1],$EC$13,0)),MATCH(ROW(bhpc_data[sku]),ROW(bhpc_data[sku])),""),ROWS($A$15:A126)+$B$3))),IF($EC$13="",INDEX(bhpc_data[sku],SMALL(IF(ISNUMBER(MATCH(bhpc_data[category],$EC$9,0)*MATCH(bhpc_data[sex],$EC$11,0)),MATCH(ROW(bhpc_data[sku]),ROW(bhpc_data[sku])),""),ROWS($A$15:A126)+$B$3)),INDEX(bhpc_data[sku],SMALL(IF(ISNUMBER(MATCH(bhpc_data[category],$EC$9,0)*MATCH(bhpc_data[sex],$EC$11,0)*MATCH(bhpc_data[size1],$EC$13,0)),MATCH(ROW(bhpc_data[sku]),ROW(bhpc_data[sku])),""),ROWS($A$15:A126)+$B$3))))),"")</f>
        <v>X05053</v>
      </c>
      <c r="EF121" s="542" t="str" cm="1">
        <f t="array" ref="EF121">IFERROR(IF($EC$9="",IF($EC$11="",IF($EC$13="",INDEX(bhpc_data[description],SMALL(MATCH(ROW(bhpc_data[sku]),ROW(bhpc_data[sku])),ROWS($A$15:A126)+$B$3)),INDEX(bhpc_data[description],SMALL(IF(ISNUMBER(MATCH(bhpc_data[size1],$EC$13,0)),MATCH(ROW(bhpc_data[sku]),ROW(bhpc_data[sku])),""),ROWS($A$15:A126)+$B$3))),IF($EC$13="",INDEX(bhpc_data[description],SMALL(IF(ISNUMBER(MATCH(bhpc_data[sex],$EC$11,0)),MATCH(ROW(bhpc_data[sku]),ROW(bhpc_data[sku])),""),ROWS($A$15:A126)+$B$3)),INDEX(bhpc_data[description],SMALL(IF(ISNUMBER(MATCH(bhpc_data[sex],$EC$11,0)*MATCH(bhpc_data[size1],$EC$13,0)),MATCH(ROW(bhpc_data[sku]),ROW(bhpc_data[sku])),""),ROWS($A$15:A126)+$B$3)))),IF($EC$11="",IF($EC$13="",INDEX(bhpc_data[description],SMALL(IF(ISNUMBER(MATCH(bhpc_data[category],$EC$9,0)),MATCH(ROW(bhpc_data[sku]),ROW(bhpc_data[sku])),""),ROWS($A$15:A126)+$B$3)),INDEX(bhpc_data[description],SMALL(IF(ISNUMBER(MATCH(bhpc_data[category],$EC$9,0)*MATCH(bhpc_data[size1],$EC$13,0)),MATCH(ROW(bhpc_data[sku]),ROW(bhpc_data[sku])),""),ROWS($A$15:A126)+$B$3))),IF($EC$13="",INDEX(bhpc_data[description],SMALL(IF(ISNUMBER(MATCH(bhpc_data[category],$EC$9,0)*MATCH(bhpc_data[sex],$EC$11,0)),MATCH(ROW(bhpc_data[sku]),ROW(bhpc_data[sku])),""),ROWS($A$15:A126)+$B$3)),INDEX(bhpc_data[description],SMALL(IF(ISNUMBER(MATCH(bhpc_data[category],$EC$9,0)*MATCH(bhpc_data[sex],$EC$11,0)*MATCH(bhpc_data[size1],$EC$13,0)),MATCH(ROW(bhpc_data[sku]),ROW(bhpc_data[sku])),""),ROWS($A$15:A126)+$B$3))))),"")</f>
        <v>BHPC GIFT BOX WOMEN NO.2 100ML</v>
      </c>
      <c r="EG121" s="543">
        <f>IFERROR(IF('BHPC MANAGER'!$EE121="","",INDEX(inventory[ESISTENZA],MATCH('BHPC MANAGER'!$EE121,inventory[ARTICOLO],0))),0)</f>
        <v>6</v>
      </c>
      <c r="EH121" s="544" t="s">
        <v>914</v>
      </c>
      <c r="EI121" s="544">
        <f t="shared" si="11"/>
        <v>6</v>
      </c>
      <c r="EJ121" s="545" t="s">
        <v>914</v>
      </c>
      <c r="EK121" s="546">
        <f t="shared" si="12"/>
        <v>6</v>
      </c>
    </row>
    <row r="122" spans="63:141" x14ac:dyDescent="0.35">
      <c r="BK122" s="366"/>
      <c r="BL122" s="367"/>
      <c r="BM122" s="368"/>
      <c r="BN122" s="367"/>
      <c r="BO122" s="368"/>
      <c r="EE122" s="547" t="str" cm="1">
        <f t="array" ref="EE122">IFERROR(IF($EC$9="",IF($EC$11="",IF($EC$13="",INDEX(bhpc_data[sku],SMALL(MATCH(ROW(bhpc_data[sku]),ROW(bhpc_data[sku])),ROWS($A$15:A127)+$B$3)),INDEX(bhpc_data[sku],SMALL(IF(ISNUMBER(MATCH(bhpc_data[size1],$EC$13,0)),MATCH(ROW(bhpc_data[sku]),ROW(bhpc_data[sku])),""),ROWS($A$15:A127)+$B$3))),IF($EC$13="",INDEX(bhpc_data[sku],SMALL(IF(ISNUMBER(MATCH(bhpc_data[sex],$EC$11,0)),MATCH(ROW(bhpc_data[sku]),ROW(bhpc_data[sku])),""),ROWS($A$15:A127)+$B$3)),INDEX(bhpc_data[sku],SMALL(IF(ISNUMBER(MATCH(bhpc_data[sex],$EC$11,0)*MATCH(bhpc_data[size1],$EC$13,0)),MATCH(ROW(bhpc_data[sku]),ROW(bhpc_data[sku])),""),ROWS($A$15:A127)+$B$3)))),IF($EC$11="",IF($EC$13="",INDEX(bhpc_data[sku],SMALL(IF(ISNUMBER(MATCH(bhpc_data[category],$EC$9,0)),MATCH(ROW(bhpc_data[sku]),ROW(bhpc_data[sku])),""),ROWS($A$15:A127)+$B$3)),INDEX(bhpc_data[sku],SMALL(IF(ISNUMBER(MATCH(bhpc_data[category],$EC$9,0)*MATCH(bhpc_data[size1],$EC$13,0)),MATCH(ROW(bhpc_data[sku]),ROW(bhpc_data[sku])),""),ROWS($A$15:A127)+$B$3))),IF($EC$13="",INDEX(bhpc_data[sku],SMALL(IF(ISNUMBER(MATCH(bhpc_data[category],$EC$9,0)*MATCH(bhpc_data[sex],$EC$11,0)),MATCH(ROW(bhpc_data[sku]),ROW(bhpc_data[sku])),""),ROWS($A$15:A127)+$B$3)),INDEX(bhpc_data[sku],SMALL(IF(ISNUMBER(MATCH(bhpc_data[category],$EC$9,0)*MATCH(bhpc_data[sex],$EC$11,0)*MATCH(bhpc_data[size1],$EC$13,0)),MATCH(ROW(bhpc_data[sku]),ROW(bhpc_data[sku])),""),ROWS($A$15:A127)+$B$3))))),"")</f>
        <v>X05068</v>
      </c>
      <c r="EF122" s="548" t="str" cm="1">
        <f t="array" ref="EF122">IFERROR(IF($EC$9="",IF($EC$11="",IF($EC$13="",INDEX(bhpc_data[description],SMALL(MATCH(ROW(bhpc_data[sku]),ROW(bhpc_data[sku])),ROWS($A$15:A127)+$B$3)),INDEX(bhpc_data[description],SMALL(IF(ISNUMBER(MATCH(bhpc_data[size1],$EC$13,0)),MATCH(ROW(bhpc_data[sku]),ROW(bhpc_data[sku])),""),ROWS($A$15:A127)+$B$3))),IF($EC$13="",INDEX(bhpc_data[description],SMALL(IF(ISNUMBER(MATCH(bhpc_data[sex],$EC$11,0)),MATCH(ROW(bhpc_data[sku]),ROW(bhpc_data[sku])),""),ROWS($A$15:A127)+$B$3)),INDEX(bhpc_data[description],SMALL(IF(ISNUMBER(MATCH(bhpc_data[sex],$EC$11,0)*MATCH(bhpc_data[size1],$EC$13,0)),MATCH(ROW(bhpc_data[sku]),ROW(bhpc_data[sku])),""),ROWS($A$15:A127)+$B$3)))),IF($EC$11="",IF($EC$13="",INDEX(bhpc_data[description],SMALL(IF(ISNUMBER(MATCH(bhpc_data[category],$EC$9,0)),MATCH(ROW(bhpc_data[sku]),ROW(bhpc_data[sku])),""),ROWS($A$15:A127)+$B$3)),INDEX(bhpc_data[description],SMALL(IF(ISNUMBER(MATCH(bhpc_data[category],$EC$9,0)*MATCH(bhpc_data[size1],$EC$13,0)),MATCH(ROW(bhpc_data[sku]),ROW(bhpc_data[sku])),""),ROWS($A$15:A127)+$B$3))),IF($EC$13="",INDEX(bhpc_data[description],SMALL(IF(ISNUMBER(MATCH(bhpc_data[category],$EC$9,0)*MATCH(bhpc_data[sex],$EC$11,0)),MATCH(ROW(bhpc_data[sku]),ROW(bhpc_data[sku])),""),ROWS($A$15:A127)+$B$3)),INDEX(bhpc_data[description],SMALL(IF(ISNUMBER(MATCH(bhpc_data[category],$EC$9,0)*MATCH(bhpc_data[sex],$EC$11,0)*MATCH(bhpc_data[size1],$EC$13,0)),MATCH(ROW(bhpc_data[sku]),ROW(bhpc_data[sku])),""),ROWS($A$15:A127)+$B$3))))),"")</f>
        <v>BHPC GS BOX MEN</v>
      </c>
      <c r="EG122" s="549">
        <f>IFERROR(IF('BHPC MANAGER'!$EE122="","",INDEX(inventory[ESISTENZA],MATCH('BHPC MANAGER'!$EE122,inventory[ARTICOLO],0))),0)</f>
        <v>0</v>
      </c>
      <c r="EH122" s="550" t="s">
        <v>914</v>
      </c>
      <c r="EI122" s="550">
        <f t="shared" si="11"/>
        <v>0</v>
      </c>
      <c r="EJ122" s="551" t="s">
        <v>914</v>
      </c>
      <c r="EK122" s="552">
        <f t="shared" si="12"/>
        <v>0</v>
      </c>
    </row>
    <row r="123" spans="63:141" x14ac:dyDescent="0.35">
      <c r="BK123" s="366"/>
      <c r="BL123" s="367"/>
      <c r="BM123" s="368"/>
      <c r="BN123" s="367"/>
      <c r="BO123" s="368"/>
      <c r="EE123" s="541" t="str" cm="1">
        <f t="array" ref="EE123">IFERROR(IF($EC$9="",IF($EC$11="",IF($EC$13="",INDEX(bhpc_data[sku],SMALL(MATCH(ROW(bhpc_data[sku]),ROW(bhpc_data[sku])),ROWS($A$15:A128)+$B$3)),INDEX(bhpc_data[sku],SMALL(IF(ISNUMBER(MATCH(bhpc_data[size1],$EC$13,0)),MATCH(ROW(bhpc_data[sku]),ROW(bhpc_data[sku])),""),ROWS($A$15:A128)+$B$3))),IF($EC$13="",INDEX(bhpc_data[sku],SMALL(IF(ISNUMBER(MATCH(bhpc_data[sex],$EC$11,0)),MATCH(ROW(bhpc_data[sku]),ROW(bhpc_data[sku])),""),ROWS($A$15:A128)+$B$3)),INDEX(bhpc_data[sku],SMALL(IF(ISNUMBER(MATCH(bhpc_data[sex],$EC$11,0)*MATCH(bhpc_data[size1],$EC$13,0)),MATCH(ROW(bhpc_data[sku]),ROW(bhpc_data[sku])),""),ROWS($A$15:A128)+$B$3)))),IF($EC$11="",IF($EC$13="",INDEX(bhpc_data[sku],SMALL(IF(ISNUMBER(MATCH(bhpc_data[category],$EC$9,0)),MATCH(ROW(bhpc_data[sku]),ROW(bhpc_data[sku])),""),ROWS($A$15:A128)+$B$3)),INDEX(bhpc_data[sku],SMALL(IF(ISNUMBER(MATCH(bhpc_data[category],$EC$9,0)*MATCH(bhpc_data[size1],$EC$13,0)),MATCH(ROW(bhpc_data[sku]),ROW(bhpc_data[sku])),""),ROWS($A$15:A128)+$B$3))),IF($EC$13="",INDEX(bhpc_data[sku],SMALL(IF(ISNUMBER(MATCH(bhpc_data[category],$EC$9,0)*MATCH(bhpc_data[sex],$EC$11,0)),MATCH(ROW(bhpc_data[sku]),ROW(bhpc_data[sku])),""),ROWS($A$15:A128)+$B$3)),INDEX(bhpc_data[sku],SMALL(IF(ISNUMBER(MATCH(bhpc_data[category],$EC$9,0)*MATCH(bhpc_data[sex],$EC$11,0)*MATCH(bhpc_data[size1],$EC$13,0)),MATCH(ROW(bhpc_data[sku]),ROW(bhpc_data[sku])),""),ROWS($A$15:A128)+$B$3))))),"")</f>
        <v>X05072</v>
      </c>
      <c r="EF123" s="542" t="str" cm="1">
        <f t="array" ref="EF123">IFERROR(IF($EC$9="",IF($EC$11="",IF($EC$13="",INDEX(bhpc_data[description],SMALL(MATCH(ROW(bhpc_data[sku]),ROW(bhpc_data[sku])),ROWS($A$15:A128)+$B$3)),INDEX(bhpc_data[description],SMALL(IF(ISNUMBER(MATCH(bhpc_data[size1],$EC$13,0)),MATCH(ROW(bhpc_data[sku]),ROW(bhpc_data[sku])),""),ROWS($A$15:A128)+$B$3))),IF($EC$13="",INDEX(bhpc_data[description],SMALL(IF(ISNUMBER(MATCH(bhpc_data[sex],$EC$11,0)),MATCH(ROW(bhpc_data[sku]),ROW(bhpc_data[sku])),""),ROWS($A$15:A128)+$B$3)),INDEX(bhpc_data[description],SMALL(IF(ISNUMBER(MATCH(bhpc_data[sex],$EC$11,0)*MATCH(bhpc_data[size1],$EC$13,0)),MATCH(ROW(bhpc_data[sku]),ROW(bhpc_data[sku])),""),ROWS($A$15:A128)+$B$3)))),IF($EC$11="",IF($EC$13="",INDEX(bhpc_data[description],SMALL(IF(ISNUMBER(MATCH(bhpc_data[category],$EC$9,0)),MATCH(ROW(bhpc_data[sku]),ROW(bhpc_data[sku])),""),ROWS($A$15:A128)+$B$3)),INDEX(bhpc_data[description],SMALL(IF(ISNUMBER(MATCH(bhpc_data[category],$EC$9,0)*MATCH(bhpc_data[size1],$EC$13,0)),MATCH(ROW(bhpc_data[sku]),ROW(bhpc_data[sku])),""),ROWS($A$15:A128)+$B$3))),IF($EC$13="",INDEX(bhpc_data[description],SMALL(IF(ISNUMBER(MATCH(bhpc_data[category],$EC$9,0)*MATCH(bhpc_data[sex],$EC$11,0)),MATCH(ROW(bhpc_data[sku]),ROW(bhpc_data[sku])),""),ROWS($A$15:A128)+$B$3)),INDEX(bhpc_data[description],SMALL(IF(ISNUMBER(MATCH(bhpc_data[category],$EC$9,0)*MATCH(bhpc_data[sex],$EC$11,0)*MATCH(bhpc_data[size1],$EC$13,0)),MATCH(ROW(bhpc_data[sku]),ROW(bhpc_data[sku])),""),ROWS($A$15:A128)+$B$3))))),"")</f>
        <v>BHPC GS BOX WOMEN</v>
      </c>
      <c r="EG123" s="543">
        <f>IFERROR(IF('BHPC MANAGER'!$EE123="","",INDEX(inventory[ESISTENZA],MATCH('BHPC MANAGER'!$EE123,inventory[ARTICOLO],0))),0)</f>
        <v>0</v>
      </c>
      <c r="EH123" s="544" t="s">
        <v>914</v>
      </c>
      <c r="EI123" s="544">
        <f t="shared" si="11"/>
        <v>0</v>
      </c>
      <c r="EJ123" s="545" t="s">
        <v>914</v>
      </c>
      <c r="EK123" s="546">
        <f t="shared" si="12"/>
        <v>0</v>
      </c>
    </row>
    <row r="124" spans="63:141" x14ac:dyDescent="0.35">
      <c r="BK124" s="366"/>
      <c r="BL124" s="367"/>
      <c r="BM124" s="368"/>
      <c r="BN124" s="367"/>
      <c r="BO124" s="368"/>
      <c r="EE124" s="547" t="str" cm="1">
        <f t="array" ref="EE124">IFERROR(IF($EC$9="",IF($EC$11="",IF($EC$13="",INDEX(bhpc_data[sku],SMALL(MATCH(ROW(bhpc_data[sku]),ROW(bhpc_data[sku])),ROWS($A$15:A129)+$B$3)),INDEX(bhpc_data[sku],SMALL(IF(ISNUMBER(MATCH(bhpc_data[size1],$EC$13,0)),MATCH(ROW(bhpc_data[sku]),ROW(bhpc_data[sku])),""),ROWS($A$15:A129)+$B$3))),IF($EC$13="",INDEX(bhpc_data[sku],SMALL(IF(ISNUMBER(MATCH(bhpc_data[sex],$EC$11,0)),MATCH(ROW(bhpc_data[sku]),ROW(bhpc_data[sku])),""),ROWS($A$15:A129)+$B$3)),INDEX(bhpc_data[sku],SMALL(IF(ISNUMBER(MATCH(bhpc_data[sex],$EC$11,0)*MATCH(bhpc_data[size1],$EC$13,0)),MATCH(ROW(bhpc_data[sku]),ROW(bhpc_data[sku])),""),ROWS($A$15:A129)+$B$3)))),IF($EC$11="",IF($EC$13="",INDEX(bhpc_data[sku],SMALL(IF(ISNUMBER(MATCH(bhpc_data[category],$EC$9,0)),MATCH(ROW(bhpc_data[sku]),ROW(bhpc_data[sku])),""),ROWS($A$15:A129)+$B$3)),INDEX(bhpc_data[sku],SMALL(IF(ISNUMBER(MATCH(bhpc_data[category],$EC$9,0)*MATCH(bhpc_data[size1],$EC$13,0)),MATCH(ROW(bhpc_data[sku]),ROW(bhpc_data[sku])),""),ROWS($A$15:A129)+$B$3))),IF($EC$13="",INDEX(bhpc_data[sku],SMALL(IF(ISNUMBER(MATCH(bhpc_data[category],$EC$9,0)*MATCH(bhpc_data[sex],$EC$11,0)),MATCH(ROW(bhpc_data[sku]),ROW(bhpc_data[sku])),""),ROWS($A$15:A129)+$B$3)),INDEX(bhpc_data[sku],SMALL(IF(ISNUMBER(MATCH(bhpc_data[category],$EC$9,0)*MATCH(bhpc_data[sex],$EC$11,0)*MATCH(bhpc_data[size1],$EC$13,0)),MATCH(ROW(bhpc_data[sku]),ROW(bhpc_data[sku])),""),ROWS($A$15:A129)+$B$3))))),"")</f>
        <v>X06012</v>
      </c>
      <c r="EF124" s="548" t="str" cm="1">
        <f t="array" ref="EF124">IFERROR(IF($EC$9="",IF($EC$11="",IF($EC$13="",INDEX(bhpc_data[description],SMALL(MATCH(ROW(bhpc_data[sku]),ROW(bhpc_data[sku])),ROWS($A$15:A129)+$B$3)),INDEX(bhpc_data[description],SMALL(IF(ISNUMBER(MATCH(bhpc_data[size1],$EC$13,0)),MATCH(ROW(bhpc_data[sku]),ROW(bhpc_data[sku])),""),ROWS($A$15:A129)+$B$3))),IF($EC$13="",INDEX(bhpc_data[description],SMALL(IF(ISNUMBER(MATCH(bhpc_data[sex],$EC$11,0)),MATCH(ROW(bhpc_data[sku]),ROW(bhpc_data[sku])),""),ROWS($A$15:A129)+$B$3)),INDEX(bhpc_data[description],SMALL(IF(ISNUMBER(MATCH(bhpc_data[sex],$EC$11,0)*MATCH(bhpc_data[size1],$EC$13,0)),MATCH(ROW(bhpc_data[sku]),ROW(bhpc_data[sku])),""),ROWS($A$15:A129)+$B$3)))),IF($EC$11="",IF($EC$13="",INDEX(bhpc_data[description],SMALL(IF(ISNUMBER(MATCH(bhpc_data[category],$EC$9,0)),MATCH(ROW(bhpc_data[sku]),ROW(bhpc_data[sku])),""),ROWS($A$15:A129)+$B$3)),INDEX(bhpc_data[description],SMALL(IF(ISNUMBER(MATCH(bhpc_data[category],$EC$9,0)*MATCH(bhpc_data[size1],$EC$13,0)),MATCH(ROW(bhpc_data[sku]),ROW(bhpc_data[sku])),""),ROWS($A$15:A129)+$B$3))),IF($EC$13="",INDEX(bhpc_data[description],SMALL(IF(ISNUMBER(MATCH(bhpc_data[category],$EC$9,0)*MATCH(bhpc_data[sex],$EC$11,0)),MATCH(ROW(bhpc_data[sku]),ROW(bhpc_data[sku])),""),ROWS($A$15:A129)+$B$3)),INDEX(bhpc_data[description],SMALL(IF(ISNUMBER(MATCH(bhpc_data[category],$EC$9,0)*MATCH(bhpc_data[sex],$EC$11,0)*MATCH(bhpc_data[size1],$EC$13,0)),MATCH(ROW(bhpc_data[sku]),ROW(bhpc_data[sku])),""),ROWS($A$15:A129)+$B$3))))),"")</f>
        <v>BHPC BOX TROPHY+DEO300ML</v>
      </c>
      <c r="EG124" s="549">
        <f>IFERROR(IF('BHPC MANAGER'!$EE124="","",INDEX(inventory[ESISTENZA],MATCH('BHPC MANAGER'!$EE124,inventory[ARTICOLO],0))),0)</f>
        <v>0</v>
      </c>
      <c r="EH124" s="550" t="s">
        <v>914</v>
      </c>
      <c r="EI124" s="550">
        <f t="shared" si="11"/>
        <v>0</v>
      </c>
      <c r="EJ124" s="551" t="s">
        <v>914</v>
      </c>
      <c r="EK124" s="552">
        <f t="shared" si="12"/>
        <v>0</v>
      </c>
    </row>
    <row r="125" spans="63:141" x14ac:dyDescent="0.35">
      <c r="BK125" s="366"/>
      <c r="BL125" s="367"/>
      <c r="BM125" s="368"/>
      <c r="BN125" s="367"/>
      <c r="BO125" s="368"/>
      <c r="EE125" s="541" t="str" cm="1">
        <f t="array" ref="EE125">IFERROR(IF($EC$9="",IF($EC$11="",IF($EC$13="",INDEX(bhpc_data[sku],SMALL(MATCH(ROW(bhpc_data[sku]),ROW(bhpc_data[sku])),ROWS($A$15:A130)+$B$3)),INDEX(bhpc_data[sku],SMALL(IF(ISNUMBER(MATCH(bhpc_data[size1],$EC$13,0)),MATCH(ROW(bhpc_data[sku]),ROW(bhpc_data[sku])),""),ROWS($A$15:A130)+$B$3))),IF($EC$13="",INDEX(bhpc_data[sku],SMALL(IF(ISNUMBER(MATCH(bhpc_data[sex],$EC$11,0)),MATCH(ROW(bhpc_data[sku]),ROW(bhpc_data[sku])),""),ROWS($A$15:A130)+$B$3)),INDEX(bhpc_data[sku],SMALL(IF(ISNUMBER(MATCH(bhpc_data[sex],$EC$11,0)*MATCH(bhpc_data[size1],$EC$13,0)),MATCH(ROW(bhpc_data[sku]),ROW(bhpc_data[sku])),""),ROWS($A$15:A130)+$B$3)))),IF($EC$11="",IF($EC$13="",INDEX(bhpc_data[sku],SMALL(IF(ISNUMBER(MATCH(bhpc_data[category],$EC$9,0)),MATCH(ROW(bhpc_data[sku]),ROW(bhpc_data[sku])),""),ROWS($A$15:A130)+$B$3)),INDEX(bhpc_data[sku],SMALL(IF(ISNUMBER(MATCH(bhpc_data[category],$EC$9,0)*MATCH(bhpc_data[size1],$EC$13,0)),MATCH(ROW(bhpc_data[sku]),ROW(bhpc_data[sku])),""),ROWS($A$15:A130)+$B$3))),IF($EC$13="",INDEX(bhpc_data[sku],SMALL(IF(ISNUMBER(MATCH(bhpc_data[category],$EC$9,0)*MATCH(bhpc_data[sex],$EC$11,0)),MATCH(ROW(bhpc_data[sku]),ROW(bhpc_data[sku])),""),ROWS($A$15:A130)+$B$3)),INDEX(bhpc_data[sku],SMALL(IF(ISNUMBER(MATCH(bhpc_data[category],$EC$9,0)*MATCH(bhpc_data[sex],$EC$11,0)*MATCH(bhpc_data[size1],$EC$13,0)),MATCH(ROW(bhpc_data[sku]),ROW(bhpc_data[sku])),""),ROWS($A$15:A130)+$B$3))))),"")</f>
        <v>X0SP4M</v>
      </c>
      <c r="EF125" s="542" t="str" cm="1">
        <f t="array" ref="EF125">IFERROR(IF($EC$9="",IF($EC$11="",IF($EC$13="",INDEX(bhpc_data[description],SMALL(MATCH(ROW(bhpc_data[sku]),ROW(bhpc_data[sku])),ROWS($A$15:A130)+$B$3)),INDEX(bhpc_data[description],SMALL(IF(ISNUMBER(MATCH(bhpc_data[size1],$EC$13,0)),MATCH(ROW(bhpc_data[sku]),ROW(bhpc_data[sku])),""),ROWS($A$15:A130)+$B$3))),IF($EC$13="",INDEX(bhpc_data[description],SMALL(IF(ISNUMBER(MATCH(bhpc_data[sex],$EC$11,0)),MATCH(ROW(bhpc_data[sku]),ROW(bhpc_data[sku])),""),ROWS($A$15:A130)+$B$3)),INDEX(bhpc_data[description],SMALL(IF(ISNUMBER(MATCH(bhpc_data[sex],$EC$11,0)*MATCH(bhpc_data[size1],$EC$13,0)),MATCH(ROW(bhpc_data[sku]),ROW(bhpc_data[sku])),""),ROWS($A$15:A130)+$B$3)))),IF($EC$11="",IF($EC$13="",INDEX(bhpc_data[description],SMALL(IF(ISNUMBER(MATCH(bhpc_data[category],$EC$9,0)),MATCH(ROW(bhpc_data[sku]),ROW(bhpc_data[sku])),""),ROWS($A$15:A130)+$B$3)),INDEX(bhpc_data[description],SMALL(IF(ISNUMBER(MATCH(bhpc_data[category],$EC$9,0)*MATCH(bhpc_data[size1],$EC$13,0)),MATCH(ROW(bhpc_data[sku]),ROW(bhpc_data[sku])),""),ROWS($A$15:A130)+$B$3))),IF($EC$13="",INDEX(bhpc_data[description],SMALL(IF(ISNUMBER(MATCH(bhpc_data[category],$EC$9,0)*MATCH(bhpc_data[sex],$EC$11,0)),MATCH(ROW(bhpc_data[sku]),ROW(bhpc_data[sku])),""),ROWS($A$15:A130)+$B$3)),INDEX(bhpc_data[description],SMALL(IF(ISNUMBER(MATCH(bhpc_data[category],$EC$9,0)*MATCH(bhpc_data[sex],$EC$11,0)*MATCH(bhpc_data[size1],$EC$13,0)),MATCH(ROW(bhpc_data[sku]),ROW(bhpc_data[sku])),""),ROWS($A$15:A130)+$B$3))))),"")</f>
        <v>BHPC BOX SERIES 4 DEO MEN</v>
      </c>
      <c r="EG125" s="543">
        <f>IFERROR(IF('BHPC MANAGER'!$EE125="","",INDEX(inventory[ESISTENZA],MATCH('BHPC MANAGER'!$EE125,inventory[ARTICOLO],0))),0)</f>
        <v>126</v>
      </c>
      <c r="EH125" s="544" t="s">
        <v>914</v>
      </c>
      <c r="EI125" s="544">
        <f t="shared" si="11"/>
        <v>126</v>
      </c>
      <c r="EJ125" s="545" t="s">
        <v>914</v>
      </c>
      <c r="EK125" s="546">
        <f t="shared" si="12"/>
        <v>126</v>
      </c>
    </row>
    <row r="126" spans="63:141" x14ac:dyDescent="0.35">
      <c r="BK126" s="366"/>
      <c r="BL126" s="367"/>
      <c r="BM126" s="368"/>
      <c r="BN126" s="367"/>
      <c r="BO126" s="368"/>
      <c r="EE126" s="547" t="str" cm="1">
        <f t="array" ref="EE126">IFERROR(IF($EC$9="",IF($EC$11="",IF($EC$13="",INDEX(bhpc_data[sku],SMALL(MATCH(ROW(bhpc_data[sku]),ROW(bhpc_data[sku])),ROWS($A$15:A131)+$B$3)),INDEX(bhpc_data[sku],SMALL(IF(ISNUMBER(MATCH(bhpc_data[size1],$EC$13,0)),MATCH(ROW(bhpc_data[sku]),ROW(bhpc_data[sku])),""),ROWS($A$15:A131)+$B$3))),IF($EC$13="",INDEX(bhpc_data[sku],SMALL(IF(ISNUMBER(MATCH(bhpc_data[sex],$EC$11,0)),MATCH(ROW(bhpc_data[sku]),ROW(bhpc_data[sku])),""),ROWS($A$15:A131)+$B$3)),INDEX(bhpc_data[sku],SMALL(IF(ISNUMBER(MATCH(bhpc_data[sex],$EC$11,0)*MATCH(bhpc_data[size1],$EC$13,0)),MATCH(ROW(bhpc_data[sku]),ROW(bhpc_data[sku])),""),ROWS($A$15:A131)+$B$3)))),IF($EC$11="",IF($EC$13="",INDEX(bhpc_data[sku],SMALL(IF(ISNUMBER(MATCH(bhpc_data[category],$EC$9,0)),MATCH(ROW(bhpc_data[sku]),ROW(bhpc_data[sku])),""),ROWS($A$15:A131)+$B$3)),INDEX(bhpc_data[sku],SMALL(IF(ISNUMBER(MATCH(bhpc_data[category],$EC$9,0)*MATCH(bhpc_data[size1],$EC$13,0)),MATCH(ROW(bhpc_data[sku]),ROW(bhpc_data[sku])),""),ROWS($A$15:A131)+$B$3))),IF($EC$13="",INDEX(bhpc_data[sku],SMALL(IF(ISNUMBER(MATCH(bhpc_data[category],$EC$9,0)*MATCH(bhpc_data[sex],$EC$11,0)),MATCH(ROW(bhpc_data[sku]),ROW(bhpc_data[sku])),""),ROWS($A$15:A131)+$B$3)),INDEX(bhpc_data[sku],SMALL(IF(ISNUMBER(MATCH(bhpc_data[category],$EC$9,0)*MATCH(bhpc_data[sex],$EC$11,0)*MATCH(bhpc_data[size1],$EC$13,0)),MATCH(ROW(bhpc_data[sku]),ROW(bhpc_data[sku])),""),ROWS($A$15:A131)+$B$3))))),"")</f>
        <v>X0SP4W</v>
      </c>
      <c r="EF126" s="548" t="str" cm="1">
        <f t="array" ref="EF126">IFERROR(IF($EC$9="",IF($EC$11="",IF($EC$13="",INDEX(bhpc_data[description],SMALL(MATCH(ROW(bhpc_data[sku]),ROW(bhpc_data[sku])),ROWS($A$15:A131)+$B$3)),INDEX(bhpc_data[description],SMALL(IF(ISNUMBER(MATCH(bhpc_data[size1],$EC$13,0)),MATCH(ROW(bhpc_data[sku]),ROW(bhpc_data[sku])),""),ROWS($A$15:A131)+$B$3))),IF($EC$13="",INDEX(bhpc_data[description],SMALL(IF(ISNUMBER(MATCH(bhpc_data[sex],$EC$11,0)),MATCH(ROW(bhpc_data[sku]),ROW(bhpc_data[sku])),""),ROWS($A$15:A131)+$B$3)),INDEX(bhpc_data[description],SMALL(IF(ISNUMBER(MATCH(bhpc_data[sex],$EC$11,0)*MATCH(bhpc_data[size1],$EC$13,0)),MATCH(ROW(bhpc_data[sku]),ROW(bhpc_data[sku])),""),ROWS($A$15:A131)+$B$3)))),IF($EC$11="",IF($EC$13="",INDEX(bhpc_data[description],SMALL(IF(ISNUMBER(MATCH(bhpc_data[category],$EC$9,0)),MATCH(ROW(bhpc_data[sku]),ROW(bhpc_data[sku])),""),ROWS($A$15:A131)+$B$3)),INDEX(bhpc_data[description],SMALL(IF(ISNUMBER(MATCH(bhpc_data[category],$EC$9,0)*MATCH(bhpc_data[size1],$EC$13,0)),MATCH(ROW(bhpc_data[sku]),ROW(bhpc_data[sku])),""),ROWS($A$15:A131)+$B$3))),IF($EC$13="",INDEX(bhpc_data[description],SMALL(IF(ISNUMBER(MATCH(bhpc_data[category],$EC$9,0)*MATCH(bhpc_data[sex],$EC$11,0)),MATCH(ROW(bhpc_data[sku]),ROW(bhpc_data[sku])),""),ROWS($A$15:A131)+$B$3)),INDEX(bhpc_data[description],SMALL(IF(ISNUMBER(MATCH(bhpc_data[category],$EC$9,0)*MATCH(bhpc_data[sex],$EC$11,0)*MATCH(bhpc_data[size1],$EC$13,0)),MATCH(ROW(bhpc_data[sku]),ROW(bhpc_data[sku])),""),ROWS($A$15:A131)+$B$3))))),"")</f>
        <v>BHPC BOX SERIES 4 DEO WOMEN</v>
      </c>
      <c r="EG126" s="549">
        <f>IFERROR(IF('BHPC MANAGER'!$EE126="","",INDEX(inventory[ESISTENZA],MATCH('BHPC MANAGER'!$EE126,inventory[ARTICOLO],0))),0)</f>
        <v>324</v>
      </c>
      <c r="EH126" s="550" t="s">
        <v>914</v>
      </c>
      <c r="EI126" s="550">
        <f t="shared" si="11"/>
        <v>324</v>
      </c>
      <c r="EJ126" s="551" t="s">
        <v>914</v>
      </c>
      <c r="EK126" s="552">
        <f t="shared" si="12"/>
        <v>324</v>
      </c>
    </row>
    <row r="127" spans="63:141" x14ac:dyDescent="0.35">
      <c r="BK127" s="366"/>
      <c r="BL127" s="367"/>
      <c r="BM127" s="368"/>
      <c r="BN127" s="367"/>
      <c r="BO127" s="368"/>
      <c r="EE127" s="541" t="str" cm="1">
        <f t="array" ref="EE127">IFERROR(IF($EC$9="",IF($EC$11="",IF($EC$13="",INDEX(bhpc_data[sku],SMALL(MATCH(ROW(bhpc_data[sku]),ROW(bhpc_data[sku])),ROWS($A$15:A132)+$B$3)),INDEX(bhpc_data[sku],SMALL(IF(ISNUMBER(MATCH(bhpc_data[size1],$EC$13,0)),MATCH(ROW(bhpc_data[sku]),ROW(bhpc_data[sku])),""),ROWS($A$15:A132)+$B$3))),IF($EC$13="",INDEX(bhpc_data[sku],SMALL(IF(ISNUMBER(MATCH(bhpc_data[sex],$EC$11,0)),MATCH(ROW(bhpc_data[sku]),ROW(bhpc_data[sku])),""),ROWS($A$15:A132)+$B$3)),INDEX(bhpc_data[sku],SMALL(IF(ISNUMBER(MATCH(bhpc_data[sex],$EC$11,0)*MATCH(bhpc_data[size1],$EC$13,0)),MATCH(ROW(bhpc_data[sku]),ROW(bhpc_data[sku])),""),ROWS($A$15:A132)+$B$3)))),IF($EC$11="",IF($EC$13="",INDEX(bhpc_data[sku],SMALL(IF(ISNUMBER(MATCH(bhpc_data[category],$EC$9,0)),MATCH(ROW(bhpc_data[sku]),ROW(bhpc_data[sku])),""),ROWS($A$15:A132)+$B$3)),INDEX(bhpc_data[sku],SMALL(IF(ISNUMBER(MATCH(bhpc_data[category],$EC$9,0)*MATCH(bhpc_data[size1],$EC$13,0)),MATCH(ROW(bhpc_data[sku]),ROW(bhpc_data[sku])),""),ROWS($A$15:A132)+$B$3))),IF($EC$13="",INDEX(bhpc_data[sku],SMALL(IF(ISNUMBER(MATCH(bhpc_data[category],$EC$9,0)*MATCH(bhpc_data[sex],$EC$11,0)),MATCH(ROW(bhpc_data[sku]),ROW(bhpc_data[sku])),""),ROWS($A$15:A132)+$B$3)),INDEX(bhpc_data[sku],SMALL(IF(ISNUMBER(MATCH(bhpc_data[category],$EC$9,0)*MATCH(bhpc_data[sex],$EC$11,0)*MATCH(bhpc_data[size1],$EC$13,0)),MATCH(ROW(bhpc_data[sku]),ROW(bhpc_data[sku])),""),ROWS($A$15:A132)+$B$3))))),"")</f>
        <v>X0TRFM</v>
      </c>
      <c r="EF127" s="542" t="str" cm="1">
        <f t="array" ref="EF127">IFERROR(IF($EC$9="",IF($EC$11="",IF($EC$13="",INDEX(bhpc_data[description],SMALL(MATCH(ROW(bhpc_data[sku]),ROW(bhpc_data[sku])),ROWS($A$15:A132)+$B$3)),INDEX(bhpc_data[description],SMALL(IF(ISNUMBER(MATCH(bhpc_data[size1],$EC$13,0)),MATCH(ROW(bhpc_data[sku]),ROW(bhpc_data[sku])),""),ROWS($A$15:A132)+$B$3))),IF($EC$13="",INDEX(bhpc_data[description],SMALL(IF(ISNUMBER(MATCH(bhpc_data[sex],$EC$11,0)),MATCH(ROW(bhpc_data[sku]),ROW(bhpc_data[sku])),""),ROWS($A$15:A132)+$B$3)),INDEX(bhpc_data[description],SMALL(IF(ISNUMBER(MATCH(bhpc_data[sex],$EC$11,0)*MATCH(bhpc_data[size1],$EC$13,0)),MATCH(ROW(bhpc_data[sku]),ROW(bhpc_data[sku])),""),ROWS($A$15:A132)+$B$3)))),IF($EC$11="",IF($EC$13="",INDEX(bhpc_data[description],SMALL(IF(ISNUMBER(MATCH(bhpc_data[category],$EC$9,0)),MATCH(ROW(bhpc_data[sku]),ROW(bhpc_data[sku])),""),ROWS($A$15:A132)+$B$3)),INDEX(bhpc_data[description],SMALL(IF(ISNUMBER(MATCH(bhpc_data[category],$EC$9,0)*MATCH(bhpc_data[size1],$EC$13,0)),MATCH(ROW(bhpc_data[sku]),ROW(bhpc_data[sku])),""),ROWS($A$15:A132)+$B$3))),IF($EC$13="",INDEX(bhpc_data[description],SMALL(IF(ISNUMBER(MATCH(bhpc_data[category],$EC$9,0)*MATCH(bhpc_data[sex],$EC$11,0)),MATCH(ROW(bhpc_data[sku]),ROW(bhpc_data[sku])),""),ROWS($A$15:A132)+$B$3)),INDEX(bhpc_data[description],SMALL(IF(ISNUMBER(MATCH(bhpc_data[category],$EC$9,0)*MATCH(bhpc_data[sex],$EC$11,0)*MATCH(bhpc_data[size1],$EC$13,0)),MATCH(ROW(bhpc_data[sku]),ROW(bhpc_data[sku])),""),ROWS($A$15:A132)+$B$3))))),"")</f>
        <v>BHPC TRAY GIFT BOX MEN 50ML</v>
      </c>
      <c r="EG127" s="543">
        <f>IFERROR(IF('BHPC MANAGER'!$EE127="","",INDEX(inventory[ESISTENZA],MATCH('BHPC MANAGER'!$EE127,inventory[ARTICOLO],0))),0)</f>
        <v>0</v>
      </c>
      <c r="EH127" s="544">
        <v>29440</v>
      </c>
      <c r="EI127" s="544">
        <f t="shared" si="11"/>
        <v>29440</v>
      </c>
      <c r="EJ127" s="545">
        <v>0</v>
      </c>
      <c r="EK127" s="546">
        <f t="shared" si="12"/>
        <v>29440</v>
      </c>
    </row>
    <row r="128" spans="63:141" x14ac:dyDescent="0.35">
      <c r="BK128" s="366"/>
      <c r="BL128" s="367"/>
      <c r="BM128" s="368"/>
      <c r="BN128" s="367"/>
      <c r="BO128" s="368"/>
      <c r="EE128" s="547" t="str" cm="1">
        <f t="array" ref="EE128">IFERROR(IF($EC$9="",IF($EC$11="",IF($EC$13="",INDEX(bhpc_data[sku],SMALL(MATCH(ROW(bhpc_data[sku]),ROW(bhpc_data[sku])),ROWS($A$15:A133)+$B$3)),INDEX(bhpc_data[sku],SMALL(IF(ISNUMBER(MATCH(bhpc_data[size1],$EC$13,0)),MATCH(ROW(bhpc_data[sku]),ROW(bhpc_data[sku])),""),ROWS($A$15:A133)+$B$3))),IF($EC$13="",INDEX(bhpc_data[sku],SMALL(IF(ISNUMBER(MATCH(bhpc_data[sex],$EC$11,0)),MATCH(ROW(bhpc_data[sku]),ROW(bhpc_data[sku])),""),ROWS($A$15:A133)+$B$3)),INDEX(bhpc_data[sku],SMALL(IF(ISNUMBER(MATCH(bhpc_data[sex],$EC$11,0)*MATCH(bhpc_data[size1],$EC$13,0)),MATCH(ROW(bhpc_data[sku]),ROW(bhpc_data[sku])),""),ROWS($A$15:A133)+$B$3)))),IF($EC$11="",IF($EC$13="",INDEX(bhpc_data[sku],SMALL(IF(ISNUMBER(MATCH(bhpc_data[category],$EC$9,0)),MATCH(ROW(bhpc_data[sku]),ROW(bhpc_data[sku])),""),ROWS($A$15:A133)+$B$3)),INDEX(bhpc_data[sku],SMALL(IF(ISNUMBER(MATCH(bhpc_data[category],$EC$9,0)*MATCH(bhpc_data[size1],$EC$13,0)),MATCH(ROW(bhpc_data[sku]),ROW(bhpc_data[sku])),""),ROWS($A$15:A133)+$B$3))),IF($EC$13="",INDEX(bhpc_data[sku],SMALL(IF(ISNUMBER(MATCH(bhpc_data[category],$EC$9,0)*MATCH(bhpc_data[sex],$EC$11,0)),MATCH(ROW(bhpc_data[sku]),ROW(bhpc_data[sku])),""),ROWS($A$15:A133)+$B$3)),INDEX(bhpc_data[sku],SMALL(IF(ISNUMBER(MATCH(bhpc_data[category],$EC$9,0)*MATCH(bhpc_data[sex],$EC$11,0)*MATCH(bhpc_data[size1],$EC$13,0)),MATCH(ROW(bhpc_data[sku]),ROW(bhpc_data[sku])),""),ROWS($A$15:A133)+$B$3))))),"")</f>
        <v>X0TRFW</v>
      </c>
      <c r="EF128" s="548" t="str" cm="1">
        <f t="array" ref="EF128">IFERROR(IF($EC$9="",IF($EC$11="",IF($EC$13="",INDEX(bhpc_data[description],SMALL(MATCH(ROW(bhpc_data[sku]),ROW(bhpc_data[sku])),ROWS($A$15:A133)+$B$3)),INDEX(bhpc_data[description],SMALL(IF(ISNUMBER(MATCH(bhpc_data[size1],$EC$13,0)),MATCH(ROW(bhpc_data[sku]),ROW(bhpc_data[sku])),""),ROWS($A$15:A133)+$B$3))),IF($EC$13="",INDEX(bhpc_data[description],SMALL(IF(ISNUMBER(MATCH(bhpc_data[sex],$EC$11,0)),MATCH(ROW(bhpc_data[sku]),ROW(bhpc_data[sku])),""),ROWS($A$15:A133)+$B$3)),INDEX(bhpc_data[description],SMALL(IF(ISNUMBER(MATCH(bhpc_data[sex],$EC$11,0)*MATCH(bhpc_data[size1],$EC$13,0)),MATCH(ROW(bhpc_data[sku]),ROW(bhpc_data[sku])),""),ROWS($A$15:A133)+$B$3)))),IF($EC$11="",IF($EC$13="",INDEX(bhpc_data[description],SMALL(IF(ISNUMBER(MATCH(bhpc_data[category],$EC$9,0)),MATCH(ROW(bhpc_data[sku]),ROW(bhpc_data[sku])),""),ROWS($A$15:A133)+$B$3)),INDEX(bhpc_data[description],SMALL(IF(ISNUMBER(MATCH(bhpc_data[category],$EC$9,0)*MATCH(bhpc_data[size1],$EC$13,0)),MATCH(ROW(bhpc_data[sku]),ROW(bhpc_data[sku])),""),ROWS($A$15:A133)+$B$3))),IF($EC$13="",INDEX(bhpc_data[description],SMALL(IF(ISNUMBER(MATCH(bhpc_data[category],$EC$9,0)*MATCH(bhpc_data[sex],$EC$11,0)),MATCH(ROW(bhpc_data[sku]),ROW(bhpc_data[sku])),""),ROWS($A$15:A133)+$B$3)),INDEX(bhpc_data[description],SMALL(IF(ISNUMBER(MATCH(bhpc_data[category],$EC$9,0)*MATCH(bhpc_data[sex],$EC$11,0)*MATCH(bhpc_data[size1],$EC$13,0)),MATCH(ROW(bhpc_data[sku]),ROW(bhpc_data[sku])),""),ROWS($A$15:A133)+$B$3))))),"")</f>
        <v>BHPC TRAY GIFT BOX WOMEN 50ML</v>
      </c>
      <c r="EG128" s="549">
        <f>IFERROR(IF('BHPC MANAGER'!$EE128="","",INDEX(inventory[ESISTENZA],MATCH('BHPC MANAGER'!$EE128,inventory[ARTICOLO],0))),0)</f>
        <v>532</v>
      </c>
      <c r="EH128" s="550">
        <v>29440</v>
      </c>
      <c r="EI128" s="550">
        <f t="shared" si="11"/>
        <v>29972</v>
      </c>
      <c r="EJ128" s="551">
        <v>0</v>
      </c>
      <c r="EK128" s="552">
        <f t="shared" si="12"/>
        <v>29972</v>
      </c>
    </row>
    <row r="129" spans="63:141" x14ac:dyDescent="0.35">
      <c r="BK129" s="366"/>
      <c r="BL129" s="367"/>
      <c r="BM129" s="368"/>
      <c r="BN129" s="367"/>
      <c r="BO129" s="368"/>
      <c r="EE129" s="541" t="str" cm="1">
        <f t="array" ref="EE129">IFERROR(IF($EC$9="",IF($EC$11="",IF($EC$13="",INDEX(bhpc_data[sku],SMALL(MATCH(ROW(bhpc_data[sku]),ROW(bhpc_data[sku])),ROWS($A$15:A134)+$B$3)),INDEX(bhpc_data[sku],SMALL(IF(ISNUMBER(MATCH(bhpc_data[size1],$EC$13,0)),MATCH(ROW(bhpc_data[sku]),ROW(bhpc_data[sku])),""),ROWS($A$15:A134)+$B$3))),IF($EC$13="",INDEX(bhpc_data[sku],SMALL(IF(ISNUMBER(MATCH(bhpc_data[sex],$EC$11,0)),MATCH(ROW(bhpc_data[sku]),ROW(bhpc_data[sku])),""),ROWS($A$15:A134)+$B$3)),INDEX(bhpc_data[sku],SMALL(IF(ISNUMBER(MATCH(bhpc_data[sex],$EC$11,0)*MATCH(bhpc_data[size1],$EC$13,0)),MATCH(ROW(bhpc_data[sku]),ROW(bhpc_data[sku])),""),ROWS($A$15:A134)+$B$3)))),IF($EC$11="",IF($EC$13="",INDEX(bhpc_data[sku],SMALL(IF(ISNUMBER(MATCH(bhpc_data[category],$EC$9,0)),MATCH(ROW(bhpc_data[sku]),ROW(bhpc_data[sku])),""),ROWS($A$15:A134)+$B$3)),INDEX(bhpc_data[sku],SMALL(IF(ISNUMBER(MATCH(bhpc_data[category],$EC$9,0)*MATCH(bhpc_data[size1],$EC$13,0)),MATCH(ROW(bhpc_data[sku]),ROW(bhpc_data[sku])),""),ROWS($A$15:A134)+$B$3))),IF($EC$13="",INDEX(bhpc_data[sku],SMALL(IF(ISNUMBER(MATCH(bhpc_data[category],$EC$9,0)*MATCH(bhpc_data[sex],$EC$11,0)),MATCH(ROW(bhpc_data[sku]),ROW(bhpc_data[sku])),""),ROWS($A$15:A134)+$B$3)),INDEX(bhpc_data[sku],SMALL(IF(ISNUMBER(MATCH(bhpc_data[category],$EC$9,0)*MATCH(bhpc_data[sex],$EC$11,0)*MATCH(bhpc_data[size1],$EC$13,0)),MATCH(ROW(bhpc_data[sku]),ROW(bhpc_data[sku])),""),ROWS($A$15:A134)+$B$3))))),"")</f>
        <v>X1TRFM</v>
      </c>
      <c r="EF129" s="542" t="str" cm="1">
        <f t="array" ref="EF129">IFERROR(IF($EC$9="",IF($EC$11="",IF($EC$13="",INDEX(bhpc_data[description],SMALL(MATCH(ROW(bhpc_data[sku]),ROW(bhpc_data[sku])),ROWS($A$15:A134)+$B$3)),INDEX(bhpc_data[description],SMALL(IF(ISNUMBER(MATCH(bhpc_data[size1],$EC$13,0)),MATCH(ROW(bhpc_data[sku]),ROW(bhpc_data[sku])),""),ROWS($A$15:A134)+$B$3))),IF($EC$13="",INDEX(bhpc_data[description],SMALL(IF(ISNUMBER(MATCH(bhpc_data[sex],$EC$11,0)),MATCH(ROW(bhpc_data[sku]),ROW(bhpc_data[sku])),""),ROWS($A$15:A134)+$B$3)),INDEX(bhpc_data[description],SMALL(IF(ISNUMBER(MATCH(bhpc_data[sex],$EC$11,0)*MATCH(bhpc_data[size1],$EC$13,0)),MATCH(ROW(bhpc_data[sku]),ROW(bhpc_data[sku])),""),ROWS($A$15:A134)+$B$3)))),IF($EC$11="",IF($EC$13="",INDEX(bhpc_data[description],SMALL(IF(ISNUMBER(MATCH(bhpc_data[category],$EC$9,0)),MATCH(ROW(bhpc_data[sku]),ROW(bhpc_data[sku])),""),ROWS($A$15:A134)+$B$3)),INDEX(bhpc_data[description],SMALL(IF(ISNUMBER(MATCH(bhpc_data[category],$EC$9,0)*MATCH(bhpc_data[size1],$EC$13,0)),MATCH(ROW(bhpc_data[sku]),ROW(bhpc_data[sku])),""),ROWS($A$15:A134)+$B$3))),IF($EC$13="",INDEX(bhpc_data[description],SMALL(IF(ISNUMBER(MATCH(bhpc_data[category],$EC$9,0)*MATCH(bhpc_data[sex],$EC$11,0)),MATCH(ROW(bhpc_data[sku]),ROW(bhpc_data[sku])),""),ROWS($A$15:A134)+$B$3)),INDEX(bhpc_data[description],SMALL(IF(ISNUMBER(MATCH(bhpc_data[category],$EC$9,0)*MATCH(bhpc_data[sex],$EC$11,0)*MATCH(bhpc_data[size1],$EC$13,0)),MATCH(ROW(bhpc_data[sku]),ROW(bhpc_data[sku])),""),ROWS($A$15:A134)+$B$3))))),"")</f>
        <v>BHPC TRAY GIFT BOX MEN 100ML</v>
      </c>
      <c r="EG129" s="543">
        <f>IFERROR(IF('BHPC MANAGER'!$EE129="","",INDEX(inventory[ESISTENZA],MATCH('BHPC MANAGER'!$EE129,inventory[ARTICOLO],0))),0)</f>
        <v>734</v>
      </c>
      <c r="EH129" s="544">
        <v>200</v>
      </c>
      <c r="EI129" s="544">
        <f t="shared" si="11"/>
        <v>934</v>
      </c>
      <c r="EJ129" s="545">
        <v>0</v>
      </c>
      <c r="EK129" s="546">
        <f t="shared" si="12"/>
        <v>934</v>
      </c>
    </row>
    <row r="130" spans="63:141" x14ac:dyDescent="0.35">
      <c r="BK130" s="366"/>
      <c r="BL130" s="367"/>
      <c r="BM130" s="368"/>
      <c r="BN130" s="367"/>
      <c r="BO130" s="368"/>
      <c r="EE130" s="547" t="str" cm="1">
        <f t="array" ref="EE130">IFERROR(IF($EC$9="",IF($EC$11="",IF($EC$13="",INDEX(bhpc_data[sku],SMALL(MATCH(ROW(bhpc_data[sku]),ROW(bhpc_data[sku])),ROWS($A$15:A135)+$B$3)),INDEX(bhpc_data[sku],SMALL(IF(ISNUMBER(MATCH(bhpc_data[size1],$EC$13,0)),MATCH(ROW(bhpc_data[sku]),ROW(bhpc_data[sku])),""),ROWS($A$15:A135)+$B$3))),IF($EC$13="",INDEX(bhpc_data[sku],SMALL(IF(ISNUMBER(MATCH(bhpc_data[sex],$EC$11,0)),MATCH(ROW(bhpc_data[sku]),ROW(bhpc_data[sku])),""),ROWS($A$15:A135)+$B$3)),INDEX(bhpc_data[sku],SMALL(IF(ISNUMBER(MATCH(bhpc_data[sex],$EC$11,0)*MATCH(bhpc_data[size1],$EC$13,0)),MATCH(ROW(bhpc_data[sku]),ROW(bhpc_data[sku])),""),ROWS($A$15:A135)+$B$3)))),IF($EC$11="",IF($EC$13="",INDEX(bhpc_data[sku],SMALL(IF(ISNUMBER(MATCH(bhpc_data[category],$EC$9,0)),MATCH(ROW(bhpc_data[sku]),ROW(bhpc_data[sku])),""),ROWS($A$15:A135)+$B$3)),INDEX(bhpc_data[sku],SMALL(IF(ISNUMBER(MATCH(bhpc_data[category],$EC$9,0)*MATCH(bhpc_data[size1],$EC$13,0)),MATCH(ROW(bhpc_data[sku]),ROW(bhpc_data[sku])),""),ROWS($A$15:A135)+$B$3))),IF($EC$13="",INDEX(bhpc_data[sku],SMALL(IF(ISNUMBER(MATCH(bhpc_data[category],$EC$9,0)*MATCH(bhpc_data[sex],$EC$11,0)),MATCH(ROW(bhpc_data[sku]),ROW(bhpc_data[sku])),""),ROWS($A$15:A135)+$B$3)),INDEX(bhpc_data[sku],SMALL(IF(ISNUMBER(MATCH(bhpc_data[category],$EC$9,0)*MATCH(bhpc_data[sex],$EC$11,0)*MATCH(bhpc_data[size1],$EC$13,0)),MATCH(ROW(bhpc_data[sku]),ROW(bhpc_data[sku])),""),ROWS($A$15:A135)+$B$3))))),"")</f>
        <v>X1TRFW</v>
      </c>
      <c r="EF130" s="548" t="str" cm="1">
        <f t="array" ref="EF130">IFERROR(IF($EC$9="",IF($EC$11="",IF($EC$13="",INDEX(bhpc_data[description],SMALL(MATCH(ROW(bhpc_data[sku]),ROW(bhpc_data[sku])),ROWS($A$15:A135)+$B$3)),INDEX(bhpc_data[description],SMALL(IF(ISNUMBER(MATCH(bhpc_data[size1],$EC$13,0)),MATCH(ROW(bhpc_data[sku]),ROW(bhpc_data[sku])),""),ROWS($A$15:A135)+$B$3))),IF($EC$13="",INDEX(bhpc_data[description],SMALL(IF(ISNUMBER(MATCH(bhpc_data[sex],$EC$11,0)),MATCH(ROW(bhpc_data[sku]),ROW(bhpc_data[sku])),""),ROWS($A$15:A135)+$B$3)),INDEX(bhpc_data[description],SMALL(IF(ISNUMBER(MATCH(bhpc_data[sex],$EC$11,0)*MATCH(bhpc_data[size1],$EC$13,0)),MATCH(ROW(bhpc_data[sku]),ROW(bhpc_data[sku])),""),ROWS($A$15:A135)+$B$3)))),IF($EC$11="",IF($EC$13="",INDEX(bhpc_data[description],SMALL(IF(ISNUMBER(MATCH(bhpc_data[category],$EC$9,0)),MATCH(ROW(bhpc_data[sku]),ROW(bhpc_data[sku])),""),ROWS($A$15:A135)+$B$3)),INDEX(bhpc_data[description],SMALL(IF(ISNUMBER(MATCH(bhpc_data[category],$EC$9,0)*MATCH(bhpc_data[size1],$EC$13,0)),MATCH(ROW(bhpc_data[sku]),ROW(bhpc_data[sku])),""),ROWS($A$15:A135)+$B$3))),IF($EC$13="",INDEX(bhpc_data[description],SMALL(IF(ISNUMBER(MATCH(bhpc_data[category],$EC$9,0)*MATCH(bhpc_data[sex],$EC$11,0)),MATCH(ROW(bhpc_data[sku]),ROW(bhpc_data[sku])),""),ROWS($A$15:A135)+$B$3)),INDEX(bhpc_data[description],SMALL(IF(ISNUMBER(MATCH(bhpc_data[category],$EC$9,0)*MATCH(bhpc_data[sex],$EC$11,0)*MATCH(bhpc_data[size1],$EC$13,0)),MATCH(ROW(bhpc_data[sku]),ROW(bhpc_data[sku])),""),ROWS($A$15:A135)+$B$3))))),"")</f>
        <v>BHPC TRAY GIFT BOX WOMEN 100ML</v>
      </c>
      <c r="EG130" s="549">
        <f>IFERROR(IF('BHPC MANAGER'!$EE130="","",INDEX(inventory[ESISTENZA],MATCH('BHPC MANAGER'!$EE130,inventory[ARTICOLO],0))),0)</f>
        <v>189</v>
      </c>
      <c r="EH130" s="550" t="s">
        <v>914</v>
      </c>
      <c r="EI130" s="550">
        <f t="shared" si="11"/>
        <v>189</v>
      </c>
      <c r="EJ130" s="551" t="s">
        <v>914</v>
      </c>
      <c r="EK130" s="552">
        <f t="shared" si="12"/>
        <v>189</v>
      </c>
    </row>
    <row r="131" spans="63:141" x14ac:dyDescent="0.35">
      <c r="BK131" s="366"/>
      <c r="BL131" s="367"/>
      <c r="BM131" s="368"/>
      <c r="BN131" s="367"/>
      <c r="BO131" s="368"/>
      <c r="EE131" s="541" t="str" cm="1">
        <f t="array" ref="EE131">IFERROR(IF($EC$9="",IF($EC$11="",IF($EC$13="",INDEX(bhpc_data[sku],SMALL(MATCH(ROW(bhpc_data[sku]),ROW(bhpc_data[sku])),ROWS($A$15:A136)+$B$3)),INDEX(bhpc_data[sku],SMALL(IF(ISNUMBER(MATCH(bhpc_data[size1],$EC$13,0)),MATCH(ROW(bhpc_data[sku]),ROW(bhpc_data[sku])),""),ROWS($A$15:A136)+$B$3))),IF($EC$13="",INDEX(bhpc_data[sku],SMALL(IF(ISNUMBER(MATCH(bhpc_data[sex],$EC$11,0)),MATCH(ROW(bhpc_data[sku]),ROW(bhpc_data[sku])),""),ROWS($A$15:A136)+$B$3)),INDEX(bhpc_data[sku],SMALL(IF(ISNUMBER(MATCH(bhpc_data[sex],$EC$11,0)*MATCH(bhpc_data[size1],$EC$13,0)),MATCH(ROW(bhpc_data[sku]),ROW(bhpc_data[sku])),""),ROWS($A$15:A136)+$B$3)))),IF($EC$11="",IF($EC$13="",INDEX(bhpc_data[sku],SMALL(IF(ISNUMBER(MATCH(bhpc_data[category],$EC$9,0)),MATCH(ROW(bhpc_data[sku]),ROW(bhpc_data[sku])),""),ROWS($A$15:A136)+$B$3)),INDEX(bhpc_data[sku],SMALL(IF(ISNUMBER(MATCH(bhpc_data[category],$EC$9,0)*MATCH(bhpc_data[size1],$EC$13,0)),MATCH(ROW(bhpc_data[sku]),ROW(bhpc_data[sku])),""),ROWS($A$15:A136)+$B$3))),IF($EC$13="",INDEX(bhpc_data[sku],SMALL(IF(ISNUMBER(MATCH(bhpc_data[category],$EC$9,0)*MATCH(bhpc_data[sex],$EC$11,0)),MATCH(ROW(bhpc_data[sku]),ROW(bhpc_data[sku])),""),ROWS($A$15:A136)+$B$3)),INDEX(bhpc_data[sku],SMALL(IF(ISNUMBER(MATCH(bhpc_data[category],$EC$9,0)*MATCH(bhpc_data[sex],$EC$11,0)*MATCH(bhpc_data[size1],$EC$13,0)),MATCH(ROW(bhpc_data[sku]),ROW(bhpc_data[sku])),""),ROWS($A$15:A136)+$B$3))))),"")</f>
        <v>Y00001</v>
      </c>
      <c r="EF131" s="542" t="str" cm="1">
        <f t="array" ref="EF131">IFERROR(IF($EC$9="",IF($EC$11="",IF($EC$13="",INDEX(bhpc_data[description],SMALL(MATCH(ROW(bhpc_data[sku]),ROW(bhpc_data[sku])),ROWS($A$15:A136)+$B$3)),INDEX(bhpc_data[description],SMALL(IF(ISNUMBER(MATCH(bhpc_data[size1],$EC$13,0)),MATCH(ROW(bhpc_data[sku]),ROW(bhpc_data[sku])),""),ROWS($A$15:A136)+$B$3))),IF($EC$13="",INDEX(bhpc_data[description],SMALL(IF(ISNUMBER(MATCH(bhpc_data[sex],$EC$11,0)),MATCH(ROW(bhpc_data[sku]),ROW(bhpc_data[sku])),""),ROWS($A$15:A136)+$B$3)),INDEX(bhpc_data[description],SMALL(IF(ISNUMBER(MATCH(bhpc_data[sex],$EC$11,0)*MATCH(bhpc_data[size1],$EC$13,0)),MATCH(ROW(bhpc_data[sku]),ROW(bhpc_data[sku])),""),ROWS($A$15:A136)+$B$3)))),IF($EC$11="",IF($EC$13="",INDEX(bhpc_data[description],SMALL(IF(ISNUMBER(MATCH(bhpc_data[category],$EC$9,0)),MATCH(ROW(bhpc_data[sku]),ROW(bhpc_data[sku])),""),ROWS($A$15:A136)+$B$3)),INDEX(bhpc_data[description],SMALL(IF(ISNUMBER(MATCH(bhpc_data[category],$EC$9,0)*MATCH(bhpc_data[size1],$EC$13,0)),MATCH(ROW(bhpc_data[sku]),ROW(bhpc_data[sku])),""),ROWS($A$15:A136)+$B$3))),IF($EC$13="",INDEX(bhpc_data[description],SMALL(IF(ISNUMBER(MATCH(bhpc_data[category],$EC$9,0)*MATCH(bhpc_data[sex],$EC$11,0)),MATCH(ROW(bhpc_data[sku]),ROW(bhpc_data[sku])),""),ROWS($A$15:A136)+$B$3)),INDEX(bhpc_data[description],SMALL(IF(ISNUMBER(MATCH(bhpc_data[category],$EC$9,0)*MATCH(bhpc_data[sex],$EC$11,0)*MATCH(bhpc_data[size1],$EC$13,0)),MATCH(ROW(bhpc_data[sku]),ROW(bhpc_data[sku])),""),ROWS($A$15:A136)+$B$3))))),"")</f>
        <v>YA2302A BHPC SUNGLASSES RUBB. BLACK / SOLID GREY</v>
      </c>
      <c r="EG131" s="543">
        <f>IFERROR(IF('BHPC MANAGER'!$EE131="","",INDEX(inventory[ESISTENZA],MATCH('BHPC MANAGER'!$EE131,inventory[ARTICOLO],0))),0)</f>
        <v>297</v>
      </c>
      <c r="EH131" s="544">
        <v>-30</v>
      </c>
      <c r="EI131" s="544">
        <f t="shared" si="11"/>
        <v>267</v>
      </c>
      <c r="EJ131" s="545">
        <v>0</v>
      </c>
      <c r="EK131" s="546">
        <f t="shared" si="12"/>
        <v>267</v>
      </c>
    </row>
    <row r="132" spans="63:141" x14ac:dyDescent="0.35">
      <c r="BK132" s="366"/>
      <c r="BL132" s="367"/>
      <c r="BM132" s="368"/>
      <c r="BN132" s="367"/>
      <c r="BO132" s="368"/>
      <c r="EE132" s="547" t="str" cm="1">
        <f t="array" ref="EE132">IFERROR(IF($EC$9="",IF($EC$11="",IF($EC$13="",INDEX(bhpc_data[sku],SMALL(MATCH(ROW(bhpc_data[sku]),ROW(bhpc_data[sku])),ROWS($A$15:A137)+$B$3)),INDEX(bhpc_data[sku],SMALL(IF(ISNUMBER(MATCH(bhpc_data[size1],$EC$13,0)),MATCH(ROW(bhpc_data[sku]),ROW(bhpc_data[sku])),""),ROWS($A$15:A137)+$B$3))),IF($EC$13="",INDEX(bhpc_data[sku],SMALL(IF(ISNUMBER(MATCH(bhpc_data[sex],$EC$11,0)),MATCH(ROW(bhpc_data[sku]),ROW(bhpc_data[sku])),""),ROWS($A$15:A137)+$B$3)),INDEX(bhpc_data[sku],SMALL(IF(ISNUMBER(MATCH(bhpc_data[sex],$EC$11,0)*MATCH(bhpc_data[size1],$EC$13,0)),MATCH(ROW(bhpc_data[sku]),ROW(bhpc_data[sku])),""),ROWS($A$15:A137)+$B$3)))),IF($EC$11="",IF($EC$13="",INDEX(bhpc_data[sku],SMALL(IF(ISNUMBER(MATCH(bhpc_data[category],$EC$9,0)),MATCH(ROW(bhpc_data[sku]),ROW(bhpc_data[sku])),""),ROWS($A$15:A137)+$B$3)),INDEX(bhpc_data[sku],SMALL(IF(ISNUMBER(MATCH(bhpc_data[category],$EC$9,0)*MATCH(bhpc_data[size1],$EC$13,0)),MATCH(ROW(bhpc_data[sku]),ROW(bhpc_data[sku])),""),ROWS($A$15:A137)+$B$3))),IF($EC$13="",INDEX(bhpc_data[sku],SMALL(IF(ISNUMBER(MATCH(bhpc_data[category],$EC$9,0)*MATCH(bhpc_data[sex],$EC$11,0)),MATCH(ROW(bhpc_data[sku]),ROW(bhpc_data[sku])),""),ROWS($A$15:A137)+$B$3)),INDEX(bhpc_data[sku],SMALL(IF(ISNUMBER(MATCH(bhpc_data[category],$EC$9,0)*MATCH(bhpc_data[sex],$EC$11,0)*MATCH(bhpc_data[size1],$EC$13,0)),MATCH(ROW(bhpc_data[sku]),ROW(bhpc_data[sku])),""),ROWS($A$15:A137)+$B$3))))),"")</f>
        <v>Y00002</v>
      </c>
      <c r="EF132" s="548" t="str" cm="1">
        <f t="array" ref="EF132">IFERROR(IF($EC$9="",IF($EC$11="",IF($EC$13="",INDEX(bhpc_data[description],SMALL(MATCH(ROW(bhpc_data[sku]),ROW(bhpc_data[sku])),ROWS($A$15:A137)+$B$3)),INDEX(bhpc_data[description],SMALL(IF(ISNUMBER(MATCH(bhpc_data[size1],$EC$13,0)),MATCH(ROW(bhpc_data[sku]),ROW(bhpc_data[sku])),""),ROWS($A$15:A137)+$B$3))),IF($EC$13="",INDEX(bhpc_data[description],SMALL(IF(ISNUMBER(MATCH(bhpc_data[sex],$EC$11,0)),MATCH(ROW(bhpc_data[sku]),ROW(bhpc_data[sku])),""),ROWS($A$15:A137)+$B$3)),INDEX(bhpc_data[description],SMALL(IF(ISNUMBER(MATCH(bhpc_data[sex],$EC$11,0)*MATCH(bhpc_data[size1],$EC$13,0)),MATCH(ROW(bhpc_data[sku]),ROW(bhpc_data[sku])),""),ROWS($A$15:A137)+$B$3)))),IF($EC$11="",IF($EC$13="",INDEX(bhpc_data[description],SMALL(IF(ISNUMBER(MATCH(bhpc_data[category],$EC$9,0)),MATCH(ROW(bhpc_data[sku]),ROW(bhpc_data[sku])),""),ROWS($A$15:A137)+$B$3)),INDEX(bhpc_data[description],SMALL(IF(ISNUMBER(MATCH(bhpc_data[category],$EC$9,0)*MATCH(bhpc_data[size1],$EC$13,0)),MATCH(ROW(bhpc_data[sku]),ROW(bhpc_data[sku])),""),ROWS($A$15:A137)+$B$3))),IF($EC$13="",INDEX(bhpc_data[description],SMALL(IF(ISNUMBER(MATCH(bhpc_data[category],$EC$9,0)*MATCH(bhpc_data[sex],$EC$11,0)),MATCH(ROW(bhpc_data[sku]),ROW(bhpc_data[sku])),""),ROWS($A$15:A137)+$B$3)),INDEX(bhpc_data[description],SMALL(IF(ISNUMBER(MATCH(bhpc_data[category],$EC$9,0)*MATCH(bhpc_data[sex],$EC$11,0)*MATCH(bhpc_data[size1],$EC$13,0)),MATCH(ROW(bhpc_data[sku]),ROW(bhpc_data[sku])),""),ROWS($A$15:A137)+$B$3))))),"")</f>
        <v>YA2302B BHPC SUNGLASSES RUBB. BLUE/ SOLID SMOKE</v>
      </c>
      <c r="EG132" s="549">
        <f>IFERROR(IF('BHPC MANAGER'!$EE132="","",INDEX(inventory[ESISTENZA],MATCH('BHPC MANAGER'!$EE132,inventory[ARTICOLO],0))),0)</f>
        <v>298</v>
      </c>
      <c r="EH132" s="550">
        <v>-30</v>
      </c>
      <c r="EI132" s="550">
        <f t="shared" si="11"/>
        <v>268</v>
      </c>
      <c r="EJ132" s="551">
        <v>0</v>
      </c>
      <c r="EK132" s="552">
        <f t="shared" si="12"/>
        <v>268</v>
      </c>
    </row>
    <row r="133" spans="63:141" x14ac:dyDescent="0.35">
      <c r="BK133" s="366"/>
      <c r="BL133" s="367"/>
      <c r="BM133" s="368"/>
      <c r="BN133" s="367"/>
      <c r="BO133" s="368"/>
      <c r="EE133" s="541" t="str" cm="1">
        <f t="array" ref="EE133">IFERROR(IF($EC$9="",IF($EC$11="",IF($EC$13="",INDEX(bhpc_data[sku],SMALL(MATCH(ROW(bhpc_data[sku]),ROW(bhpc_data[sku])),ROWS($A$15:A138)+$B$3)),INDEX(bhpc_data[sku],SMALL(IF(ISNUMBER(MATCH(bhpc_data[size1],$EC$13,0)),MATCH(ROW(bhpc_data[sku]),ROW(bhpc_data[sku])),""),ROWS($A$15:A138)+$B$3))),IF($EC$13="",INDEX(bhpc_data[sku],SMALL(IF(ISNUMBER(MATCH(bhpc_data[sex],$EC$11,0)),MATCH(ROW(bhpc_data[sku]),ROW(bhpc_data[sku])),""),ROWS($A$15:A138)+$B$3)),INDEX(bhpc_data[sku],SMALL(IF(ISNUMBER(MATCH(bhpc_data[sex],$EC$11,0)*MATCH(bhpc_data[size1],$EC$13,0)),MATCH(ROW(bhpc_data[sku]),ROW(bhpc_data[sku])),""),ROWS($A$15:A138)+$B$3)))),IF($EC$11="",IF($EC$13="",INDEX(bhpc_data[sku],SMALL(IF(ISNUMBER(MATCH(bhpc_data[category],$EC$9,0)),MATCH(ROW(bhpc_data[sku]),ROW(bhpc_data[sku])),""),ROWS($A$15:A138)+$B$3)),INDEX(bhpc_data[sku],SMALL(IF(ISNUMBER(MATCH(bhpc_data[category],$EC$9,0)*MATCH(bhpc_data[size1],$EC$13,0)),MATCH(ROW(bhpc_data[sku]),ROW(bhpc_data[sku])),""),ROWS($A$15:A138)+$B$3))),IF($EC$13="",INDEX(bhpc_data[sku],SMALL(IF(ISNUMBER(MATCH(bhpc_data[category],$EC$9,0)*MATCH(bhpc_data[sex],$EC$11,0)),MATCH(ROW(bhpc_data[sku]),ROW(bhpc_data[sku])),""),ROWS($A$15:A138)+$B$3)),INDEX(bhpc_data[sku],SMALL(IF(ISNUMBER(MATCH(bhpc_data[category],$EC$9,0)*MATCH(bhpc_data[sex],$EC$11,0)*MATCH(bhpc_data[size1],$EC$13,0)),MATCH(ROW(bhpc_data[sku]),ROW(bhpc_data[sku])),""),ROWS($A$15:A138)+$B$3))))),"")</f>
        <v>Y00003</v>
      </c>
      <c r="EF133" s="542" t="str" cm="1">
        <f t="array" ref="EF133">IFERROR(IF($EC$9="",IF($EC$11="",IF($EC$13="",INDEX(bhpc_data[description],SMALL(MATCH(ROW(bhpc_data[sku]),ROW(bhpc_data[sku])),ROWS($A$15:A138)+$B$3)),INDEX(bhpc_data[description],SMALL(IF(ISNUMBER(MATCH(bhpc_data[size1],$EC$13,0)),MATCH(ROW(bhpc_data[sku]),ROW(bhpc_data[sku])),""),ROWS($A$15:A138)+$B$3))),IF($EC$13="",INDEX(bhpc_data[description],SMALL(IF(ISNUMBER(MATCH(bhpc_data[sex],$EC$11,0)),MATCH(ROW(bhpc_data[sku]),ROW(bhpc_data[sku])),""),ROWS($A$15:A138)+$B$3)),INDEX(bhpc_data[description],SMALL(IF(ISNUMBER(MATCH(bhpc_data[sex],$EC$11,0)*MATCH(bhpc_data[size1],$EC$13,0)),MATCH(ROW(bhpc_data[sku]),ROW(bhpc_data[sku])),""),ROWS($A$15:A138)+$B$3)))),IF($EC$11="",IF($EC$13="",INDEX(bhpc_data[description],SMALL(IF(ISNUMBER(MATCH(bhpc_data[category],$EC$9,0)),MATCH(ROW(bhpc_data[sku]),ROW(bhpc_data[sku])),""),ROWS($A$15:A138)+$B$3)),INDEX(bhpc_data[description],SMALL(IF(ISNUMBER(MATCH(bhpc_data[category],$EC$9,0)*MATCH(bhpc_data[size1],$EC$13,0)),MATCH(ROW(bhpc_data[sku]),ROW(bhpc_data[sku])),""),ROWS($A$15:A138)+$B$3))),IF($EC$13="",INDEX(bhpc_data[description],SMALL(IF(ISNUMBER(MATCH(bhpc_data[category],$EC$9,0)*MATCH(bhpc_data[sex],$EC$11,0)),MATCH(ROW(bhpc_data[sku]),ROW(bhpc_data[sku])),""),ROWS($A$15:A138)+$B$3)),INDEX(bhpc_data[description],SMALL(IF(ISNUMBER(MATCH(bhpc_data[category],$EC$9,0)*MATCH(bhpc_data[sex],$EC$11,0)*MATCH(bhpc_data[size1],$EC$13,0)),MATCH(ROW(bhpc_data[sku]),ROW(bhpc_data[sku])),""),ROWS($A$15:A138)+$B$3))))),"")</f>
        <v>YA2302C BHPC SUNGLASSES RUBB. BLACK / MIRROR ICY</v>
      </c>
      <c r="EG133" s="543">
        <f>IFERROR(IF('BHPC MANAGER'!$EE133="","",INDEX(inventory[ESISTENZA],MATCH('BHPC MANAGER'!$EE133,inventory[ARTICOLO],0))),0)</f>
        <v>277</v>
      </c>
      <c r="EH133" s="544">
        <v>-30</v>
      </c>
      <c r="EI133" s="544">
        <f t="shared" si="11"/>
        <v>247</v>
      </c>
      <c r="EJ133" s="545">
        <v>0</v>
      </c>
      <c r="EK133" s="546">
        <f t="shared" si="12"/>
        <v>247</v>
      </c>
    </row>
    <row r="134" spans="63:141" x14ac:dyDescent="0.35">
      <c r="BK134" s="366"/>
      <c r="BL134" s="367"/>
      <c r="BM134" s="368"/>
      <c r="BN134" s="367"/>
      <c r="BO134" s="368"/>
      <c r="EE134" s="547" t="str" cm="1">
        <f t="array" ref="EE134">IFERROR(IF($EC$9="",IF($EC$11="",IF($EC$13="",INDEX(bhpc_data[sku],SMALL(MATCH(ROW(bhpc_data[sku]),ROW(bhpc_data[sku])),ROWS($A$15:A139)+$B$3)),INDEX(bhpc_data[sku],SMALL(IF(ISNUMBER(MATCH(bhpc_data[size1],$EC$13,0)),MATCH(ROW(bhpc_data[sku]),ROW(bhpc_data[sku])),""),ROWS($A$15:A139)+$B$3))),IF($EC$13="",INDEX(bhpc_data[sku],SMALL(IF(ISNUMBER(MATCH(bhpc_data[sex],$EC$11,0)),MATCH(ROW(bhpc_data[sku]),ROW(bhpc_data[sku])),""),ROWS($A$15:A139)+$B$3)),INDEX(bhpc_data[sku],SMALL(IF(ISNUMBER(MATCH(bhpc_data[sex],$EC$11,0)*MATCH(bhpc_data[size1],$EC$13,0)),MATCH(ROW(bhpc_data[sku]),ROW(bhpc_data[sku])),""),ROWS($A$15:A139)+$B$3)))),IF($EC$11="",IF($EC$13="",INDEX(bhpc_data[sku],SMALL(IF(ISNUMBER(MATCH(bhpc_data[category],$EC$9,0)),MATCH(ROW(bhpc_data[sku]),ROW(bhpc_data[sku])),""),ROWS($A$15:A139)+$B$3)),INDEX(bhpc_data[sku],SMALL(IF(ISNUMBER(MATCH(bhpc_data[category],$EC$9,0)*MATCH(bhpc_data[size1],$EC$13,0)),MATCH(ROW(bhpc_data[sku]),ROW(bhpc_data[sku])),""),ROWS($A$15:A139)+$B$3))),IF($EC$13="",INDEX(bhpc_data[sku],SMALL(IF(ISNUMBER(MATCH(bhpc_data[category],$EC$9,0)*MATCH(bhpc_data[sex],$EC$11,0)),MATCH(ROW(bhpc_data[sku]),ROW(bhpc_data[sku])),""),ROWS($A$15:A139)+$B$3)),INDEX(bhpc_data[sku],SMALL(IF(ISNUMBER(MATCH(bhpc_data[category],$EC$9,0)*MATCH(bhpc_data[sex],$EC$11,0)*MATCH(bhpc_data[size1],$EC$13,0)),MATCH(ROW(bhpc_data[sku]),ROW(bhpc_data[sku])),""),ROWS($A$15:A139)+$B$3))))),"")</f>
        <v>Y00004</v>
      </c>
      <c r="EF134" s="548" t="str" cm="1">
        <f t="array" ref="EF134">IFERROR(IF($EC$9="",IF($EC$11="",IF($EC$13="",INDEX(bhpc_data[description],SMALL(MATCH(ROW(bhpc_data[sku]),ROW(bhpc_data[sku])),ROWS($A$15:A139)+$B$3)),INDEX(bhpc_data[description],SMALL(IF(ISNUMBER(MATCH(bhpc_data[size1],$EC$13,0)),MATCH(ROW(bhpc_data[sku]),ROW(bhpc_data[sku])),""),ROWS($A$15:A139)+$B$3))),IF($EC$13="",INDEX(bhpc_data[description],SMALL(IF(ISNUMBER(MATCH(bhpc_data[sex],$EC$11,0)),MATCH(ROW(bhpc_data[sku]),ROW(bhpc_data[sku])),""),ROWS($A$15:A139)+$B$3)),INDEX(bhpc_data[description],SMALL(IF(ISNUMBER(MATCH(bhpc_data[sex],$EC$11,0)*MATCH(bhpc_data[size1],$EC$13,0)),MATCH(ROW(bhpc_data[sku]),ROW(bhpc_data[sku])),""),ROWS($A$15:A139)+$B$3)))),IF($EC$11="",IF($EC$13="",INDEX(bhpc_data[description],SMALL(IF(ISNUMBER(MATCH(bhpc_data[category],$EC$9,0)),MATCH(ROW(bhpc_data[sku]),ROW(bhpc_data[sku])),""),ROWS($A$15:A139)+$B$3)),INDEX(bhpc_data[description],SMALL(IF(ISNUMBER(MATCH(bhpc_data[category],$EC$9,0)*MATCH(bhpc_data[size1],$EC$13,0)),MATCH(ROW(bhpc_data[sku]),ROW(bhpc_data[sku])),""),ROWS($A$15:A139)+$B$3))),IF($EC$13="",INDEX(bhpc_data[description],SMALL(IF(ISNUMBER(MATCH(bhpc_data[category],$EC$9,0)*MATCH(bhpc_data[sex],$EC$11,0)),MATCH(ROW(bhpc_data[sku]),ROW(bhpc_data[sku])),""),ROWS($A$15:A139)+$B$3)),INDEX(bhpc_data[description],SMALL(IF(ISNUMBER(MATCH(bhpc_data[category],$EC$9,0)*MATCH(bhpc_data[sex],$EC$11,0)*MATCH(bhpc_data[size1],$EC$13,0)),MATCH(ROW(bhpc_data[sku]),ROW(bhpc_data[sku])),""),ROWS($A$15:A139)+$B$3))))),"")</f>
        <v>YB2310A BHPC SUNGLASSES MATT BLACK/SILVER /SOLID GREE</v>
      </c>
      <c r="EG134" s="549">
        <f>IFERROR(IF('BHPC MANAGER'!$EE134="","",INDEX(inventory[ESISTENZA],MATCH('BHPC MANAGER'!$EE134,inventory[ARTICOLO],0))),0)</f>
        <v>99</v>
      </c>
      <c r="EH134" s="550">
        <v>0</v>
      </c>
      <c r="EI134" s="550">
        <f t="shared" si="11"/>
        <v>99</v>
      </c>
      <c r="EJ134" s="551">
        <v>0</v>
      </c>
      <c r="EK134" s="552">
        <f t="shared" si="12"/>
        <v>99</v>
      </c>
    </row>
    <row r="135" spans="63:141" x14ac:dyDescent="0.35">
      <c r="BK135" s="366"/>
      <c r="BL135" s="367"/>
      <c r="BM135" s="368"/>
      <c r="BN135" s="367"/>
      <c r="BO135" s="368"/>
      <c r="EE135" s="541" t="str" cm="1">
        <f t="array" ref="EE135">IFERROR(IF($EC$9="",IF($EC$11="",IF($EC$13="",INDEX(bhpc_data[sku],SMALL(MATCH(ROW(bhpc_data[sku]),ROW(bhpc_data[sku])),ROWS($A$15:A140)+$B$3)),INDEX(bhpc_data[sku],SMALL(IF(ISNUMBER(MATCH(bhpc_data[size1],$EC$13,0)),MATCH(ROW(bhpc_data[sku]),ROW(bhpc_data[sku])),""),ROWS($A$15:A140)+$B$3))),IF($EC$13="",INDEX(bhpc_data[sku],SMALL(IF(ISNUMBER(MATCH(bhpc_data[sex],$EC$11,0)),MATCH(ROW(bhpc_data[sku]),ROW(bhpc_data[sku])),""),ROWS($A$15:A140)+$B$3)),INDEX(bhpc_data[sku],SMALL(IF(ISNUMBER(MATCH(bhpc_data[sex],$EC$11,0)*MATCH(bhpc_data[size1],$EC$13,0)),MATCH(ROW(bhpc_data[sku]),ROW(bhpc_data[sku])),""),ROWS($A$15:A140)+$B$3)))),IF($EC$11="",IF($EC$13="",INDEX(bhpc_data[sku],SMALL(IF(ISNUMBER(MATCH(bhpc_data[category],$EC$9,0)),MATCH(ROW(bhpc_data[sku]),ROW(bhpc_data[sku])),""),ROWS($A$15:A140)+$B$3)),INDEX(bhpc_data[sku],SMALL(IF(ISNUMBER(MATCH(bhpc_data[category],$EC$9,0)*MATCH(bhpc_data[size1],$EC$13,0)),MATCH(ROW(bhpc_data[sku]),ROW(bhpc_data[sku])),""),ROWS($A$15:A140)+$B$3))),IF($EC$13="",INDEX(bhpc_data[sku],SMALL(IF(ISNUMBER(MATCH(bhpc_data[category],$EC$9,0)*MATCH(bhpc_data[sex],$EC$11,0)),MATCH(ROW(bhpc_data[sku]),ROW(bhpc_data[sku])),""),ROWS($A$15:A140)+$B$3)),INDEX(bhpc_data[sku],SMALL(IF(ISNUMBER(MATCH(bhpc_data[category],$EC$9,0)*MATCH(bhpc_data[sex],$EC$11,0)*MATCH(bhpc_data[size1],$EC$13,0)),MATCH(ROW(bhpc_data[sku]),ROW(bhpc_data[sku])),""),ROWS($A$15:A140)+$B$3))))),"")</f>
        <v>Y00005</v>
      </c>
      <c r="EF135" s="542" t="str" cm="1">
        <f t="array" ref="EF135">IFERROR(IF($EC$9="",IF($EC$11="",IF($EC$13="",INDEX(bhpc_data[description],SMALL(MATCH(ROW(bhpc_data[sku]),ROW(bhpc_data[sku])),ROWS($A$15:A140)+$B$3)),INDEX(bhpc_data[description],SMALL(IF(ISNUMBER(MATCH(bhpc_data[size1],$EC$13,0)),MATCH(ROW(bhpc_data[sku]),ROW(bhpc_data[sku])),""),ROWS($A$15:A140)+$B$3))),IF($EC$13="",INDEX(bhpc_data[description],SMALL(IF(ISNUMBER(MATCH(bhpc_data[sex],$EC$11,0)),MATCH(ROW(bhpc_data[sku]),ROW(bhpc_data[sku])),""),ROWS($A$15:A140)+$B$3)),INDEX(bhpc_data[description],SMALL(IF(ISNUMBER(MATCH(bhpc_data[sex],$EC$11,0)*MATCH(bhpc_data[size1],$EC$13,0)),MATCH(ROW(bhpc_data[sku]),ROW(bhpc_data[sku])),""),ROWS($A$15:A140)+$B$3)))),IF($EC$11="",IF($EC$13="",INDEX(bhpc_data[description],SMALL(IF(ISNUMBER(MATCH(bhpc_data[category],$EC$9,0)),MATCH(ROW(bhpc_data[sku]),ROW(bhpc_data[sku])),""),ROWS($A$15:A140)+$B$3)),INDEX(bhpc_data[description],SMALL(IF(ISNUMBER(MATCH(bhpc_data[category],$EC$9,0)*MATCH(bhpc_data[size1],$EC$13,0)),MATCH(ROW(bhpc_data[sku]),ROW(bhpc_data[sku])),""),ROWS($A$15:A140)+$B$3))),IF($EC$13="",INDEX(bhpc_data[description],SMALL(IF(ISNUMBER(MATCH(bhpc_data[category],$EC$9,0)*MATCH(bhpc_data[sex],$EC$11,0)),MATCH(ROW(bhpc_data[sku]),ROW(bhpc_data[sku])),""),ROWS($A$15:A140)+$B$3)),INDEX(bhpc_data[description],SMALL(IF(ISNUMBER(MATCH(bhpc_data[category],$EC$9,0)*MATCH(bhpc_data[sex],$EC$11,0)*MATCH(bhpc_data[size1],$EC$13,0)),MATCH(ROW(bhpc_data[sku]),ROW(bhpc_data[sku])),""),ROWS($A$15:A140)+$B$3))))),"")</f>
        <v>YB2310B BHPC SUNGLASSES MATT NAVY/SILVER/ SOLID SMOKE</v>
      </c>
      <c r="EG135" s="543">
        <f>IFERROR(IF('BHPC MANAGER'!$EE135="","",INDEX(inventory[ESISTENZA],MATCH('BHPC MANAGER'!$EE135,inventory[ARTICOLO],0))),0)</f>
        <v>299</v>
      </c>
      <c r="EH135" s="544">
        <v>-30</v>
      </c>
      <c r="EI135" s="544">
        <f t="shared" si="11"/>
        <v>269</v>
      </c>
      <c r="EJ135" s="545">
        <v>0</v>
      </c>
      <c r="EK135" s="546">
        <f t="shared" si="12"/>
        <v>269</v>
      </c>
    </row>
    <row r="136" spans="63:141" x14ac:dyDescent="0.35">
      <c r="BK136" s="366"/>
      <c r="BL136" s="367"/>
      <c r="BM136" s="368"/>
      <c r="BN136" s="367"/>
      <c r="BO136" s="368"/>
      <c r="EE136" s="547" t="str" cm="1">
        <f t="array" ref="EE136">IFERROR(IF($EC$9="",IF($EC$11="",IF($EC$13="",INDEX(bhpc_data[sku],SMALL(MATCH(ROW(bhpc_data[sku]),ROW(bhpc_data[sku])),ROWS($A$15:A141)+$B$3)),INDEX(bhpc_data[sku],SMALL(IF(ISNUMBER(MATCH(bhpc_data[size1],$EC$13,0)),MATCH(ROW(bhpc_data[sku]),ROW(bhpc_data[sku])),""),ROWS($A$15:A141)+$B$3))),IF($EC$13="",INDEX(bhpc_data[sku],SMALL(IF(ISNUMBER(MATCH(bhpc_data[sex],$EC$11,0)),MATCH(ROW(bhpc_data[sku]),ROW(bhpc_data[sku])),""),ROWS($A$15:A141)+$B$3)),INDEX(bhpc_data[sku],SMALL(IF(ISNUMBER(MATCH(bhpc_data[sex],$EC$11,0)*MATCH(bhpc_data[size1],$EC$13,0)),MATCH(ROW(bhpc_data[sku]),ROW(bhpc_data[sku])),""),ROWS($A$15:A141)+$B$3)))),IF($EC$11="",IF($EC$13="",INDEX(bhpc_data[sku],SMALL(IF(ISNUMBER(MATCH(bhpc_data[category],$EC$9,0)),MATCH(ROW(bhpc_data[sku]),ROW(bhpc_data[sku])),""),ROWS($A$15:A141)+$B$3)),INDEX(bhpc_data[sku],SMALL(IF(ISNUMBER(MATCH(bhpc_data[category],$EC$9,0)*MATCH(bhpc_data[size1],$EC$13,0)),MATCH(ROW(bhpc_data[sku]),ROW(bhpc_data[sku])),""),ROWS($A$15:A141)+$B$3))),IF($EC$13="",INDEX(bhpc_data[sku],SMALL(IF(ISNUMBER(MATCH(bhpc_data[category],$EC$9,0)*MATCH(bhpc_data[sex],$EC$11,0)),MATCH(ROW(bhpc_data[sku]),ROW(bhpc_data[sku])),""),ROWS($A$15:A141)+$B$3)),INDEX(bhpc_data[sku],SMALL(IF(ISNUMBER(MATCH(bhpc_data[category],$EC$9,0)*MATCH(bhpc_data[sex],$EC$11,0)*MATCH(bhpc_data[size1],$EC$13,0)),MATCH(ROW(bhpc_data[sku]),ROW(bhpc_data[sku])),""),ROWS($A$15:A141)+$B$3))))),"")</f>
        <v>Y00006</v>
      </c>
      <c r="EF136" s="548" t="str" cm="1">
        <f t="array" ref="EF136">IFERROR(IF($EC$9="",IF($EC$11="",IF($EC$13="",INDEX(bhpc_data[description],SMALL(MATCH(ROW(bhpc_data[sku]),ROW(bhpc_data[sku])),ROWS($A$15:A141)+$B$3)),INDEX(bhpc_data[description],SMALL(IF(ISNUMBER(MATCH(bhpc_data[size1],$EC$13,0)),MATCH(ROW(bhpc_data[sku]),ROW(bhpc_data[sku])),""),ROWS($A$15:A141)+$B$3))),IF($EC$13="",INDEX(bhpc_data[description],SMALL(IF(ISNUMBER(MATCH(bhpc_data[sex],$EC$11,0)),MATCH(ROW(bhpc_data[sku]),ROW(bhpc_data[sku])),""),ROWS($A$15:A141)+$B$3)),INDEX(bhpc_data[description],SMALL(IF(ISNUMBER(MATCH(bhpc_data[sex],$EC$11,0)*MATCH(bhpc_data[size1],$EC$13,0)),MATCH(ROW(bhpc_data[sku]),ROW(bhpc_data[sku])),""),ROWS($A$15:A141)+$B$3)))),IF($EC$11="",IF($EC$13="",INDEX(bhpc_data[description],SMALL(IF(ISNUMBER(MATCH(bhpc_data[category],$EC$9,0)),MATCH(ROW(bhpc_data[sku]),ROW(bhpc_data[sku])),""),ROWS($A$15:A141)+$B$3)),INDEX(bhpc_data[description],SMALL(IF(ISNUMBER(MATCH(bhpc_data[category],$EC$9,0)*MATCH(bhpc_data[size1],$EC$13,0)),MATCH(ROW(bhpc_data[sku]),ROW(bhpc_data[sku])),""),ROWS($A$15:A141)+$B$3))),IF($EC$13="",INDEX(bhpc_data[description],SMALL(IF(ISNUMBER(MATCH(bhpc_data[category],$EC$9,0)*MATCH(bhpc_data[sex],$EC$11,0)),MATCH(ROW(bhpc_data[sku]),ROW(bhpc_data[sku])),""),ROWS($A$15:A141)+$B$3)),INDEX(bhpc_data[description],SMALL(IF(ISNUMBER(MATCH(bhpc_data[category],$EC$9,0)*MATCH(bhpc_data[sex],$EC$11,0)*MATCH(bhpc_data[size1],$EC$13,0)),MATCH(ROW(bhpc_data[sku]),ROW(bhpc_data[sku])),""),ROWS($A$15:A141)+$B$3))))),"")</f>
        <v>YB2310C BHPC SUNGLASSES MATT SMOKE/SILVER / SOLID GREY</v>
      </c>
      <c r="EG136" s="549">
        <f>IFERROR(IF('BHPC MANAGER'!$EE136="","",INDEX(inventory[ESISTENZA],MATCH('BHPC MANAGER'!$EE136,inventory[ARTICOLO],0))),0)</f>
        <v>99</v>
      </c>
      <c r="EH136" s="550">
        <v>0</v>
      </c>
      <c r="EI136" s="550">
        <f t="shared" si="11"/>
        <v>99</v>
      </c>
      <c r="EJ136" s="551">
        <v>0</v>
      </c>
      <c r="EK136" s="552">
        <f t="shared" si="12"/>
        <v>99</v>
      </c>
    </row>
    <row r="137" spans="63:141" x14ac:dyDescent="0.35">
      <c r="BK137" s="366"/>
      <c r="BL137" s="367"/>
      <c r="BM137" s="368"/>
      <c r="BN137" s="367"/>
      <c r="BO137" s="368"/>
      <c r="EE137" s="541" t="str" cm="1">
        <f t="array" ref="EE137">IFERROR(IF($EC$9="",IF($EC$11="",IF($EC$13="",INDEX(bhpc_data[sku],SMALL(MATCH(ROW(bhpc_data[sku]),ROW(bhpc_data[sku])),ROWS($A$15:A142)+$B$3)),INDEX(bhpc_data[sku],SMALL(IF(ISNUMBER(MATCH(bhpc_data[size1],$EC$13,0)),MATCH(ROW(bhpc_data[sku]),ROW(bhpc_data[sku])),""),ROWS($A$15:A142)+$B$3))),IF($EC$13="",INDEX(bhpc_data[sku],SMALL(IF(ISNUMBER(MATCH(bhpc_data[sex],$EC$11,0)),MATCH(ROW(bhpc_data[sku]),ROW(bhpc_data[sku])),""),ROWS($A$15:A142)+$B$3)),INDEX(bhpc_data[sku],SMALL(IF(ISNUMBER(MATCH(bhpc_data[sex],$EC$11,0)*MATCH(bhpc_data[size1],$EC$13,0)),MATCH(ROW(bhpc_data[sku]),ROW(bhpc_data[sku])),""),ROWS($A$15:A142)+$B$3)))),IF($EC$11="",IF($EC$13="",INDEX(bhpc_data[sku],SMALL(IF(ISNUMBER(MATCH(bhpc_data[category],$EC$9,0)),MATCH(ROW(bhpc_data[sku]),ROW(bhpc_data[sku])),""),ROWS($A$15:A142)+$B$3)),INDEX(bhpc_data[sku],SMALL(IF(ISNUMBER(MATCH(bhpc_data[category],$EC$9,0)*MATCH(bhpc_data[size1],$EC$13,0)),MATCH(ROW(bhpc_data[sku]),ROW(bhpc_data[sku])),""),ROWS($A$15:A142)+$B$3))),IF($EC$13="",INDEX(bhpc_data[sku],SMALL(IF(ISNUMBER(MATCH(bhpc_data[category],$EC$9,0)*MATCH(bhpc_data[sex],$EC$11,0)),MATCH(ROW(bhpc_data[sku]),ROW(bhpc_data[sku])),""),ROWS($A$15:A142)+$B$3)),INDEX(bhpc_data[sku],SMALL(IF(ISNUMBER(MATCH(bhpc_data[category],$EC$9,0)*MATCH(bhpc_data[sex],$EC$11,0)*MATCH(bhpc_data[size1],$EC$13,0)),MATCH(ROW(bhpc_data[sku]),ROW(bhpc_data[sku])),""),ROWS($A$15:A142)+$B$3))))),"")</f>
        <v>Y00007</v>
      </c>
      <c r="EF137" s="542" t="str" cm="1">
        <f t="array" ref="EF137">IFERROR(IF($EC$9="",IF($EC$11="",IF($EC$13="",INDEX(bhpc_data[description],SMALL(MATCH(ROW(bhpc_data[sku]),ROW(bhpc_data[sku])),ROWS($A$15:A142)+$B$3)),INDEX(bhpc_data[description],SMALL(IF(ISNUMBER(MATCH(bhpc_data[size1],$EC$13,0)),MATCH(ROW(bhpc_data[sku]),ROW(bhpc_data[sku])),""),ROWS($A$15:A142)+$B$3))),IF($EC$13="",INDEX(bhpc_data[description],SMALL(IF(ISNUMBER(MATCH(bhpc_data[sex],$EC$11,0)),MATCH(ROW(bhpc_data[sku]),ROW(bhpc_data[sku])),""),ROWS($A$15:A142)+$B$3)),INDEX(bhpc_data[description],SMALL(IF(ISNUMBER(MATCH(bhpc_data[sex],$EC$11,0)*MATCH(bhpc_data[size1],$EC$13,0)),MATCH(ROW(bhpc_data[sku]),ROW(bhpc_data[sku])),""),ROWS($A$15:A142)+$B$3)))),IF($EC$11="",IF($EC$13="",INDEX(bhpc_data[description],SMALL(IF(ISNUMBER(MATCH(bhpc_data[category],$EC$9,0)),MATCH(ROW(bhpc_data[sku]),ROW(bhpc_data[sku])),""),ROWS($A$15:A142)+$B$3)),INDEX(bhpc_data[description],SMALL(IF(ISNUMBER(MATCH(bhpc_data[category],$EC$9,0)*MATCH(bhpc_data[size1],$EC$13,0)),MATCH(ROW(bhpc_data[sku]),ROW(bhpc_data[sku])),""),ROWS($A$15:A142)+$B$3))),IF($EC$13="",INDEX(bhpc_data[description],SMALL(IF(ISNUMBER(MATCH(bhpc_data[category],$EC$9,0)*MATCH(bhpc_data[sex],$EC$11,0)),MATCH(ROW(bhpc_data[sku]),ROW(bhpc_data[sku])),""),ROWS($A$15:A142)+$B$3)),INDEX(bhpc_data[description],SMALL(IF(ISNUMBER(MATCH(bhpc_data[category],$EC$9,0)*MATCH(bhpc_data[sex],$EC$11,0)*MATCH(bhpc_data[size1],$EC$13,0)),MATCH(ROW(bhpc_data[sku]),ROW(bhpc_data[sku])),""),ROWS($A$15:A142)+$B$3))))),"")</f>
        <v>YB2313A BHPC SUNGLASSES SATIN NAVY / SOLID SMOKE</v>
      </c>
      <c r="EG137" s="543">
        <f>IFERROR(IF('BHPC MANAGER'!$EE137="","",INDEX(inventory[ESISTENZA],MATCH('BHPC MANAGER'!$EE137,inventory[ARTICOLO],0))),0)</f>
        <v>299</v>
      </c>
      <c r="EH137" s="544">
        <v>-30</v>
      </c>
      <c r="EI137" s="544">
        <f t="shared" si="11"/>
        <v>269</v>
      </c>
      <c r="EJ137" s="545">
        <v>0</v>
      </c>
      <c r="EK137" s="546">
        <f t="shared" si="12"/>
        <v>269</v>
      </c>
    </row>
    <row r="138" spans="63:141" x14ac:dyDescent="0.35">
      <c r="BK138" s="366"/>
      <c r="BL138" s="367"/>
      <c r="BM138" s="368"/>
      <c r="BN138" s="367"/>
      <c r="BO138" s="368"/>
      <c r="EE138" s="547" t="str" cm="1">
        <f t="array" ref="EE138">IFERROR(IF($EC$9="",IF($EC$11="",IF($EC$13="",INDEX(bhpc_data[sku],SMALL(MATCH(ROW(bhpc_data[sku]),ROW(bhpc_data[sku])),ROWS($A$15:A143)+$B$3)),INDEX(bhpc_data[sku],SMALL(IF(ISNUMBER(MATCH(bhpc_data[size1],$EC$13,0)),MATCH(ROW(bhpc_data[sku]),ROW(bhpc_data[sku])),""),ROWS($A$15:A143)+$B$3))),IF($EC$13="",INDEX(bhpc_data[sku],SMALL(IF(ISNUMBER(MATCH(bhpc_data[sex],$EC$11,0)),MATCH(ROW(bhpc_data[sku]),ROW(bhpc_data[sku])),""),ROWS($A$15:A143)+$B$3)),INDEX(bhpc_data[sku],SMALL(IF(ISNUMBER(MATCH(bhpc_data[sex],$EC$11,0)*MATCH(bhpc_data[size1],$EC$13,0)),MATCH(ROW(bhpc_data[sku]),ROW(bhpc_data[sku])),""),ROWS($A$15:A143)+$B$3)))),IF($EC$11="",IF($EC$13="",INDEX(bhpc_data[sku],SMALL(IF(ISNUMBER(MATCH(bhpc_data[category],$EC$9,0)),MATCH(ROW(bhpc_data[sku]),ROW(bhpc_data[sku])),""),ROWS($A$15:A143)+$B$3)),INDEX(bhpc_data[sku],SMALL(IF(ISNUMBER(MATCH(bhpc_data[category],$EC$9,0)*MATCH(bhpc_data[size1],$EC$13,0)),MATCH(ROW(bhpc_data[sku]),ROW(bhpc_data[sku])),""),ROWS($A$15:A143)+$B$3))),IF($EC$13="",INDEX(bhpc_data[sku],SMALL(IF(ISNUMBER(MATCH(bhpc_data[category],$EC$9,0)*MATCH(bhpc_data[sex],$EC$11,0)),MATCH(ROW(bhpc_data[sku]),ROW(bhpc_data[sku])),""),ROWS($A$15:A143)+$B$3)),INDEX(bhpc_data[sku],SMALL(IF(ISNUMBER(MATCH(bhpc_data[category],$EC$9,0)*MATCH(bhpc_data[sex],$EC$11,0)*MATCH(bhpc_data[size1],$EC$13,0)),MATCH(ROW(bhpc_data[sku]),ROW(bhpc_data[sku])),""),ROWS($A$15:A143)+$B$3))))),"")</f>
        <v>Y00008</v>
      </c>
      <c r="EF138" s="548" t="str" cm="1">
        <f t="array" ref="EF138">IFERROR(IF($EC$9="",IF($EC$11="",IF($EC$13="",INDEX(bhpc_data[description],SMALL(MATCH(ROW(bhpc_data[sku]),ROW(bhpc_data[sku])),ROWS($A$15:A143)+$B$3)),INDEX(bhpc_data[description],SMALL(IF(ISNUMBER(MATCH(bhpc_data[size1],$EC$13,0)),MATCH(ROW(bhpc_data[sku]),ROW(bhpc_data[sku])),""),ROWS($A$15:A143)+$B$3))),IF($EC$13="",INDEX(bhpc_data[description],SMALL(IF(ISNUMBER(MATCH(bhpc_data[sex],$EC$11,0)),MATCH(ROW(bhpc_data[sku]),ROW(bhpc_data[sku])),""),ROWS($A$15:A143)+$B$3)),INDEX(bhpc_data[description],SMALL(IF(ISNUMBER(MATCH(bhpc_data[sex],$EC$11,0)*MATCH(bhpc_data[size1],$EC$13,0)),MATCH(ROW(bhpc_data[sku]),ROW(bhpc_data[sku])),""),ROWS($A$15:A143)+$B$3)))),IF($EC$11="",IF($EC$13="",INDEX(bhpc_data[description],SMALL(IF(ISNUMBER(MATCH(bhpc_data[category],$EC$9,0)),MATCH(ROW(bhpc_data[sku]),ROW(bhpc_data[sku])),""),ROWS($A$15:A143)+$B$3)),INDEX(bhpc_data[description],SMALL(IF(ISNUMBER(MATCH(bhpc_data[category],$EC$9,0)*MATCH(bhpc_data[size1],$EC$13,0)),MATCH(ROW(bhpc_data[sku]),ROW(bhpc_data[sku])),""),ROWS($A$15:A143)+$B$3))),IF($EC$13="",INDEX(bhpc_data[description],SMALL(IF(ISNUMBER(MATCH(bhpc_data[category],$EC$9,0)*MATCH(bhpc_data[sex],$EC$11,0)),MATCH(ROW(bhpc_data[sku]),ROW(bhpc_data[sku])),""),ROWS($A$15:A143)+$B$3)),INDEX(bhpc_data[description],SMALL(IF(ISNUMBER(MATCH(bhpc_data[category],$EC$9,0)*MATCH(bhpc_data[sex],$EC$11,0)*MATCH(bhpc_data[size1],$EC$13,0)),MATCH(ROW(bhpc_data[sku]),ROW(bhpc_data[sku])),""),ROWS($A$15:A143)+$B$3))))),"")</f>
        <v>YB2313B BHPC SUNGLASSES MATT BLACK / SOLID GREY</v>
      </c>
      <c r="EG138" s="549">
        <f>IFERROR(IF('BHPC MANAGER'!$EE138="","",INDEX(inventory[ESISTENZA],MATCH('BHPC MANAGER'!$EE138,inventory[ARTICOLO],0))),0)</f>
        <v>299</v>
      </c>
      <c r="EH138" s="550">
        <v>-30</v>
      </c>
      <c r="EI138" s="550">
        <f t="shared" si="11"/>
        <v>269</v>
      </c>
      <c r="EJ138" s="551">
        <v>0</v>
      </c>
      <c r="EK138" s="552">
        <f t="shared" si="12"/>
        <v>269</v>
      </c>
    </row>
    <row r="139" spans="63:141" x14ac:dyDescent="0.35">
      <c r="BK139" s="366"/>
      <c r="BL139" s="367"/>
      <c r="BM139" s="368"/>
      <c r="BN139" s="367"/>
      <c r="BO139" s="368"/>
      <c r="EE139" s="541" t="str" cm="1">
        <f t="array" ref="EE139">IFERROR(IF($EC$9="",IF($EC$11="",IF($EC$13="",INDEX(bhpc_data[sku],SMALL(MATCH(ROW(bhpc_data[sku]),ROW(bhpc_data[sku])),ROWS($A$15:A144)+$B$3)),INDEX(bhpc_data[sku],SMALL(IF(ISNUMBER(MATCH(bhpc_data[size1],$EC$13,0)),MATCH(ROW(bhpc_data[sku]),ROW(bhpc_data[sku])),""),ROWS($A$15:A144)+$B$3))),IF($EC$13="",INDEX(bhpc_data[sku],SMALL(IF(ISNUMBER(MATCH(bhpc_data[sex],$EC$11,0)),MATCH(ROW(bhpc_data[sku]),ROW(bhpc_data[sku])),""),ROWS($A$15:A144)+$B$3)),INDEX(bhpc_data[sku],SMALL(IF(ISNUMBER(MATCH(bhpc_data[sex],$EC$11,0)*MATCH(bhpc_data[size1],$EC$13,0)),MATCH(ROW(bhpc_data[sku]),ROW(bhpc_data[sku])),""),ROWS($A$15:A144)+$B$3)))),IF($EC$11="",IF($EC$13="",INDEX(bhpc_data[sku],SMALL(IF(ISNUMBER(MATCH(bhpc_data[category],$EC$9,0)),MATCH(ROW(bhpc_data[sku]),ROW(bhpc_data[sku])),""),ROWS($A$15:A144)+$B$3)),INDEX(bhpc_data[sku],SMALL(IF(ISNUMBER(MATCH(bhpc_data[category],$EC$9,0)*MATCH(bhpc_data[size1],$EC$13,0)),MATCH(ROW(bhpc_data[sku]),ROW(bhpc_data[sku])),""),ROWS($A$15:A144)+$B$3))),IF($EC$13="",INDEX(bhpc_data[sku],SMALL(IF(ISNUMBER(MATCH(bhpc_data[category],$EC$9,0)*MATCH(bhpc_data[sex],$EC$11,0)),MATCH(ROW(bhpc_data[sku]),ROW(bhpc_data[sku])),""),ROWS($A$15:A144)+$B$3)),INDEX(bhpc_data[sku],SMALL(IF(ISNUMBER(MATCH(bhpc_data[category],$EC$9,0)*MATCH(bhpc_data[sex],$EC$11,0)*MATCH(bhpc_data[size1],$EC$13,0)),MATCH(ROW(bhpc_data[sku]),ROW(bhpc_data[sku])),""),ROWS($A$15:A144)+$B$3))))),"")</f>
        <v>Y00009</v>
      </c>
      <c r="EF139" s="542" t="str" cm="1">
        <f t="array" ref="EF139">IFERROR(IF($EC$9="",IF($EC$11="",IF($EC$13="",INDEX(bhpc_data[description],SMALL(MATCH(ROW(bhpc_data[sku]),ROW(bhpc_data[sku])),ROWS($A$15:A144)+$B$3)),INDEX(bhpc_data[description],SMALL(IF(ISNUMBER(MATCH(bhpc_data[size1],$EC$13,0)),MATCH(ROW(bhpc_data[sku]),ROW(bhpc_data[sku])),""),ROWS($A$15:A144)+$B$3))),IF($EC$13="",INDEX(bhpc_data[description],SMALL(IF(ISNUMBER(MATCH(bhpc_data[sex],$EC$11,0)),MATCH(ROW(bhpc_data[sku]),ROW(bhpc_data[sku])),""),ROWS($A$15:A144)+$B$3)),INDEX(bhpc_data[description],SMALL(IF(ISNUMBER(MATCH(bhpc_data[sex],$EC$11,0)*MATCH(bhpc_data[size1],$EC$13,0)),MATCH(ROW(bhpc_data[sku]),ROW(bhpc_data[sku])),""),ROWS($A$15:A144)+$B$3)))),IF($EC$11="",IF($EC$13="",INDEX(bhpc_data[description],SMALL(IF(ISNUMBER(MATCH(bhpc_data[category],$EC$9,0)),MATCH(ROW(bhpc_data[sku]),ROW(bhpc_data[sku])),""),ROWS($A$15:A144)+$B$3)),INDEX(bhpc_data[description],SMALL(IF(ISNUMBER(MATCH(bhpc_data[category],$EC$9,0)*MATCH(bhpc_data[size1],$EC$13,0)),MATCH(ROW(bhpc_data[sku]),ROW(bhpc_data[sku])),""),ROWS($A$15:A144)+$B$3))),IF($EC$13="",INDEX(bhpc_data[description],SMALL(IF(ISNUMBER(MATCH(bhpc_data[category],$EC$9,0)*MATCH(bhpc_data[sex],$EC$11,0)),MATCH(ROW(bhpc_data[sku]),ROW(bhpc_data[sku])),""),ROWS($A$15:A144)+$B$3)),INDEX(bhpc_data[description],SMALL(IF(ISNUMBER(MATCH(bhpc_data[category],$EC$9,0)*MATCH(bhpc_data[sex],$EC$11,0)*MATCH(bhpc_data[size1],$EC$13,0)),MATCH(ROW(bhpc_data[sku]),ROW(bhpc_data[sku])),""),ROWS($A$15:A144)+$B$3))))),"")</f>
        <v>YB2313C BHPC SUNGLASSES BLACK/GUN / SOLID GREEN</v>
      </c>
      <c r="EG139" s="543">
        <f>IFERROR(IF('BHPC MANAGER'!$EE139="","",INDEX(inventory[ESISTENZA],MATCH('BHPC MANAGER'!$EE139,inventory[ARTICOLO],0))),0)</f>
        <v>299</v>
      </c>
      <c r="EH139" s="544">
        <v>-30</v>
      </c>
      <c r="EI139" s="544">
        <f t="shared" ref="EI139:EI202" si="14">IF(EE139="","",IFERROR(EG139+EH139,EG139))</f>
        <v>269</v>
      </c>
      <c r="EJ139" s="545">
        <v>0</v>
      </c>
      <c r="EK139" s="546">
        <f t="shared" ref="EK139:EK202" si="15">IF(EE139="","",IFERROR(EI139+EJ139,EI139))</f>
        <v>269</v>
      </c>
    </row>
    <row r="140" spans="63:141" x14ac:dyDescent="0.35">
      <c r="BK140" s="366"/>
      <c r="BL140" s="367"/>
      <c r="BM140" s="368"/>
      <c r="BN140" s="367"/>
      <c r="BO140" s="368"/>
      <c r="EE140" s="547" t="str" cm="1">
        <f t="array" ref="EE140">IFERROR(IF($EC$9="",IF($EC$11="",IF($EC$13="",INDEX(bhpc_data[sku],SMALL(MATCH(ROW(bhpc_data[sku]),ROW(bhpc_data[sku])),ROWS($A$15:A145)+$B$3)),INDEX(bhpc_data[sku],SMALL(IF(ISNUMBER(MATCH(bhpc_data[size1],$EC$13,0)),MATCH(ROW(bhpc_data[sku]),ROW(bhpc_data[sku])),""),ROWS($A$15:A145)+$B$3))),IF($EC$13="",INDEX(bhpc_data[sku],SMALL(IF(ISNUMBER(MATCH(bhpc_data[sex],$EC$11,0)),MATCH(ROW(bhpc_data[sku]),ROW(bhpc_data[sku])),""),ROWS($A$15:A145)+$B$3)),INDEX(bhpc_data[sku],SMALL(IF(ISNUMBER(MATCH(bhpc_data[sex],$EC$11,0)*MATCH(bhpc_data[size1],$EC$13,0)),MATCH(ROW(bhpc_data[sku]),ROW(bhpc_data[sku])),""),ROWS($A$15:A145)+$B$3)))),IF($EC$11="",IF($EC$13="",INDEX(bhpc_data[sku],SMALL(IF(ISNUMBER(MATCH(bhpc_data[category],$EC$9,0)),MATCH(ROW(bhpc_data[sku]),ROW(bhpc_data[sku])),""),ROWS($A$15:A145)+$B$3)),INDEX(bhpc_data[sku],SMALL(IF(ISNUMBER(MATCH(bhpc_data[category],$EC$9,0)*MATCH(bhpc_data[size1],$EC$13,0)),MATCH(ROW(bhpc_data[sku]),ROW(bhpc_data[sku])),""),ROWS($A$15:A145)+$B$3))),IF($EC$13="",INDEX(bhpc_data[sku],SMALL(IF(ISNUMBER(MATCH(bhpc_data[category],$EC$9,0)*MATCH(bhpc_data[sex],$EC$11,0)),MATCH(ROW(bhpc_data[sku]),ROW(bhpc_data[sku])),""),ROWS($A$15:A145)+$B$3)),INDEX(bhpc_data[sku],SMALL(IF(ISNUMBER(MATCH(bhpc_data[category],$EC$9,0)*MATCH(bhpc_data[sex],$EC$11,0)*MATCH(bhpc_data[size1],$EC$13,0)),MATCH(ROW(bhpc_data[sku]),ROW(bhpc_data[sku])),""),ROWS($A$15:A145)+$B$3))))),"")</f>
        <v>Y00010</v>
      </c>
      <c r="EF140" s="548" t="str" cm="1">
        <f t="array" ref="EF140">IFERROR(IF($EC$9="",IF($EC$11="",IF($EC$13="",INDEX(bhpc_data[description],SMALL(MATCH(ROW(bhpc_data[sku]),ROW(bhpc_data[sku])),ROWS($A$15:A145)+$B$3)),INDEX(bhpc_data[description],SMALL(IF(ISNUMBER(MATCH(bhpc_data[size1],$EC$13,0)),MATCH(ROW(bhpc_data[sku]),ROW(bhpc_data[sku])),""),ROWS($A$15:A145)+$B$3))),IF($EC$13="",INDEX(bhpc_data[description],SMALL(IF(ISNUMBER(MATCH(bhpc_data[sex],$EC$11,0)),MATCH(ROW(bhpc_data[sku]),ROW(bhpc_data[sku])),""),ROWS($A$15:A145)+$B$3)),INDEX(bhpc_data[description],SMALL(IF(ISNUMBER(MATCH(bhpc_data[sex],$EC$11,0)*MATCH(bhpc_data[size1],$EC$13,0)),MATCH(ROW(bhpc_data[sku]),ROW(bhpc_data[sku])),""),ROWS($A$15:A145)+$B$3)))),IF($EC$11="",IF($EC$13="",INDEX(bhpc_data[description],SMALL(IF(ISNUMBER(MATCH(bhpc_data[category],$EC$9,0)),MATCH(ROW(bhpc_data[sku]),ROW(bhpc_data[sku])),""),ROWS($A$15:A145)+$B$3)),INDEX(bhpc_data[description],SMALL(IF(ISNUMBER(MATCH(bhpc_data[category],$EC$9,0)*MATCH(bhpc_data[size1],$EC$13,0)),MATCH(ROW(bhpc_data[sku]),ROW(bhpc_data[sku])),""),ROWS($A$15:A145)+$B$3))),IF($EC$13="",INDEX(bhpc_data[description],SMALL(IF(ISNUMBER(MATCH(bhpc_data[category],$EC$9,0)*MATCH(bhpc_data[sex],$EC$11,0)),MATCH(ROW(bhpc_data[sku]),ROW(bhpc_data[sku])),""),ROWS($A$15:A145)+$B$3)),INDEX(bhpc_data[description],SMALL(IF(ISNUMBER(MATCH(bhpc_data[category],$EC$9,0)*MATCH(bhpc_data[sex],$EC$11,0)*MATCH(bhpc_data[size1],$EC$13,0)),MATCH(ROW(bhpc_data[sku]),ROW(bhpc_data[sku])),""),ROWS($A$15:A145)+$B$3))))),"")</f>
        <v>YB2314A BHPC SUNGLASSES MATT BLACK / SOLID GREEN</v>
      </c>
      <c r="EG140" s="549">
        <f>IFERROR(IF('BHPC MANAGER'!$EE140="","",INDEX(inventory[ESISTENZA],MATCH('BHPC MANAGER'!$EE140,inventory[ARTICOLO],0))),0)</f>
        <v>99</v>
      </c>
      <c r="EH140" s="550">
        <v>0</v>
      </c>
      <c r="EI140" s="550">
        <f t="shared" si="14"/>
        <v>99</v>
      </c>
      <c r="EJ140" s="551">
        <v>0</v>
      </c>
      <c r="EK140" s="552">
        <f t="shared" si="15"/>
        <v>99</v>
      </c>
    </row>
    <row r="141" spans="63:141" x14ac:dyDescent="0.35">
      <c r="BK141" s="366"/>
      <c r="BL141" s="367"/>
      <c r="BM141" s="368"/>
      <c r="BN141" s="367"/>
      <c r="BO141" s="368"/>
      <c r="EE141" s="541" t="str" cm="1">
        <f t="array" ref="EE141">IFERROR(IF($EC$9="",IF($EC$11="",IF($EC$13="",INDEX(bhpc_data[sku],SMALL(MATCH(ROW(bhpc_data[sku]),ROW(bhpc_data[sku])),ROWS($A$15:A146)+$B$3)),INDEX(bhpc_data[sku],SMALL(IF(ISNUMBER(MATCH(bhpc_data[size1],$EC$13,0)),MATCH(ROW(bhpc_data[sku]),ROW(bhpc_data[sku])),""),ROWS($A$15:A146)+$B$3))),IF($EC$13="",INDEX(bhpc_data[sku],SMALL(IF(ISNUMBER(MATCH(bhpc_data[sex],$EC$11,0)),MATCH(ROW(bhpc_data[sku]),ROW(bhpc_data[sku])),""),ROWS($A$15:A146)+$B$3)),INDEX(bhpc_data[sku],SMALL(IF(ISNUMBER(MATCH(bhpc_data[sex],$EC$11,0)*MATCH(bhpc_data[size1],$EC$13,0)),MATCH(ROW(bhpc_data[sku]),ROW(bhpc_data[sku])),""),ROWS($A$15:A146)+$B$3)))),IF($EC$11="",IF($EC$13="",INDEX(bhpc_data[sku],SMALL(IF(ISNUMBER(MATCH(bhpc_data[category],$EC$9,0)),MATCH(ROW(bhpc_data[sku]),ROW(bhpc_data[sku])),""),ROWS($A$15:A146)+$B$3)),INDEX(bhpc_data[sku],SMALL(IF(ISNUMBER(MATCH(bhpc_data[category],$EC$9,0)*MATCH(bhpc_data[size1],$EC$13,0)),MATCH(ROW(bhpc_data[sku]),ROW(bhpc_data[sku])),""),ROWS($A$15:A146)+$B$3))),IF($EC$13="",INDEX(bhpc_data[sku],SMALL(IF(ISNUMBER(MATCH(bhpc_data[category],$EC$9,0)*MATCH(bhpc_data[sex],$EC$11,0)),MATCH(ROW(bhpc_data[sku]),ROW(bhpc_data[sku])),""),ROWS($A$15:A146)+$B$3)),INDEX(bhpc_data[sku],SMALL(IF(ISNUMBER(MATCH(bhpc_data[category],$EC$9,0)*MATCH(bhpc_data[sex],$EC$11,0)*MATCH(bhpc_data[size1],$EC$13,0)),MATCH(ROW(bhpc_data[sku]),ROW(bhpc_data[sku])),""),ROWS($A$15:A146)+$B$3))))),"")</f>
        <v>Y00011</v>
      </c>
      <c r="EF141" s="542" t="str" cm="1">
        <f t="array" ref="EF141">IFERROR(IF($EC$9="",IF($EC$11="",IF($EC$13="",INDEX(bhpc_data[description],SMALL(MATCH(ROW(bhpc_data[sku]),ROW(bhpc_data[sku])),ROWS($A$15:A146)+$B$3)),INDEX(bhpc_data[description],SMALL(IF(ISNUMBER(MATCH(bhpc_data[size1],$EC$13,0)),MATCH(ROW(bhpc_data[sku]),ROW(bhpc_data[sku])),""),ROWS($A$15:A146)+$B$3))),IF($EC$13="",INDEX(bhpc_data[description],SMALL(IF(ISNUMBER(MATCH(bhpc_data[sex],$EC$11,0)),MATCH(ROW(bhpc_data[sku]),ROW(bhpc_data[sku])),""),ROWS($A$15:A146)+$B$3)),INDEX(bhpc_data[description],SMALL(IF(ISNUMBER(MATCH(bhpc_data[sex],$EC$11,0)*MATCH(bhpc_data[size1],$EC$13,0)),MATCH(ROW(bhpc_data[sku]),ROW(bhpc_data[sku])),""),ROWS($A$15:A146)+$B$3)))),IF($EC$11="",IF($EC$13="",INDEX(bhpc_data[description],SMALL(IF(ISNUMBER(MATCH(bhpc_data[category],$EC$9,0)),MATCH(ROW(bhpc_data[sku]),ROW(bhpc_data[sku])),""),ROWS($A$15:A146)+$B$3)),INDEX(bhpc_data[description],SMALL(IF(ISNUMBER(MATCH(bhpc_data[category],$EC$9,0)*MATCH(bhpc_data[size1],$EC$13,0)),MATCH(ROW(bhpc_data[sku]),ROW(bhpc_data[sku])),""),ROWS($A$15:A146)+$B$3))),IF($EC$13="",INDEX(bhpc_data[description],SMALL(IF(ISNUMBER(MATCH(bhpc_data[category],$EC$9,0)*MATCH(bhpc_data[sex],$EC$11,0)),MATCH(ROW(bhpc_data[sku]),ROW(bhpc_data[sku])),""),ROWS($A$15:A146)+$B$3)),INDEX(bhpc_data[description],SMALL(IF(ISNUMBER(MATCH(bhpc_data[category],$EC$9,0)*MATCH(bhpc_data[sex],$EC$11,0)*MATCH(bhpc_data[size1],$EC$13,0)),MATCH(ROW(bhpc_data[sku]),ROW(bhpc_data[sku])),""),ROWS($A$15:A146)+$B$3))))),"")</f>
        <v>YB2314B BHPC SUNGLASSES MATT BLACK / SOLID GREY</v>
      </c>
      <c r="EG141" s="543">
        <f>IFERROR(IF('BHPC MANAGER'!$EE141="","",INDEX(inventory[ESISTENZA],MATCH('BHPC MANAGER'!$EE141,inventory[ARTICOLO],0))),0)</f>
        <v>99</v>
      </c>
      <c r="EH141" s="544">
        <v>0</v>
      </c>
      <c r="EI141" s="544">
        <f t="shared" si="14"/>
        <v>99</v>
      </c>
      <c r="EJ141" s="545">
        <v>0</v>
      </c>
      <c r="EK141" s="546">
        <f t="shared" si="15"/>
        <v>99</v>
      </c>
    </row>
    <row r="142" spans="63:141" x14ac:dyDescent="0.35">
      <c r="BK142" s="366"/>
      <c r="BL142" s="367"/>
      <c r="BM142" s="368"/>
      <c r="BN142" s="367"/>
      <c r="BO142" s="368"/>
      <c r="EE142" s="547" t="str" cm="1">
        <f t="array" ref="EE142">IFERROR(IF($EC$9="",IF($EC$11="",IF($EC$13="",INDEX(bhpc_data[sku],SMALL(MATCH(ROW(bhpc_data[sku]),ROW(bhpc_data[sku])),ROWS($A$15:A147)+$B$3)),INDEX(bhpc_data[sku],SMALL(IF(ISNUMBER(MATCH(bhpc_data[size1],$EC$13,0)),MATCH(ROW(bhpc_data[sku]),ROW(bhpc_data[sku])),""),ROWS($A$15:A147)+$B$3))),IF($EC$13="",INDEX(bhpc_data[sku],SMALL(IF(ISNUMBER(MATCH(bhpc_data[sex],$EC$11,0)),MATCH(ROW(bhpc_data[sku]),ROW(bhpc_data[sku])),""),ROWS($A$15:A147)+$B$3)),INDEX(bhpc_data[sku],SMALL(IF(ISNUMBER(MATCH(bhpc_data[sex],$EC$11,0)*MATCH(bhpc_data[size1],$EC$13,0)),MATCH(ROW(bhpc_data[sku]),ROW(bhpc_data[sku])),""),ROWS($A$15:A147)+$B$3)))),IF($EC$11="",IF($EC$13="",INDEX(bhpc_data[sku],SMALL(IF(ISNUMBER(MATCH(bhpc_data[category],$EC$9,0)),MATCH(ROW(bhpc_data[sku]),ROW(bhpc_data[sku])),""),ROWS($A$15:A147)+$B$3)),INDEX(bhpc_data[sku],SMALL(IF(ISNUMBER(MATCH(bhpc_data[category],$EC$9,0)*MATCH(bhpc_data[size1],$EC$13,0)),MATCH(ROW(bhpc_data[sku]),ROW(bhpc_data[sku])),""),ROWS($A$15:A147)+$B$3))),IF($EC$13="",INDEX(bhpc_data[sku],SMALL(IF(ISNUMBER(MATCH(bhpc_data[category],$EC$9,0)*MATCH(bhpc_data[sex],$EC$11,0)),MATCH(ROW(bhpc_data[sku]),ROW(bhpc_data[sku])),""),ROWS($A$15:A147)+$B$3)),INDEX(bhpc_data[sku],SMALL(IF(ISNUMBER(MATCH(bhpc_data[category],$EC$9,0)*MATCH(bhpc_data[sex],$EC$11,0)*MATCH(bhpc_data[size1],$EC$13,0)),MATCH(ROW(bhpc_data[sku]),ROW(bhpc_data[sku])),""),ROWS($A$15:A147)+$B$3))))),"")</f>
        <v>Y00012</v>
      </c>
      <c r="EF142" s="548" t="str" cm="1">
        <f t="array" ref="EF142">IFERROR(IF($EC$9="",IF($EC$11="",IF($EC$13="",INDEX(bhpc_data[description],SMALL(MATCH(ROW(bhpc_data[sku]),ROW(bhpc_data[sku])),ROWS($A$15:A147)+$B$3)),INDEX(bhpc_data[description],SMALL(IF(ISNUMBER(MATCH(bhpc_data[size1],$EC$13,0)),MATCH(ROW(bhpc_data[sku]),ROW(bhpc_data[sku])),""),ROWS($A$15:A147)+$B$3))),IF($EC$13="",INDEX(bhpc_data[description],SMALL(IF(ISNUMBER(MATCH(bhpc_data[sex],$EC$11,0)),MATCH(ROW(bhpc_data[sku]),ROW(bhpc_data[sku])),""),ROWS($A$15:A147)+$B$3)),INDEX(bhpc_data[description],SMALL(IF(ISNUMBER(MATCH(bhpc_data[sex],$EC$11,0)*MATCH(bhpc_data[size1],$EC$13,0)),MATCH(ROW(bhpc_data[sku]),ROW(bhpc_data[sku])),""),ROWS($A$15:A147)+$B$3)))),IF($EC$11="",IF($EC$13="",INDEX(bhpc_data[description],SMALL(IF(ISNUMBER(MATCH(bhpc_data[category],$EC$9,0)),MATCH(ROW(bhpc_data[sku]),ROW(bhpc_data[sku])),""),ROWS($A$15:A147)+$B$3)),INDEX(bhpc_data[description],SMALL(IF(ISNUMBER(MATCH(bhpc_data[category],$EC$9,0)*MATCH(bhpc_data[size1],$EC$13,0)),MATCH(ROW(bhpc_data[sku]),ROW(bhpc_data[sku])),""),ROWS($A$15:A147)+$B$3))),IF($EC$13="",INDEX(bhpc_data[description],SMALL(IF(ISNUMBER(MATCH(bhpc_data[category],$EC$9,0)*MATCH(bhpc_data[sex],$EC$11,0)),MATCH(ROW(bhpc_data[sku]),ROW(bhpc_data[sku])),""),ROWS($A$15:A147)+$B$3)),INDEX(bhpc_data[description],SMALL(IF(ISNUMBER(MATCH(bhpc_data[category],$EC$9,0)*MATCH(bhpc_data[sex],$EC$11,0)*MATCH(bhpc_data[size1],$EC$13,0)),MATCH(ROW(bhpc_data[sku]),ROW(bhpc_data[sku])),""),ROWS($A$15:A147)+$B$3))))),"")</f>
        <v>YB2314C BHPC SUNGLASSES BLACK / HIGH TRANSMIT YELLOW</v>
      </c>
      <c r="EG142" s="549">
        <f>IFERROR(IF('BHPC MANAGER'!$EE142="","",INDEX(inventory[ESISTENZA],MATCH('BHPC MANAGER'!$EE142,inventory[ARTICOLO],0))),0)</f>
        <v>199</v>
      </c>
      <c r="EH142" s="550">
        <v>-30</v>
      </c>
      <c r="EI142" s="550">
        <f t="shared" si="14"/>
        <v>169</v>
      </c>
      <c r="EJ142" s="551">
        <v>0</v>
      </c>
      <c r="EK142" s="552">
        <f t="shared" si="15"/>
        <v>169</v>
      </c>
    </row>
    <row r="143" spans="63:141" x14ac:dyDescent="0.35">
      <c r="BK143" s="366"/>
      <c r="BL143" s="367"/>
      <c r="BM143" s="368"/>
      <c r="BN143" s="367"/>
      <c r="BO143" s="368"/>
      <c r="EE143" s="541" t="str" cm="1">
        <f t="array" ref="EE143">IFERROR(IF($EC$9="",IF($EC$11="",IF($EC$13="",INDEX(bhpc_data[sku],SMALL(MATCH(ROW(bhpc_data[sku]),ROW(bhpc_data[sku])),ROWS($A$15:A148)+$B$3)),INDEX(bhpc_data[sku],SMALL(IF(ISNUMBER(MATCH(bhpc_data[size1],$EC$13,0)),MATCH(ROW(bhpc_data[sku]),ROW(bhpc_data[sku])),""),ROWS($A$15:A148)+$B$3))),IF($EC$13="",INDEX(bhpc_data[sku],SMALL(IF(ISNUMBER(MATCH(bhpc_data[sex],$EC$11,0)),MATCH(ROW(bhpc_data[sku]),ROW(bhpc_data[sku])),""),ROWS($A$15:A148)+$B$3)),INDEX(bhpc_data[sku],SMALL(IF(ISNUMBER(MATCH(bhpc_data[sex],$EC$11,0)*MATCH(bhpc_data[size1],$EC$13,0)),MATCH(ROW(bhpc_data[sku]),ROW(bhpc_data[sku])),""),ROWS($A$15:A148)+$B$3)))),IF($EC$11="",IF($EC$13="",INDEX(bhpc_data[sku],SMALL(IF(ISNUMBER(MATCH(bhpc_data[category],$EC$9,0)),MATCH(ROW(bhpc_data[sku]),ROW(bhpc_data[sku])),""),ROWS($A$15:A148)+$B$3)),INDEX(bhpc_data[sku],SMALL(IF(ISNUMBER(MATCH(bhpc_data[category],$EC$9,0)*MATCH(bhpc_data[size1],$EC$13,0)),MATCH(ROW(bhpc_data[sku]),ROW(bhpc_data[sku])),""),ROWS($A$15:A148)+$B$3))),IF($EC$13="",INDEX(bhpc_data[sku],SMALL(IF(ISNUMBER(MATCH(bhpc_data[category],$EC$9,0)*MATCH(bhpc_data[sex],$EC$11,0)),MATCH(ROW(bhpc_data[sku]),ROW(bhpc_data[sku])),""),ROWS($A$15:A148)+$B$3)),INDEX(bhpc_data[sku],SMALL(IF(ISNUMBER(MATCH(bhpc_data[category],$EC$9,0)*MATCH(bhpc_data[sex],$EC$11,0)*MATCH(bhpc_data[size1],$EC$13,0)),MATCH(ROW(bhpc_data[sku]),ROW(bhpc_data[sku])),""),ROWS($A$15:A148)+$B$3))))),"")</f>
        <v>Y00013</v>
      </c>
      <c r="EF143" s="542" t="str" cm="1">
        <f t="array" ref="EF143">IFERROR(IF($EC$9="",IF($EC$11="",IF($EC$13="",INDEX(bhpc_data[description],SMALL(MATCH(ROW(bhpc_data[sku]),ROW(bhpc_data[sku])),ROWS($A$15:A148)+$B$3)),INDEX(bhpc_data[description],SMALL(IF(ISNUMBER(MATCH(bhpc_data[size1],$EC$13,0)),MATCH(ROW(bhpc_data[sku]),ROW(bhpc_data[sku])),""),ROWS($A$15:A148)+$B$3))),IF($EC$13="",INDEX(bhpc_data[description],SMALL(IF(ISNUMBER(MATCH(bhpc_data[sex],$EC$11,0)),MATCH(ROW(bhpc_data[sku]),ROW(bhpc_data[sku])),""),ROWS($A$15:A148)+$B$3)),INDEX(bhpc_data[description],SMALL(IF(ISNUMBER(MATCH(bhpc_data[sex],$EC$11,0)*MATCH(bhpc_data[size1],$EC$13,0)),MATCH(ROW(bhpc_data[sku]),ROW(bhpc_data[sku])),""),ROWS($A$15:A148)+$B$3)))),IF($EC$11="",IF($EC$13="",INDEX(bhpc_data[description],SMALL(IF(ISNUMBER(MATCH(bhpc_data[category],$EC$9,0)),MATCH(ROW(bhpc_data[sku]),ROW(bhpc_data[sku])),""),ROWS($A$15:A148)+$B$3)),INDEX(bhpc_data[description],SMALL(IF(ISNUMBER(MATCH(bhpc_data[category],$EC$9,0)*MATCH(bhpc_data[size1],$EC$13,0)),MATCH(ROW(bhpc_data[sku]),ROW(bhpc_data[sku])),""),ROWS($A$15:A148)+$B$3))),IF($EC$13="",INDEX(bhpc_data[description],SMALL(IF(ISNUMBER(MATCH(bhpc_data[category],$EC$9,0)*MATCH(bhpc_data[sex],$EC$11,0)),MATCH(ROW(bhpc_data[sku]),ROW(bhpc_data[sku])),""),ROWS($A$15:A148)+$B$3)),INDEX(bhpc_data[description],SMALL(IF(ISNUMBER(MATCH(bhpc_data[category],$EC$9,0)*MATCH(bhpc_data[sex],$EC$11,0)*MATCH(bhpc_data[size1],$EC$13,0)),MATCH(ROW(bhpc_data[sku]),ROW(bhpc_data[sku])),""),ROWS($A$15:A148)+$B$3))))),"")</f>
        <v>YB1304A BHPC SUNGLASSES GUN/TRANSP.GREY/GRADIENT GREY</v>
      </c>
      <c r="EG143" s="543">
        <f>IFERROR(IF('BHPC MANAGER'!$EE143="","",INDEX(inventory[ESISTENZA],MATCH('BHPC MANAGER'!$EE143,inventory[ARTICOLO],0))),0)</f>
        <v>199</v>
      </c>
      <c r="EH143" s="544">
        <v>-30</v>
      </c>
      <c r="EI143" s="544">
        <f t="shared" si="14"/>
        <v>169</v>
      </c>
      <c r="EJ143" s="545">
        <v>0</v>
      </c>
      <c r="EK143" s="546">
        <f t="shared" si="15"/>
        <v>169</v>
      </c>
    </row>
    <row r="144" spans="63:141" x14ac:dyDescent="0.35">
      <c r="BK144" s="366"/>
      <c r="BL144" s="367"/>
      <c r="BM144" s="368"/>
      <c r="BN144" s="367"/>
      <c r="BO144" s="368"/>
      <c r="EE144" s="547" t="str" cm="1">
        <f t="array" ref="EE144">IFERROR(IF($EC$9="",IF($EC$11="",IF($EC$13="",INDEX(bhpc_data[sku],SMALL(MATCH(ROW(bhpc_data[sku]),ROW(bhpc_data[sku])),ROWS($A$15:A149)+$B$3)),INDEX(bhpc_data[sku],SMALL(IF(ISNUMBER(MATCH(bhpc_data[size1],$EC$13,0)),MATCH(ROW(bhpc_data[sku]),ROW(bhpc_data[sku])),""),ROWS($A$15:A149)+$B$3))),IF($EC$13="",INDEX(bhpc_data[sku],SMALL(IF(ISNUMBER(MATCH(bhpc_data[sex],$EC$11,0)),MATCH(ROW(bhpc_data[sku]),ROW(bhpc_data[sku])),""),ROWS($A$15:A149)+$B$3)),INDEX(bhpc_data[sku],SMALL(IF(ISNUMBER(MATCH(bhpc_data[sex],$EC$11,0)*MATCH(bhpc_data[size1],$EC$13,0)),MATCH(ROW(bhpc_data[sku]),ROW(bhpc_data[sku])),""),ROWS($A$15:A149)+$B$3)))),IF($EC$11="",IF($EC$13="",INDEX(bhpc_data[sku],SMALL(IF(ISNUMBER(MATCH(bhpc_data[category],$EC$9,0)),MATCH(ROW(bhpc_data[sku]),ROW(bhpc_data[sku])),""),ROWS($A$15:A149)+$B$3)),INDEX(bhpc_data[sku],SMALL(IF(ISNUMBER(MATCH(bhpc_data[category],$EC$9,0)*MATCH(bhpc_data[size1],$EC$13,0)),MATCH(ROW(bhpc_data[sku]),ROW(bhpc_data[sku])),""),ROWS($A$15:A149)+$B$3))),IF($EC$13="",INDEX(bhpc_data[sku],SMALL(IF(ISNUMBER(MATCH(bhpc_data[category],$EC$9,0)*MATCH(bhpc_data[sex],$EC$11,0)),MATCH(ROW(bhpc_data[sku]),ROW(bhpc_data[sku])),""),ROWS($A$15:A149)+$B$3)),INDEX(bhpc_data[sku],SMALL(IF(ISNUMBER(MATCH(bhpc_data[category],$EC$9,0)*MATCH(bhpc_data[sex],$EC$11,0)*MATCH(bhpc_data[size1],$EC$13,0)),MATCH(ROW(bhpc_data[sku]),ROW(bhpc_data[sku])),""),ROWS($A$15:A149)+$B$3))))),"")</f>
        <v>Y00014</v>
      </c>
      <c r="EF144" s="548" t="str" cm="1">
        <f t="array" ref="EF144">IFERROR(IF($EC$9="",IF($EC$11="",IF($EC$13="",INDEX(bhpc_data[description],SMALL(MATCH(ROW(bhpc_data[sku]),ROW(bhpc_data[sku])),ROWS($A$15:A149)+$B$3)),INDEX(bhpc_data[description],SMALL(IF(ISNUMBER(MATCH(bhpc_data[size1],$EC$13,0)),MATCH(ROW(bhpc_data[sku]),ROW(bhpc_data[sku])),""),ROWS($A$15:A149)+$B$3))),IF($EC$13="",INDEX(bhpc_data[description],SMALL(IF(ISNUMBER(MATCH(bhpc_data[sex],$EC$11,0)),MATCH(ROW(bhpc_data[sku]),ROW(bhpc_data[sku])),""),ROWS($A$15:A149)+$B$3)),INDEX(bhpc_data[description],SMALL(IF(ISNUMBER(MATCH(bhpc_data[sex],$EC$11,0)*MATCH(bhpc_data[size1],$EC$13,0)),MATCH(ROW(bhpc_data[sku]),ROW(bhpc_data[sku])),""),ROWS($A$15:A149)+$B$3)))),IF($EC$11="",IF($EC$13="",INDEX(bhpc_data[description],SMALL(IF(ISNUMBER(MATCH(bhpc_data[category],$EC$9,0)),MATCH(ROW(bhpc_data[sku]),ROW(bhpc_data[sku])),""),ROWS($A$15:A149)+$B$3)),INDEX(bhpc_data[description],SMALL(IF(ISNUMBER(MATCH(bhpc_data[category],$EC$9,0)*MATCH(bhpc_data[size1],$EC$13,0)),MATCH(ROW(bhpc_data[sku]),ROW(bhpc_data[sku])),""),ROWS($A$15:A149)+$B$3))),IF($EC$13="",INDEX(bhpc_data[description],SMALL(IF(ISNUMBER(MATCH(bhpc_data[category],$EC$9,0)*MATCH(bhpc_data[sex],$EC$11,0)),MATCH(ROW(bhpc_data[sku]),ROW(bhpc_data[sku])),""),ROWS($A$15:A149)+$B$3)),INDEX(bhpc_data[description],SMALL(IF(ISNUMBER(MATCH(bhpc_data[category],$EC$9,0)*MATCH(bhpc_data[sex],$EC$11,0)*MATCH(bhpc_data[size1],$EC$13,0)),MATCH(ROW(bhpc_data[sku]),ROW(bhpc_data[sku])),""),ROWS($A$15:A149)+$B$3))))),"")</f>
        <v>YB1304B BHPC SUNGLASSES GOLD/TRANSP.OLIVEGRADIENT CLAY</v>
      </c>
      <c r="EG144" s="549">
        <f>IFERROR(IF('BHPC MANAGER'!$EE144="","",INDEX(inventory[ESISTENZA],MATCH('BHPC MANAGER'!$EE144,inventory[ARTICOLO],0))),0)</f>
        <v>199</v>
      </c>
      <c r="EH144" s="550">
        <v>-30</v>
      </c>
      <c r="EI144" s="550">
        <f t="shared" si="14"/>
        <v>169</v>
      </c>
      <c r="EJ144" s="551">
        <v>0</v>
      </c>
      <c r="EK144" s="552">
        <f t="shared" si="15"/>
        <v>169</v>
      </c>
    </row>
    <row r="145" spans="63:141" x14ac:dyDescent="0.35">
      <c r="BK145" s="366"/>
      <c r="BL145" s="367"/>
      <c r="BM145" s="368"/>
      <c r="BN145" s="367"/>
      <c r="BO145" s="368"/>
      <c r="EE145" s="541" t="str" cm="1">
        <f t="array" ref="EE145">IFERROR(IF($EC$9="",IF($EC$11="",IF($EC$13="",INDEX(bhpc_data[sku],SMALL(MATCH(ROW(bhpc_data[sku]),ROW(bhpc_data[sku])),ROWS($A$15:A150)+$B$3)),INDEX(bhpc_data[sku],SMALL(IF(ISNUMBER(MATCH(bhpc_data[size1],$EC$13,0)),MATCH(ROW(bhpc_data[sku]),ROW(bhpc_data[sku])),""),ROWS($A$15:A150)+$B$3))),IF($EC$13="",INDEX(bhpc_data[sku],SMALL(IF(ISNUMBER(MATCH(bhpc_data[sex],$EC$11,0)),MATCH(ROW(bhpc_data[sku]),ROW(bhpc_data[sku])),""),ROWS($A$15:A150)+$B$3)),INDEX(bhpc_data[sku],SMALL(IF(ISNUMBER(MATCH(bhpc_data[sex],$EC$11,0)*MATCH(bhpc_data[size1],$EC$13,0)),MATCH(ROW(bhpc_data[sku]),ROW(bhpc_data[sku])),""),ROWS($A$15:A150)+$B$3)))),IF($EC$11="",IF($EC$13="",INDEX(bhpc_data[sku],SMALL(IF(ISNUMBER(MATCH(bhpc_data[category],$EC$9,0)),MATCH(ROW(bhpc_data[sku]),ROW(bhpc_data[sku])),""),ROWS($A$15:A150)+$B$3)),INDEX(bhpc_data[sku],SMALL(IF(ISNUMBER(MATCH(bhpc_data[category],$EC$9,0)*MATCH(bhpc_data[size1],$EC$13,0)),MATCH(ROW(bhpc_data[sku]),ROW(bhpc_data[sku])),""),ROWS($A$15:A150)+$B$3))),IF($EC$13="",INDEX(bhpc_data[sku],SMALL(IF(ISNUMBER(MATCH(bhpc_data[category],$EC$9,0)*MATCH(bhpc_data[sex],$EC$11,0)),MATCH(ROW(bhpc_data[sku]),ROW(bhpc_data[sku])),""),ROWS($A$15:A150)+$B$3)),INDEX(bhpc_data[sku],SMALL(IF(ISNUMBER(MATCH(bhpc_data[category],$EC$9,0)*MATCH(bhpc_data[sex],$EC$11,0)*MATCH(bhpc_data[size1],$EC$13,0)),MATCH(ROW(bhpc_data[sku]),ROW(bhpc_data[sku])),""),ROWS($A$15:A150)+$B$3))))),"")</f>
        <v>Y00015</v>
      </c>
      <c r="EF145" s="542" t="str" cm="1">
        <f t="array" ref="EF145">IFERROR(IF($EC$9="",IF($EC$11="",IF($EC$13="",INDEX(bhpc_data[description],SMALL(MATCH(ROW(bhpc_data[sku]),ROW(bhpc_data[sku])),ROWS($A$15:A150)+$B$3)),INDEX(bhpc_data[description],SMALL(IF(ISNUMBER(MATCH(bhpc_data[size1],$EC$13,0)),MATCH(ROW(bhpc_data[sku]),ROW(bhpc_data[sku])),""),ROWS($A$15:A150)+$B$3))),IF($EC$13="",INDEX(bhpc_data[description],SMALL(IF(ISNUMBER(MATCH(bhpc_data[sex],$EC$11,0)),MATCH(ROW(bhpc_data[sku]),ROW(bhpc_data[sku])),""),ROWS($A$15:A150)+$B$3)),INDEX(bhpc_data[description],SMALL(IF(ISNUMBER(MATCH(bhpc_data[sex],$EC$11,0)*MATCH(bhpc_data[size1],$EC$13,0)),MATCH(ROW(bhpc_data[sku]),ROW(bhpc_data[sku])),""),ROWS($A$15:A150)+$B$3)))),IF($EC$11="",IF($EC$13="",INDEX(bhpc_data[description],SMALL(IF(ISNUMBER(MATCH(bhpc_data[category],$EC$9,0)),MATCH(ROW(bhpc_data[sku]),ROW(bhpc_data[sku])),""),ROWS($A$15:A150)+$B$3)),INDEX(bhpc_data[description],SMALL(IF(ISNUMBER(MATCH(bhpc_data[category],$EC$9,0)*MATCH(bhpc_data[size1],$EC$13,0)),MATCH(ROW(bhpc_data[sku]),ROW(bhpc_data[sku])),""),ROWS($A$15:A150)+$B$3))),IF($EC$13="",INDEX(bhpc_data[description],SMALL(IF(ISNUMBER(MATCH(bhpc_data[category],$EC$9,0)*MATCH(bhpc_data[sex],$EC$11,0)),MATCH(ROW(bhpc_data[sku]),ROW(bhpc_data[sku])),""),ROWS($A$15:A150)+$B$3)),INDEX(bhpc_data[description],SMALL(IF(ISNUMBER(MATCH(bhpc_data[category],$EC$9,0)*MATCH(bhpc_data[sex],$EC$11,0)*MATCH(bhpc_data[size1],$EC$13,0)),MATCH(ROW(bhpc_data[sku]),ROW(bhpc_data[sku])),""),ROWS($A$15:A150)+$B$3))))),"")</f>
        <v>YB1304C BHPC SUNGLASSES GUN/TRANSP. BLUE/GRADIENT BLU</v>
      </c>
      <c r="EG145" s="543">
        <f>IFERROR(IF('BHPC MANAGER'!$EE145="","",INDEX(inventory[ESISTENZA],MATCH('BHPC MANAGER'!$EE145,inventory[ARTICOLO],0))),0)</f>
        <v>199</v>
      </c>
      <c r="EH145" s="544">
        <v>-30</v>
      </c>
      <c r="EI145" s="544">
        <f t="shared" si="14"/>
        <v>169</v>
      </c>
      <c r="EJ145" s="545">
        <v>0</v>
      </c>
      <c r="EK145" s="546">
        <f t="shared" si="15"/>
        <v>169</v>
      </c>
    </row>
    <row r="146" spans="63:141" x14ac:dyDescent="0.35">
      <c r="BK146" s="366"/>
      <c r="BL146" s="367"/>
      <c r="BM146" s="368"/>
      <c r="BN146" s="367"/>
      <c r="BO146" s="368"/>
      <c r="EE146" s="547" t="str" cm="1">
        <f t="array" ref="EE146">IFERROR(IF($EC$9="",IF($EC$11="",IF($EC$13="",INDEX(bhpc_data[sku],SMALL(MATCH(ROW(bhpc_data[sku]),ROW(bhpc_data[sku])),ROWS($A$15:A151)+$B$3)),INDEX(bhpc_data[sku],SMALL(IF(ISNUMBER(MATCH(bhpc_data[size1],$EC$13,0)),MATCH(ROW(bhpc_data[sku]),ROW(bhpc_data[sku])),""),ROWS($A$15:A151)+$B$3))),IF($EC$13="",INDEX(bhpc_data[sku],SMALL(IF(ISNUMBER(MATCH(bhpc_data[sex],$EC$11,0)),MATCH(ROW(bhpc_data[sku]),ROW(bhpc_data[sku])),""),ROWS($A$15:A151)+$B$3)),INDEX(bhpc_data[sku],SMALL(IF(ISNUMBER(MATCH(bhpc_data[sex],$EC$11,0)*MATCH(bhpc_data[size1],$EC$13,0)),MATCH(ROW(bhpc_data[sku]),ROW(bhpc_data[sku])),""),ROWS($A$15:A151)+$B$3)))),IF($EC$11="",IF($EC$13="",INDEX(bhpc_data[sku],SMALL(IF(ISNUMBER(MATCH(bhpc_data[category],$EC$9,0)),MATCH(ROW(bhpc_data[sku]),ROW(bhpc_data[sku])),""),ROWS($A$15:A151)+$B$3)),INDEX(bhpc_data[sku],SMALL(IF(ISNUMBER(MATCH(bhpc_data[category],$EC$9,0)*MATCH(bhpc_data[size1],$EC$13,0)),MATCH(ROW(bhpc_data[sku]),ROW(bhpc_data[sku])),""),ROWS($A$15:A151)+$B$3))),IF($EC$13="",INDEX(bhpc_data[sku],SMALL(IF(ISNUMBER(MATCH(bhpc_data[category],$EC$9,0)*MATCH(bhpc_data[sex],$EC$11,0)),MATCH(ROW(bhpc_data[sku]),ROW(bhpc_data[sku])),""),ROWS($A$15:A151)+$B$3)),INDEX(bhpc_data[sku],SMALL(IF(ISNUMBER(MATCH(bhpc_data[category],$EC$9,0)*MATCH(bhpc_data[sex],$EC$11,0)*MATCH(bhpc_data[size1],$EC$13,0)),MATCH(ROW(bhpc_data[sku]),ROW(bhpc_data[sku])),""),ROWS($A$15:A151)+$B$3))))),"")</f>
        <v>Y00016</v>
      </c>
      <c r="EF146" s="548" t="str" cm="1">
        <f t="array" ref="EF146">IFERROR(IF($EC$9="",IF($EC$11="",IF($EC$13="",INDEX(bhpc_data[description],SMALL(MATCH(ROW(bhpc_data[sku]),ROW(bhpc_data[sku])),ROWS($A$15:A151)+$B$3)),INDEX(bhpc_data[description],SMALL(IF(ISNUMBER(MATCH(bhpc_data[size1],$EC$13,0)),MATCH(ROW(bhpc_data[sku]),ROW(bhpc_data[sku])),""),ROWS($A$15:A151)+$B$3))),IF($EC$13="",INDEX(bhpc_data[description],SMALL(IF(ISNUMBER(MATCH(bhpc_data[sex],$EC$11,0)),MATCH(ROW(bhpc_data[sku]),ROW(bhpc_data[sku])),""),ROWS($A$15:A151)+$B$3)),INDEX(bhpc_data[description],SMALL(IF(ISNUMBER(MATCH(bhpc_data[sex],$EC$11,0)*MATCH(bhpc_data[size1],$EC$13,0)),MATCH(ROW(bhpc_data[sku]),ROW(bhpc_data[sku])),""),ROWS($A$15:A151)+$B$3)))),IF($EC$11="",IF($EC$13="",INDEX(bhpc_data[description],SMALL(IF(ISNUMBER(MATCH(bhpc_data[category],$EC$9,0)),MATCH(ROW(bhpc_data[sku]),ROW(bhpc_data[sku])),""),ROWS($A$15:A151)+$B$3)),INDEX(bhpc_data[description],SMALL(IF(ISNUMBER(MATCH(bhpc_data[category],$EC$9,0)*MATCH(bhpc_data[size1],$EC$13,0)),MATCH(ROW(bhpc_data[sku]),ROW(bhpc_data[sku])),""),ROWS($A$15:A151)+$B$3))),IF($EC$13="",INDEX(bhpc_data[description],SMALL(IF(ISNUMBER(MATCH(bhpc_data[category],$EC$9,0)*MATCH(bhpc_data[sex],$EC$11,0)),MATCH(ROW(bhpc_data[sku]),ROW(bhpc_data[sku])),""),ROWS($A$15:A151)+$B$3)),INDEX(bhpc_data[description],SMALL(IF(ISNUMBER(MATCH(bhpc_data[category],$EC$9,0)*MATCH(bhpc_data[sex],$EC$11,0)*MATCH(bhpc_data[size1],$EC$13,0)),MATCH(ROW(bhpc_data[sku]),ROW(bhpc_data[sku])),""),ROWS($A$15:A151)+$B$3))))),"")</f>
        <v>YB1308A BHPC SUNGLASSES SATIN GUN/SOLID SMOKE</v>
      </c>
      <c r="EG146" s="549">
        <f>IFERROR(IF('BHPC MANAGER'!$EE146="","",INDEX(inventory[ESISTENZA],MATCH('BHPC MANAGER'!$EE146,inventory[ARTICOLO],0))),0)</f>
        <v>0</v>
      </c>
      <c r="EH146" s="550" t="s">
        <v>914</v>
      </c>
      <c r="EI146" s="550">
        <f t="shared" si="14"/>
        <v>0</v>
      </c>
      <c r="EJ146" s="551" t="s">
        <v>914</v>
      </c>
      <c r="EK146" s="552">
        <f t="shared" si="15"/>
        <v>0</v>
      </c>
    </row>
    <row r="147" spans="63:141" x14ac:dyDescent="0.35">
      <c r="BK147" s="366"/>
      <c r="BL147" s="367"/>
      <c r="BM147" s="368"/>
      <c r="BN147" s="367"/>
      <c r="BO147" s="368"/>
      <c r="EE147" s="541" t="str" cm="1">
        <f t="array" ref="EE147">IFERROR(IF($EC$9="",IF($EC$11="",IF($EC$13="",INDEX(bhpc_data[sku],SMALL(MATCH(ROW(bhpc_data[sku]),ROW(bhpc_data[sku])),ROWS($A$15:A152)+$B$3)),INDEX(bhpc_data[sku],SMALL(IF(ISNUMBER(MATCH(bhpc_data[size1],$EC$13,0)),MATCH(ROW(bhpc_data[sku]),ROW(bhpc_data[sku])),""),ROWS($A$15:A152)+$B$3))),IF($EC$13="",INDEX(bhpc_data[sku],SMALL(IF(ISNUMBER(MATCH(bhpc_data[sex],$EC$11,0)),MATCH(ROW(bhpc_data[sku]),ROW(bhpc_data[sku])),""),ROWS($A$15:A152)+$B$3)),INDEX(bhpc_data[sku],SMALL(IF(ISNUMBER(MATCH(bhpc_data[sex],$EC$11,0)*MATCH(bhpc_data[size1],$EC$13,0)),MATCH(ROW(bhpc_data[sku]),ROW(bhpc_data[sku])),""),ROWS($A$15:A152)+$B$3)))),IF($EC$11="",IF($EC$13="",INDEX(bhpc_data[sku],SMALL(IF(ISNUMBER(MATCH(bhpc_data[category],$EC$9,0)),MATCH(ROW(bhpc_data[sku]),ROW(bhpc_data[sku])),""),ROWS($A$15:A152)+$B$3)),INDEX(bhpc_data[sku],SMALL(IF(ISNUMBER(MATCH(bhpc_data[category],$EC$9,0)*MATCH(bhpc_data[size1],$EC$13,0)),MATCH(ROW(bhpc_data[sku]),ROW(bhpc_data[sku])),""),ROWS($A$15:A152)+$B$3))),IF($EC$13="",INDEX(bhpc_data[sku],SMALL(IF(ISNUMBER(MATCH(bhpc_data[category],$EC$9,0)*MATCH(bhpc_data[sex],$EC$11,0)),MATCH(ROW(bhpc_data[sku]),ROW(bhpc_data[sku])),""),ROWS($A$15:A152)+$B$3)),INDEX(bhpc_data[sku],SMALL(IF(ISNUMBER(MATCH(bhpc_data[category],$EC$9,0)*MATCH(bhpc_data[sex],$EC$11,0)*MATCH(bhpc_data[size1],$EC$13,0)),MATCH(ROW(bhpc_data[sku]),ROW(bhpc_data[sku])),""),ROWS($A$15:A152)+$B$3))))),"")</f>
        <v>Y00017</v>
      </c>
      <c r="EF147" s="542" t="str" cm="1">
        <f t="array" ref="EF147">IFERROR(IF($EC$9="",IF($EC$11="",IF($EC$13="",INDEX(bhpc_data[description],SMALL(MATCH(ROW(bhpc_data[sku]),ROW(bhpc_data[sku])),ROWS($A$15:A152)+$B$3)),INDEX(bhpc_data[description],SMALL(IF(ISNUMBER(MATCH(bhpc_data[size1],$EC$13,0)),MATCH(ROW(bhpc_data[sku]),ROW(bhpc_data[sku])),""),ROWS($A$15:A152)+$B$3))),IF($EC$13="",INDEX(bhpc_data[description],SMALL(IF(ISNUMBER(MATCH(bhpc_data[sex],$EC$11,0)),MATCH(ROW(bhpc_data[sku]),ROW(bhpc_data[sku])),""),ROWS($A$15:A152)+$B$3)),INDEX(bhpc_data[description],SMALL(IF(ISNUMBER(MATCH(bhpc_data[sex],$EC$11,0)*MATCH(bhpc_data[size1],$EC$13,0)),MATCH(ROW(bhpc_data[sku]),ROW(bhpc_data[sku])),""),ROWS($A$15:A152)+$B$3)))),IF($EC$11="",IF($EC$13="",INDEX(bhpc_data[description],SMALL(IF(ISNUMBER(MATCH(bhpc_data[category],$EC$9,0)),MATCH(ROW(bhpc_data[sku]),ROW(bhpc_data[sku])),""),ROWS($A$15:A152)+$B$3)),INDEX(bhpc_data[description],SMALL(IF(ISNUMBER(MATCH(bhpc_data[category],$EC$9,0)*MATCH(bhpc_data[size1],$EC$13,0)),MATCH(ROW(bhpc_data[sku]),ROW(bhpc_data[sku])),""),ROWS($A$15:A152)+$B$3))),IF($EC$13="",INDEX(bhpc_data[description],SMALL(IF(ISNUMBER(MATCH(bhpc_data[category],$EC$9,0)*MATCH(bhpc_data[sex],$EC$11,0)),MATCH(ROW(bhpc_data[sku]),ROW(bhpc_data[sku])),""),ROWS($A$15:A152)+$B$3)),INDEX(bhpc_data[description],SMALL(IF(ISNUMBER(MATCH(bhpc_data[category],$EC$9,0)*MATCH(bhpc_data[sex],$EC$11,0)*MATCH(bhpc_data[size1],$EC$13,0)),MATCH(ROW(bhpc_data[sku]),ROW(bhpc_data[sku])),""),ROWS($A$15:A152)+$B$3))))),"")</f>
        <v>YB1308B BHPC SUNGLASSES GUN/SOLID BROWN</v>
      </c>
      <c r="EG147" s="543">
        <f>IFERROR(IF('BHPC MANAGER'!$EE147="","",INDEX(inventory[ESISTENZA],MATCH('BHPC MANAGER'!$EE147,inventory[ARTICOLO],0))),0)</f>
        <v>0</v>
      </c>
      <c r="EH147" s="544" t="s">
        <v>914</v>
      </c>
      <c r="EI147" s="544">
        <f t="shared" si="14"/>
        <v>0</v>
      </c>
      <c r="EJ147" s="545" t="s">
        <v>914</v>
      </c>
      <c r="EK147" s="546">
        <f t="shared" si="15"/>
        <v>0</v>
      </c>
    </row>
    <row r="148" spans="63:141" x14ac:dyDescent="0.35">
      <c r="BK148" s="366"/>
      <c r="BL148" s="367"/>
      <c r="BM148" s="368"/>
      <c r="BN148" s="367"/>
      <c r="BO148" s="368"/>
      <c r="EE148" s="547" t="str" cm="1">
        <f t="array" ref="EE148">IFERROR(IF($EC$9="",IF($EC$11="",IF($EC$13="",INDEX(bhpc_data[sku],SMALL(MATCH(ROW(bhpc_data[sku]),ROW(bhpc_data[sku])),ROWS($A$15:A153)+$B$3)),INDEX(bhpc_data[sku],SMALL(IF(ISNUMBER(MATCH(bhpc_data[size1],$EC$13,0)),MATCH(ROW(bhpc_data[sku]),ROW(bhpc_data[sku])),""),ROWS($A$15:A153)+$B$3))),IF($EC$13="",INDEX(bhpc_data[sku],SMALL(IF(ISNUMBER(MATCH(bhpc_data[sex],$EC$11,0)),MATCH(ROW(bhpc_data[sku]),ROW(bhpc_data[sku])),""),ROWS($A$15:A153)+$B$3)),INDEX(bhpc_data[sku],SMALL(IF(ISNUMBER(MATCH(bhpc_data[sex],$EC$11,0)*MATCH(bhpc_data[size1],$EC$13,0)),MATCH(ROW(bhpc_data[sku]),ROW(bhpc_data[sku])),""),ROWS($A$15:A153)+$B$3)))),IF($EC$11="",IF($EC$13="",INDEX(bhpc_data[sku],SMALL(IF(ISNUMBER(MATCH(bhpc_data[category],$EC$9,0)),MATCH(ROW(bhpc_data[sku]),ROW(bhpc_data[sku])),""),ROWS($A$15:A153)+$B$3)),INDEX(bhpc_data[sku],SMALL(IF(ISNUMBER(MATCH(bhpc_data[category],$EC$9,0)*MATCH(bhpc_data[size1],$EC$13,0)),MATCH(ROW(bhpc_data[sku]),ROW(bhpc_data[sku])),""),ROWS($A$15:A153)+$B$3))),IF($EC$13="",INDEX(bhpc_data[sku],SMALL(IF(ISNUMBER(MATCH(bhpc_data[category],$EC$9,0)*MATCH(bhpc_data[sex],$EC$11,0)),MATCH(ROW(bhpc_data[sku]),ROW(bhpc_data[sku])),""),ROWS($A$15:A153)+$B$3)),INDEX(bhpc_data[sku],SMALL(IF(ISNUMBER(MATCH(bhpc_data[category],$EC$9,0)*MATCH(bhpc_data[sex],$EC$11,0)*MATCH(bhpc_data[size1],$EC$13,0)),MATCH(ROW(bhpc_data[sku]),ROW(bhpc_data[sku])),""),ROWS($A$15:A153)+$B$3))))),"")</f>
        <v>Y00018</v>
      </c>
      <c r="EF148" s="548" t="str" cm="1">
        <f t="array" ref="EF148">IFERROR(IF($EC$9="",IF($EC$11="",IF($EC$13="",INDEX(bhpc_data[description],SMALL(MATCH(ROW(bhpc_data[sku]),ROW(bhpc_data[sku])),ROWS($A$15:A153)+$B$3)),INDEX(bhpc_data[description],SMALL(IF(ISNUMBER(MATCH(bhpc_data[size1],$EC$13,0)),MATCH(ROW(bhpc_data[sku]),ROW(bhpc_data[sku])),""),ROWS($A$15:A153)+$B$3))),IF($EC$13="",INDEX(bhpc_data[description],SMALL(IF(ISNUMBER(MATCH(bhpc_data[sex],$EC$11,0)),MATCH(ROW(bhpc_data[sku]),ROW(bhpc_data[sku])),""),ROWS($A$15:A153)+$B$3)),INDEX(bhpc_data[description],SMALL(IF(ISNUMBER(MATCH(bhpc_data[sex],$EC$11,0)*MATCH(bhpc_data[size1],$EC$13,0)),MATCH(ROW(bhpc_data[sku]),ROW(bhpc_data[sku])),""),ROWS($A$15:A153)+$B$3)))),IF($EC$11="",IF($EC$13="",INDEX(bhpc_data[description],SMALL(IF(ISNUMBER(MATCH(bhpc_data[category],$EC$9,0)),MATCH(ROW(bhpc_data[sku]),ROW(bhpc_data[sku])),""),ROWS($A$15:A153)+$B$3)),INDEX(bhpc_data[description],SMALL(IF(ISNUMBER(MATCH(bhpc_data[category],$EC$9,0)*MATCH(bhpc_data[size1],$EC$13,0)),MATCH(ROW(bhpc_data[sku]),ROW(bhpc_data[sku])),""),ROWS($A$15:A153)+$B$3))),IF($EC$13="",INDEX(bhpc_data[description],SMALL(IF(ISNUMBER(MATCH(bhpc_data[category],$EC$9,0)*MATCH(bhpc_data[sex],$EC$11,0)),MATCH(ROW(bhpc_data[sku]),ROW(bhpc_data[sku])),""),ROWS($A$15:A153)+$B$3)),INDEX(bhpc_data[description],SMALL(IF(ISNUMBER(MATCH(bhpc_data[category],$EC$9,0)*MATCH(bhpc_data[sex],$EC$11,0)*MATCH(bhpc_data[size1],$EC$13,0)),MATCH(ROW(bhpc_data[sku]),ROW(bhpc_data[sku])),""),ROWS($A$15:A153)+$B$3))))),"")</f>
        <v>YB1308C BHPC SUNGLASSES SATIN GOLD/SOLID GREEN</v>
      </c>
      <c r="EG148" s="549">
        <f>IFERROR(IF('BHPC MANAGER'!$EE148="","",INDEX(inventory[ESISTENZA],MATCH('BHPC MANAGER'!$EE148,inventory[ARTICOLO],0))),0)</f>
        <v>0</v>
      </c>
      <c r="EH148" s="550" t="s">
        <v>914</v>
      </c>
      <c r="EI148" s="550">
        <f t="shared" si="14"/>
        <v>0</v>
      </c>
      <c r="EJ148" s="551" t="s">
        <v>914</v>
      </c>
      <c r="EK148" s="552">
        <f t="shared" si="15"/>
        <v>0</v>
      </c>
    </row>
    <row r="149" spans="63:141" x14ac:dyDescent="0.35">
      <c r="BK149" s="366"/>
      <c r="BL149" s="367"/>
      <c r="BM149" s="368"/>
      <c r="BN149" s="367"/>
      <c r="BO149" s="368"/>
      <c r="EE149" s="541" t="str" cm="1">
        <f t="array" ref="EE149">IFERROR(IF($EC$9="",IF($EC$11="",IF($EC$13="",INDEX(bhpc_data[sku],SMALL(MATCH(ROW(bhpc_data[sku]),ROW(bhpc_data[sku])),ROWS($A$15:A154)+$B$3)),INDEX(bhpc_data[sku],SMALL(IF(ISNUMBER(MATCH(bhpc_data[size1],$EC$13,0)),MATCH(ROW(bhpc_data[sku]),ROW(bhpc_data[sku])),""),ROWS($A$15:A154)+$B$3))),IF($EC$13="",INDEX(bhpc_data[sku],SMALL(IF(ISNUMBER(MATCH(bhpc_data[sex],$EC$11,0)),MATCH(ROW(bhpc_data[sku]),ROW(bhpc_data[sku])),""),ROWS($A$15:A154)+$B$3)),INDEX(bhpc_data[sku],SMALL(IF(ISNUMBER(MATCH(bhpc_data[sex],$EC$11,0)*MATCH(bhpc_data[size1],$EC$13,0)),MATCH(ROW(bhpc_data[sku]),ROW(bhpc_data[sku])),""),ROWS($A$15:A154)+$B$3)))),IF($EC$11="",IF($EC$13="",INDEX(bhpc_data[sku],SMALL(IF(ISNUMBER(MATCH(bhpc_data[category],$EC$9,0)),MATCH(ROW(bhpc_data[sku]),ROW(bhpc_data[sku])),""),ROWS($A$15:A154)+$B$3)),INDEX(bhpc_data[sku],SMALL(IF(ISNUMBER(MATCH(bhpc_data[category],$EC$9,0)*MATCH(bhpc_data[size1],$EC$13,0)),MATCH(ROW(bhpc_data[sku]),ROW(bhpc_data[sku])),""),ROWS($A$15:A154)+$B$3))),IF($EC$13="",INDEX(bhpc_data[sku],SMALL(IF(ISNUMBER(MATCH(bhpc_data[category],$EC$9,0)*MATCH(bhpc_data[sex],$EC$11,0)),MATCH(ROW(bhpc_data[sku]),ROW(bhpc_data[sku])),""),ROWS($A$15:A154)+$B$3)),INDEX(bhpc_data[sku],SMALL(IF(ISNUMBER(MATCH(bhpc_data[category],$EC$9,0)*MATCH(bhpc_data[sex],$EC$11,0)*MATCH(bhpc_data[size1],$EC$13,0)),MATCH(ROW(bhpc_data[sku]),ROW(bhpc_data[sku])),""),ROWS($A$15:A154)+$B$3))))),"")</f>
        <v>Y00019</v>
      </c>
      <c r="EF149" s="542" t="str" cm="1">
        <f t="array" ref="EF149">IFERROR(IF($EC$9="",IF($EC$11="",IF($EC$13="",INDEX(bhpc_data[description],SMALL(MATCH(ROW(bhpc_data[sku]),ROW(bhpc_data[sku])),ROWS($A$15:A154)+$B$3)),INDEX(bhpc_data[description],SMALL(IF(ISNUMBER(MATCH(bhpc_data[size1],$EC$13,0)),MATCH(ROW(bhpc_data[sku]),ROW(bhpc_data[sku])),""),ROWS($A$15:A154)+$B$3))),IF($EC$13="",INDEX(bhpc_data[description],SMALL(IF(ISNUMBER(MATCH(bhpc_data[sex],$EC$11,0)),MATCH(ROW(bhpc_data[sku]),ROW(bhpc_data[sku])),""),ROWS($A$15:A154)+$B$3)),INDEX(bhpc_data[description],SMALL(IF(ISNUMBER(MATCH(bhpc_data[sex],$EC$11,0)*MATCH(bhpc_data[size1],$EC$13,0)),MATCH(ROW(bhpc_data[sku]),ROW(bhpc_data[sku])),""),ROWS($A$15:A154)+$B$3)))),IF($EC$11="",IF($EC$13="",INDEX(bhpc_data[description],SMALL(IF(ISNUMBER(MATCH(bhpc_data[category],$EC$9,0)),MATCH(ROW(bhpc_data[sku]),ROW(bhpc_data[sku])),""),ROWS($A$15:A154)+$B$3)),INDEX(bhpc_data[description],SMALL(IF(ISNUMBER(MATCH(bhpc_data[category],$EC$9,0)*MATCH(bhpc_data[size1],$EC$13,0)),MATCH(ROW(bhpc_data[sku]),ROW(bhpc_data[sku])),""),ROWS($A$15:A154)+$B$3))),IF($EC$13="",INDEX(bhpc_data[description],SMALL(IF(ISNUMBER(MATCH(bhpc_data[category],$EC$9,0)*MATCH(bhpc_data[sex],$EC$11,0)),MATCH(ROW(bhpc_data[sku]),ROW(bhpc_data[sku])),""),ROWS($A$15:A154)+$B$3)),INDEX(bhpc_data[description],SMALL(IF(ISNUMBER(MATCH(bhpc_data[category],$EC$9,0)*MATCH(bhpc_data[sex],$EC$11,0)*MATCH(bhpc_data[size1],$EC$13,0)),MATCH(ROW(bhpc_data[sku]),ROW(bhpc_data[sku])),""),ROWS($A$15:A154)+$B$3))))),"")</f>
        <v>YB1305A BHPC SUNGLASSES GOLD / SOLID GREEN</v>
      </c>
      <c r="EG149" s="543">
        <f>IFERROR(IF('BHPC MANAGER'!$EE149="","",INDEX(inventory[ESISTENZA],MATCH('BHPC MANAGER'!$EE149,inventory[ARTICOLO],0))),0)</f>
        <v>0</v>
      </c>
      <c r="EH149" s="544" t="s">
        <v>914</v>
      </c>
      <c r="EI149" s="544">
        <f t="shared" si="14"/>
        <v>0</v>
      </c>
      <c r="EJ149" s="545" t="s">
        <v>914</v>
      </c>
      <c r="EK149" s="546">
        <f t="shared" si="15"/>
        <v>0</v>
      </c>
    </row>
    <row r="150" spans="63:141" x14ac:dyDescent="0.35">
      <c r="BK150" s="366"/>
      <c r="BL150" s="367"/>
      <c r="BM150" s="368"/>
      <c r="BN150" s="367"/>
      <c r="BO150" s="368"/>
      <c r="EE150" s="547" t="str" cm="1">
        <f t="array" ref="EE150">IFERROR(IF($EC$9="",IF($EC$11="",IF($EC$13="",INDEX(bhpc_data[sku],SMALL(MATCH(ROW(bhpc_data[sku]),ROW(bhpc_data[sku])),ROWS($A$15:A155)+$B$3)),INDEX(bhpc_data[sku],SMALL(IF(ISNUMBER(MATCH(bhpc_data[size1],$EC$13,0)),MATCH(ROW(bhpc_data[sku]),ROW(bhpc_data[sku])),""),ROWS($A$15:A155)+$B$3))),IF($EC$13="",INDEX(bhpc_data[sku],SMALL(IF(ISNUMBER(MATCH(bhpc_data[sex],$EC$11,0)),MATCH(ROW(bhpc_data[sku]),ROW(bhpc_data[sku])),""),ROWS($A$15:A155)+$B$3)),INDEX(bhpc_data[sku],SMALL(IF(ISNUMBER(MATCH(bhpc_data[sex],$EC$11,0)*MATCH(bhpc_data[size1],$EC$13,0)),MATCH(ROW(bhpc_data[sku]),ROW(bhpc_data[sku])),""),ROWS($A$15:A155)+$B$3)))),IF($EC$11="",IF($EC$13="",INDEX(bhpc_data[sku],SMALL(IF(ISNUMBER(MATCH(bhpc_data[category],$EC$9,0)),MATCH(ROW(bhpc_data[sku]),ROW(bhpc_data[sku])),""),ROWS($A$15:A155)+$B$3)),INDEX(bhpc_data[sku],SMALL(IF(ISNUMBER(MATCH(bhpc_data[category],$EC$9,0)*MATCH(bhpc_data[size1],$EC$13,0)),MATCH(ROW(bhpc_data[sku]),ROW(bhpc_data[sku])),""),ROWS($A$15:A155)+$B$3))),IF($EC$13="",INDEX(bhpc_data[sku],SMALL(IF(ISNUMBER(MATCH(bhpc_data[category],$EC$9,0)*MATCH(bhpc_data[sex],$EC$11,0)),MATCH(ROW(bhpc_data[sku]),ROW(bhpc_data[sku])),""),ROWS($A$15:A155)+$B$3)),INDEX(bhpc_data[sku],SMALL(IF(ISNUMBER(MATCH(bhpc_data[category],$EC$9,0)*MATCH(bhpc_data[sex],$EC$11,0)*MATCH(bhpc_data[size1],$EC$13,0)),MATCH(ROW(bhpc_data[sku]),ROW(bhpc_data[sku])),""),ROWS($A$15:A155)+$B$3))))),"")</f>
        <v>Y00020</v>
      </c>
      <c r="EF150" s="548" t="str" cm="1">
        <f t="array" ref="EF150">IFERROR(IF($EC$9="",IF($EC$11="",IF($EC$13="",INDEX(bhpc_data[description],SMALL(MATCH(ROW(bhpc_data[sku]),ROW(bhpc_data[sku])),ROWS($A$15:A155)+$B$3)),INDEX(bhpc_data[description],SMALL(IF(ISNUMBER(MATCH(bhpc_data[size1],$EC$13,0)),MATCH(ROW(bhpc_data[sku]),ROW(bhpc_data[sku])),""),ROWS($A$15:A155)+$B$3))),IF($EC$13="",INDEX(bhpc_data[description],SMALL(IF(ISNUMBER(MATCH(bhpc_data[sex],$EC$11,0)),MATCH(ROW(bhpc_data[sku]),ROW(bhpc_data[sku])),""),ROWS($A$15:A155)+$B$3)),INDEX(bhpc_data[description],SMALL(IF(ISNUMBER(MATCH(bhpc_data[sex],$EC$11,0)*MATCH(bhpc_data[size1],$EC$13,0)),MATCH(ROW(bhpc_data[sku]),ROW(bhpc_data[sku])),""),ROWS($A$15:A155)+$B$3)))),IF($EC$11="",IF($EC$13="",INDEX(bhpc_data[description],SMALL(IF(ISNUMBER(MATCH(bhpc_data[category],$EC$9,0)),MATCH(ROW(bhpc_data[sku]),ROW(bhpc_data[sku])),""),ROWS($A$15:A155)+$B$3)),INDEX(bhpc_data[description],SMALL(IF(ISNUMBER(MATCH(bhpc_data[category],$EC$9,0)*MATCH(bhpc_data[size1],$EC$13,0)),MATCH(ROW(bhpc_data[sku]),ROW(bhpc_data[sku])),""),ROWS($A$15:A155)+$B$3))),IF($EC$13="",INDEX(bhpc_data[description],SMALL(IF(ISNUMBER(MATCH(bhpc_data[category],$EC$9,0)*MATCH(bhpc_data[sex],$EC$11,0)),MATCH(ROW(bhpc_data[sku]),ROW(bhpc_data[sku])),""),ROWS($A$15:A155)+$B$3)),INDEX(bhpc_data[description],SMALL(IF(ISNUMBER(MATCH(bhpc_data[category],$EC$9,0)*MATCH(bhpc_data[sex],$EC$11,0)*MATCH(bhpc_data[size1],$EC$13,0)),MATCH(ROW(bhpc_data[sku]),ROW(bhpc_data[sku])),""),ROWS($A$15:A155)+$B$3))))),"")</f>
        <v>YB1305B BHPC SUNGLASSES GUN/SOLID SMOKE</v>
      </c>
      <c r="EG150" s="549">
        <f>IFERROR(IF('BHPC MANAGER'!$EE150="","",INDEX(inventory[ESISTENZA],MATCH('BHPC MANAGER'!$EE150,inventory[ARTICOLO],0))),0)</f>
        <v>0</v>
      </c>
      <c r="EH150" s="550" t="s">
        <v>914</v>
      </c>
      <c r="EI150" s="550">
        <f t="shared" si="14"/>
        <v>0</v>
      </c>
      <c r="EJ150" s="551" t="s">
        <v>914</v>
      </c>
      <c r="EK150" s="552">
        <f t="shared" si="15"/>
        <v>0</v>
      </c>
    </row>
    <row r="151" spans="63:141" x14ac:dyDescent="0.35">
      <c r="BK151" s="366"/>
      <c r="BL151" s="367"/>
      <c r="BM151" s="368"/>
      <c r="BN151" s="367"/>
      <c r="BO151" s="368"/>
      <c r="EE151" s="541" t="str" cm="1">
        <f t="array" ref="EE151">IFERROR(IF($EC$9="",IF($EC$11="",IF($EC$13="",INDEX(bhpc_data[sku],SMALL(MATCH(ROW(bhpc_data[sku]),ROW(bhpc_data[sku])),ROWS($A$15:A156)+$B$3)),INDEX(bhpc_data[sku],SMALL(IF(ISNUMBER(MATCH(bhpc_data[size1],$EC$13,0)),MATCH(ROW(bhpc_data[sku]),ROW(bhpc_data[sku])),""),ROWS($A$15:A156)+$B$3))),IF($EC$13="",INDEX(bhpc_data[sku],SMALL(IF(ISNUMBER(MATCH(bhpc_data[sex],$EC$11,0)),MATCH(ROW(bhpc_data[sku]),ROW(bhpc_data[sku])),""),ROWS($A$15:A156)+$B$3)),INDEX(bhpc_data[sku],SMALL(IF(ISNUMBER(MATCH(bhpc_data[sex],$EC$11,0)*MATCH(bhpc_data[size1],$EC$13,0)),MATCH(ROW(bhpc_data[sku]),ROW(bhpc_data[sku])),""),ROWS($A$15:A156)+$B$3)))),IF($EC$11="",IF($EC$13="",INDEX(bhpc_data[sku],SMALL(IF(ISNUMBER(MATCH(bhpc_data[category],$EC$9,0)),MATCH(ROW(bhpc_data[sku]),ROW(bhpc_data[sku])),""),ROWS($A$15:A156)+$B$3)),INDEX(bhpc_data[sku],SMALL(IF(ISNUMBER(MATCH(bhpc_data[category],$EC$9,0)*MATCH(bhpc_data[size1],$EC$13,0)),MATCH(ROW(bhpc_data[sku]),ROW(bhpc_data[sku])),""),ROWS($A$15:A156)+$B$3))),IF($EC$13="",INDEX(bhpc_data[sku],SMALL(IF(ISNUMBER(MATCH(bhpc_data[category],$EC$9,0)*MATCH(bhpc_data[sex],$EC$11,0)),MATCH(ROW(bhpc_data[sku]),ROW(bhpc_data[sku])),""),ROWS($A$15:A156)+$B$3)),INDEX(bhpc_data[sku],SMALL(IF(ISNUMBER(MATCH(bhpc_data[category],$EC$9,0)*MATCH(bhpc_data[sex],$EC$11,0)*MATCH(bhpc_data[size1],$EC$13,0)),MATCH(ROW(bhpc_data[sku]),ROW(bhpc_data[sku])),""),ROWS($A$15:A156)+$B$3))))),"")</f>
        <v>Y00021</v>
      </c>
      <c r="EF151" s="542" t="str" cm="1">
        <f t="array" ref="EF151">IFERROR(IF($EC$9="",IF($EC$11="",IF($EC$13="",INDEX(bhpc_data[description],SMALL(MATCH(ROW(bhpc_data[sku]),ROW(bhpc_data[sku])),ROWS($A$15:A156)+$B$3)),INDEX(bhpc_data[description],SMALL(IF(ISNUMBER(MATCH(bhpc_data[size1],$EC$13,0)),MATCH(ROW(bhpc_data[sku]),ROW(bhpc_data[sku])),""),ROWS($A$15:A156)+$B$3))),IF($EC$13="",INDEX(bhpc_data[description],SMALL(IF(ISNUMBER(MATCH(bhpc_data[sex],$EC$11,0)),MATCH(ROW(bhpc_data[sku]),ROW(bhpc_data[sku])),""),ROWS($A$15:A156)+$B$3)),INDEX(bhpc_data[description],SMALL(IF(ISNUMBER(MATCH(bhpc_data[sex],$EC$11,0)*MATCH(bhpc_data[size1],$EC$13,0)),MATCH(ROW(bhpc_data[sku]),ROW(bhpc_data[sku])),""),ROWS($A$15:A156)+$B$3)))),IF($EC$11="",IF($EC$13="",INDEX(bhpc_data[description],SMALL(IF(ISNUMBER(MATCH(bhpc_data[category],$EC$9,0)),MATCH(ROW(bhpc_data[sku]),ROW(bhpc_data[sku])),""),ROWS($A$15:A156)+$B$3)),INDEX(bhpc_data[description],SMALL(IF(ISNUMBER(MATCH(bhpc_data[category],$EC$9,0)*MATCH(bhpc_data[size1],$EC$13,0)),MATCH(ROW(bhpc_data[sku]),ROW(bhpc_data[sku])),""),ROWS($A$15:A156)+$B$3))),IF($EC$13="",INDEX(bhpc_data[description],SMALL(IF(ISNUMBER(MATCH(bhpc_data[category],$EC$9,0)*MATCH(bhpc_data[sex],$EC$11,0)),MATCH(ROW(bhpc_data[sku]),ROW(bhpc_data[sku])),""),ROWS($A$15:A156)+$B$3)),INDEX(bhpc_data[description],SMALL(IF(ISNUMBER(MATCH(bhpc_data[category],$EC$9,0)*MATCH(bhpc_data[sex],$EC$11,0)*MATCH(bhpc_data[size1],$EC$13,0)),MATCH(ROW(bhpc_data[sku]),ROW(bhpc_data[sku])),""),ROWS($A$15:A156)+$B$3))))),"")</f>
        <v>YB1305C BHPC SUNGLASSES MATT BLACK / SOLID GREY</v>
      </c>
      <c r="EG151" s="543">
        <f>IFERROR(IF('BHPC MANAGER'!$EE151="","",INDEX(inventory[ESISTENZA],MATCH('BHPC MANAGER'!$EE151,inventory[ARTICOLO],0))),0)</f>
        <v>0</v>
      </c>
      <c r="EH151" s="544" t="s">
        <v>914</v>
      </c>
      <c r="EI151" s="544">
        <f t="shared" si="14"/>
        <v>0</v>
      </c>
      <c r="EJ151" s="545" t="s">
        <v>914</v>
      </c>
      <c r="EK151" s="546">
        <f t="shared" si="15"/>
        <v>0</v>
      </c>
    </row>
    <row r="152" spans="63:141" x14ac:dyDescent="0.35">
      <c r="BK152" s="366"/>
      <c r="BL152" s="367"/>
      <c r="BM152" s="368"/>
      <c r="BN152" s="367"/>
      <c r="BO152" s="368"/>
      <c r="EE152" s="547" t="str" cm="1">
        <f t="array" ref="EE152">IFERROR(IF($EC$9="",IF($EC$11="",IF($EC$13="",INDEX(bhpc_data[sku],SMALL(MATCH(ROW(bhpc_data[sku]),ROW(bhpc_data[sku])),ROWS($A$15:A157)+$B$3)),INDEX(bhpc_data[sku],SMALL(IF(ISNUMBER(MATCH(bhpc_data[size1],$EC$13,0)),MATCH(ROW(bhpc_data[sku]),ROW(bhpc_data[sku])),""),ROWS($A$15:A157)+$B$3))),IF($EC$13="",INDEX(bhpc_data[sku],SMALL(IF(ISNUMBER(MATCH(bhpc_data[sex],$EC$11,0)),MATCH(ROW(bhpc_data[sku]),ROW(bhpc_data[sku])),""),ROWS($A$15:A157)+$B$3)),INDEX(bhpc_data[sku],SMALL(IF(ISNUMBER(MATCH(bhpc_data[sex],$EC$11,0)*MATCH(bhpc_data[size1],$EC$13,0)),MATCH(ROW(bhpc_data[sku]),ROW(bhpc_data[sku])),""),ROWS($A$15:A157)+$B$3)))),IF($EC$11="",IF($EC$13="",INDEX(bhpc_data[sku],SMALL(IF(ISNUMBER(MATCH(bhpc_data[category],$EC$9,0)),MATCH(ROW(bhpc_data[sku]),ROW(bhpc_data[sku])),""),ROWS($A$15:A157)+$B$3)),INDEX(bhpc_data[sku],SMALL(IF(ISNUMBER(MATCH(bhpc_data[category],$EC$9,0)*MATCH(bhpc_data[size1],$EC$13,0)),MATCH(ROW(bhpc_data[sku]),ROW(bhpc_data[sku])),""),ROWS($A$15:A157)+$B$3))),IF($EC$13="",INDEX(bhpc_data[sku],SMALL(IF(ISNUMBER(MATCH(bhpc_data[category],$EC$9,0)*MATCH(bhpc_data[sex],$EC$11,0)),MATCH(ROW(bhpc_data[sku]),ROW(bhpc_data[sku])),""),ROWS($A$15:A157)+$B$3)),INDEX(bhpc_data[sku],SMALL(IF(ISNUMBER(MATCH(bhpc_data[category],$EC$9,0)*MATCH(bhpc_data[sex],$EC$11,0)*MATCH(bhpc_data[size1],$EC$13,0)),MATCH(ROW(bhpc_data[sku]),ROW(bhpc_data[sku])),""),ROWS($A$15:A157)+$B$3))))),"")</f>
        <v>Y00022</v>
      </c>
      <c r="EF152" s="548" t="str" cm="1">
        <f t="array" ref="EF152">IFERROR(IF($EC$9="",IF($EC$11="",IF($EC$13="",INDEX(bhpc_data[description],SMALL(MATCH(ROW(bhpc_data[sku]),ROW(bhpc_data[sku])),ROWS($A$15:A157)+$B$3)),INDEX(bhpc_data[description],SMALL(IF(ISNUMBER(MATCH(bhpc_data[size1],$EC$13,0)),MATCH(ROW(bhpc_data[sku]),ROW(bhpc_data[sku])),""),ROWS($A$15:A157)+$B$3))),IF($EC$13="",INDEX(bhpc_data[description],SMALL(IF(ISNUMBER(MATCH(bhpc_data[sex],$EC$11,0)),MATCH(ROW(bhpc_data[sku]),ROW(bhpc_data[sku])),""),ROWS($A$15:A157)+$B$3)),INDEX(bhpc_data[description],SMALL(IF(ISNUMBER(MATCH(bhpc_data[sex],$EC$11,0)*MATCH(bhpc_data[size1],$EC$13,0)),MATCH(ROW(bhpc_data[sku]),ROW(bhpc_data[sku])),""),ROWS($A$15:A157)+$B$3)))),IF($EC$11="",IF($EC$13="",INDEX(bhpc_data[description],SMALL(IF(ISNUMBER(MATCH(bhpc_data[category],$EC$9,0)),MATCH(ROW(bhpc_data[sku]),ROW(bhpc_data[sku])),""),ROWS($A$15:A157)+$B$3)),INDEX(bhpc_data[description],SMALL(IF(ISNUMBER(MATCH(bhpc_data[category],$EC$9,0)*MATCH(bhpc_data[size1],$EC$13,0)),MATCH(ROW(bhpc_data[sku]),ROW(bhpc_data[sku])),""),ROWS($A$15:A157)+$B$3))),IF($EC$13="",INDEX(bhpc_data[description],SMALL(IF(ISNUMBER(MATCH(bhpc_data[category],$EC$9,0)*MATCH(bhpc_data[sex],$EC$11,0)),MATCH(ROW(bhpc_data[sku]),ROW(bhpc_data[sku])),""),ROWS($A$15:A157)+$B$3)),INDEX(bhpc_data[description],SMALL(IF(ISNUMBER(MATCH(bhpc_data[category],$EC$9,0)*MATCH(bhpc_data[sex],$EC$11,0)*MATCH(bhpc_data[size1],$EC$13,0)),MATCH(ROW(bhpc_data[sku]),ROW(bhpc_data[sku])),""),ROWS($A$15:A157)+$B$3))))),"")</f>
        <v>YB1307A BHPC SUNGLASSES GOLD / GRADIENT GREY</v>
      </c>
      <c r="EG152" s="549">
        <f>IFERROR(IF('BHPC MANAGER'!$EE152="","",INDEX(inventory[ESISTENZA],MATCH('BHPC MANAGER'!$EE152,inventory[ARTICOLO],0))),0)</f>
        <v>179</v>
      </c>
      <c r="EH152" s="550">
        <v>-30</v>
      </c>
      <c r="EI152" s="550">
        <f t="shared" si="14"/>
        <v>149</v>
      </c>
      <c r="EJ152" s="551">
        <v>0</v>
      </c>
      <c r="EK152" s="552">
        <f t="shared" si="15"/>
        <v>149</v>
      </c>
    </row>
    <row r="153" spans="63:141" x14ac:dyDescent="0.35">
      <c r="BK153" s="366"/>
      <c r="BL153" s="367"/>
      <c r="BM153" s="368"/>
      <c r="BN153" s="367"/>
      <c r="BO153" s="368"/>
      <c r="EE153" s="541" t="str" cm="1">
        <f t="array" ref="EE153">IFERROR(IF($EC$9="",IF($EC$11="",IF($EC$13="",INDEX(bhpc_data[sku],SMALL(MATCH(ROW(bhpc_data[sku]),ROW(bhpc_data[sku])),ROWS($A$15:A158)+$B$3)),INDEX(bhpc_data[sku],SMALL(IF(ISNUMBER(MATCH(bhpc_data[size1],$EC$13,0)),MATCH(ROW(bhpc_data[sku]),ROW(bhpc_data[sku])),""),ROWS($A$15:A158)+$B$3))),IF($EC$13="",INDEX(bhpc_data[sku],SMALL(IF(ISNUMBER(MATCH(bhpc_data[sex],$EC$11,0)),MATCH(ROW(bhpc_data[sku]),ROW(bhpc_data[sku])),""),ROWS($A$15:A158)+$B$3)),INDEX(bhpc_data[sku],SMALL(IF(ISNUMBER(MATCH(bhpc_data[sex],$EC$11,0)*MATCH(bhpc_data[size1],$EC$13,0)),MATCH(ROW(bhpc_data[sku]),ROW(bhpc_data[sku])),""),ROWS($A$15:A158)+$B$3)))),IF($EC$11="",IF($EC$13="",INDEX(bhpc_data[sku],SMALL(IF(ISNUMBER(MATCH(bhpc_data[category],$EC$9,0)),MATCH(ROW(bhpc_data[sku]),ROW(bhpc_data[sku])),""),ROWS($A$15:A158)+$B$3)),INDEX(bhpc_data[sku],SMALL(IF(ISNUMBER(MATCH(bhpc_data[category],$EC$9,0)*MATCH(bhpc_data[size1],$EC$13,0)),MATCH(ROW(bhpc_data[sku]),ROW(bhpc_data[sku])),""),ROWS($A$15:A158)+$B$3))),IF($EC$13="",INDEX(bhpc_data[sku],SMALL(IF(ISNUMBER(MATCH(bhpc_data[category],$EC$9,0)*MATCH(bhpc_data[sex],$EC$11,0)),MATCH(ROW(bhpc_data[sku]),ROW(bhpc_data[sku])),""),ROWS($A$15:A158)+$B$3)),INDEX(bhpc_data[sku],SMALL(IF(ISNUMBER(MATCH(bhpc_data[category],$EC$9,0)*MATCH(bhpc_data[sex],$EC$11,0)*MATCH(bhpc_data[size1],$EC$13,0)),MATCH(ROW(bhpc_data[sku]),ROW(bhpc_data[sku])),""),ROWS($A$15:A158)+$B$3))))),"")</f>
        <v>Y00023</v>
      </c>
      <c r="EF153" s="542" t="str" cm="1">
        <f t="array" ref="EF153">IFERROR(IF($EC$9="",IF($EC$11="",IF($EC$13="",INDEX(bhpc_data[description],SMALL(MATCH(ROW(bhpc_data[sku]),ROW(bhpc_data[sku])),ROWS($A$15:A158)+$B$3)),INDEX(bhpc_data[description],SMALL(IF(ISNUMBER(MATCH(bhpc_data[size1],$EC$13,0)),MATCH(ROW(bhpc_data[sku]),ROW(bhpc_data[sku])),""),ROWS($A$15:A158)+$B$3))),IF($EC$13="",INDEX(bhpc_data[description],SMALL(IF(ISNUMBER(MATCH(bhpc_data[sex],$EC$11,0)),MATCH(ROW(bhpc_data[sku]),ROW(bhpc_data[sku])),""),ROWS($A$15:A158)+$B$3)),INDEX(bhpc_data[description],SMALL(IF(ISNUMBER(MATCH(bhpc_data[sex],$EC$11,0)*MATCH(bhpc_data[size1],$EC$13,0)),MATCH(ROW(bhpc_data[sku]),ROW(bhpc_data[sku])),""),ROWS($A$15:A158)+$B$3)))),IF($EC$11="",IF($EC$13="",INDEX(bhpc_data[description],SMALL(IF(ISNUMBER(MATCH(bhpc_data[category],$EC$9,0)),MATCH(ROW(bhpc_data[sku]),ROW(bhpc_data[sku])),""),ROWS($A$15:A158)+$B$3)),INDEX(bhpc_data[description],SMALL(IF(ISNUMBER(MATCH(bhpc_data[category],$EC$9,0)*MATCH(bhpc_data[size1],$EC$13,0)),MATCH(ROW(bhpc_data[sku]),ROW(bhpc_data[sku])),""),ROWS($A$15:A158)+$B$3))),IF($EC$13="",INDEX(bhpc_data[description],SMALL(IF(ISNUMBER(MATCH(bhpc_data[category],$EC$9,0)*MATCH(bhpc_data[sex],$EC$11,0)),MATCH(ROW(bhpc_data[sku]),ROW(bhpc_data[sku])),""),ROWS($A$15:A158)+$B$3)),INDEX(bhpc_data[description],SMALL(IF(ISNUMBER(MATCH(bhpc_data[category],$EC$9,0)*MATCH(bhpc_data[sex],$EC$11,0)*MATCH(bhpc_data[size1],$EC$13,0)),MATCH(ROW(bhpc_data[sku]),ROW(bhpc_data[sku])),""),ROWS($A$15:A158)+$B$3))))),"")</f>
        <v>YB1307B BHPC SUNGLASSES BROWN / GRADIENT CLAY</v>
      </c>
      <c r="EG153" s="543">
        <f>IFERROR(IF('BHPC MANAGER'!$EE153="","",INDEX(inventory[ESISTENZA],MATCH('BHPC MANAGER'!$EE153,inventory[ARTICOLO],0))),0)</f>
        <v>299</v>
      </c>
      <c r="EH153" s="544">
        <v>-30</v>
      </c>
      <c r="EI153" s="544">
        <f t="shared" si="14"/>
        <v>269</v>
      </c>
      <c r="EJ153" s="545">
        <v>0</v>
      </c>
      <c r="EK153" s="546">
        <f t="shared" si="15"/>
        <v>269</v>
      </c>
    </row>
    <row r="154" spans="63:141" x14ac:dyDescent="0.35">
      <c r="BK154" s="366"/>
      <c r="BL154" s="367"/>
      <c r="BM154" s="368"/>
      <c r="BN154" s="367"/>
      <c r="BO154" s="368"/>
      <c r="EE154" s="547" t="str" cm="1">
        <f t="array" ref="EE154">IFERROR(IF($EC$9="",IF($EC$11="",IF($EC$13="",INDEX(bhpc_data[sku],SMALL(MATCH(ROW(bhpc_data[sku]),ROW(bhpc_data[sku])),ROWS($A$15:A159)+$B$3)),INDEX(bhpc_data[sku],SMALL(IF(ISNUMBER(MATCH(bhpc_data[size1],$EC$13,0)),MATCH(ROW(bhpc_data[sku]),ROW(bhpc_data[sku])),""),ROWS($A$15:A159)+$B$3))),IF($EC$13="",INDEX(bhpc_data[sku],SMALL(IF(ISNUMBER(MATCH(bhpc_data[sex],$EC$11,0)),MATCH(ROW(bhpc_data[sku]),ROW(bhpc_data[sku])),""),ROWS($A$15:A159)+$B$3)),INDEX(bhpc_data[sku],SMALL(IF(ISNUMBER(MATCH(bhpc_data[sex],$EC$11,0)*MATCH(bhpc_data[size1],$EC$13,0)),MATCH(ROW(bhpc_data[sku]),ROW(bhpc_data[sku])),""),ROWS($A$15:A159)+$B$3)))),IF($EC$11="",IF($EC$13="",INDEX(bhpc_data[sku],SMALL(IF(ISNUMBER(MATCH(bhpc_data[category],$EC$9,0)),MATCH(ROW(bhpc_data[sku]),ROW(bhpc_data[sku])),""),ROWS($A$15:A159)+$B$3)),INDEX(bhpc_data[sku],SMALL(IF(ISNUMBER(MATCH(bhpc_data[category],$EC$9,0)*MATCH(bhpc_data[size1],$EC$13,0)),MATCH(ROW(bhpc_data[sku]),ROW(bhpc_data[sku])),""),ROWS($A$15:A159)+$B$3))),IF($EC$13="",INDEX(bhpc_data[sku],SMALL(IF(ISNUMBER(MATCH(bhpc_data[category],$EC$9,0)*MATCH(bhpc_data[sex],$EC$11,0)),MATCH(ROW(bhpc_data[sku]),ROW(bhpc_data[sku])),""),ROWS($A$15:A159)+$B$3)),INDEX(bhpc_data[sku],SMALL(IF(ISNUMBER(MATCH(bhpc_data[category],$EC$9,0)*MATCH(bhpc_data[sex],$EC$11,0)*MATCH(bhpc_data[size1],$EC$13,0)),MATCH(ROW(bhpc_data[sku]),ROW(bhpc_data[sku])),""),ROWS($A$15:A159)+$B$3))))),"")</f>
        <v>Y00024</v>
      </c>
      <c r="EF154" s="548" t="str" cm="1">
        <f t="array" ref="EF154">IFERROR(IF($EC$9="",IF($EC$11="",IF($EC$13="",INDEX(bhpc_data[description],SMALL(MATCH(ROW(bhpc_data[sku]),ROW(bhpc_data[sku])),ROWS($A$15:A159)+$B$3)),INDEX(bhpc_data[description],SMALL(IF(ISNUMBER(MATCH(bhpc_data[size1],$EC$13,0)),MATCH(ROW(bhpc_data[sku]),ROW(bhpc_data[sku])),""),ROWS($A$15:A159)+$B$3))),IF($EC$13="",INDEX(bhpc_data[description],SMALL(IF(ISNUMBER(MATCH(bhpc_data[sex],$EC$11,0)),MATCH(ROW(bhpc_data[sku]),ROW(bhpc_data[sku])),""),ROWS($A$15:A159)+$B$3)),INDEX(bhpc_data[description],SMALL(IF(ISNUMBER(MATCH(bhpc_data[sex],$EC$11,0)*MATCH(bhpc_data[size1],$EC$13,0)),MATCH(ROW(bhpc_data[sku]),ROW(bhpc_data[sku])),""),ROWS($A$15:A159)+$B$3)))),IF($EC$11="",IF($EC$13="",INDEX(bhpc_data[description],SMALL(IF(ISNUMBER(MATCH(bhpc_data[category],$EC$9,0)),MATCH(ROW(bhpc_data[sku]),ROW(bhpc_data[sku])),""),ROWS($A$15:A159)+$B$3)),INDEX(bhpc_data[description],SMALL(IF(ISNUMBER(MATCH(bhpc_data[category],$EC$9,0)*MATCH(bhpc_data[size1],$EC$13,0)),MATCH(ROW(bhpc_data[sku]),ROW(bhpc_data[sku])),""),ROWS($A$15:A159)+$B$3))),IF($EC$13="",INDEX(bhpc_data[description],SMALL(IF(ISNUMBER(MATCH(bhpc_data[category],$EC$9,0)*MATCH(bhpc_data[sex],$EC$11,0)),MATCH(ROW(bhpc_data[sku]),ROW(bhpc_data[sku])),""),ROWS($A$15:A159)+$B$3)),INDEX(bhpc_data[description],SMALL(IF(ISNUMBER(MATCH(bhpc_data[category],$EC$9,0)*MATCH(bhpc_data[sex],$EC$11,0)*MATCH(bhpc_data[size1],$EC$13,0)),MATCH(ROW(bhpc_data[sku]),ROW(bhpc_data[sku])),""),ROWS($A$15:A159)+$B$3))))),"")</f>
        <v>YB1307C BHPC SUNGLASSES ROSE GOLD/DOUBLE GRAD. GREYRED</v>
      </c>
      <c r="EG154" s="549">
        <f>IFERROR(IF('BHPC MANAGER'!$EE154="","",INDEX(inventory[ESISTENZA],MATCH('BHPC MANAGER'!$EE154,inventory[ARTICOLO],0))),0)</f>
        <v>299</v>
      </c>
      <c r="EH154" s="550">
        <v>-30</v>
      </c>
      <c r="EI154" s="550">
        <f t="shared" si="14"/>
        <v>269</v>
      </c>
      <c r="EJ154" s="551">
        <v>0</v>
      </c>
      <c r="EK154" s="552">
        <f t="shared" si="15"/>
        <v>269</v>
      </c>
    </row>
    <row r="155" spans="63:141" x14ac:dyDescent="0.35">
      <c r="BK155" s="366"/>
      <c r="BL155" s="367"/>
      <c r="BM155" s="368"/>
      <c r="BN155" s="367"/>
      <c r="BO155" s="368"/>
      <c r="EE155" s="541" t="str" cm="1">
        <f t="array" ref="EE155">IFERROR(IF($EC$9="",IF($EC$11="",IF($EC$13="",INDEX(bhpc_data[sku],SMALL(MATCH(ROW(bhpc_data[sku]),ROW(bhpc_data[sku])),ROWS($A$15:A160)+$B$3)),INDEX(bhpc_data[sku],SMALL(IF(ISNUMBER(MATCH(bhpc_data[size1],$EC$13,0)),MATCH(ROW(bhpc_data[sku]),ROW(bhpc_data[sku])),""),ROWS($A$15:A160)+$B$3))),IF($EC$13="",INDEX(bhpc_data[sku],SMALL(IF(ISNUMBER(MATCH(bhpc_data[sex],$EC$11,0)),MATCH(ROW(bhpc_data[sku]),ROW(bhpc_data[sku])),""),ROWS($A$15:A160)+$B$3)),INDEX(bhpc_data[sku],SMALL(IF(ISNUMBER(MATCH(bhpc_data[sex],$EC$11,0)*MATCH(bhpc_data[size1],$EC$13,0)),MATCH(ROW(bhpc_data[sku]),ROW(bhpc_data[sku])),""),ROWS($A$15:A160)+$B$3)))),IF($EC$11="",IF($EC$13="",INDEX(bhpc_data[sku],SMALL(IF(ISNUMBER(MATCH(bhpc_data[category],$EC$9,0)),MATCH(ROW(bhpc_data[sku]),ROW(bhpc_data[sku])),""),ROWS($A$15:A160)+$B$3)),INDEX(bhpc_data[sku],SMALL(IF(ISNUMBER(MATCH(bhpc_data[category],$EC$9,0)*MATCH(bhpc_data[size1],$EC$13,0)),MATCH(ROW(bhpc_data[sku]),ROW(bhpc_data[sku])),""),ROWS($A$15:A160)+$B$3))),IF($EC$13="",INDEX(bhpc_data[sku],SMALL(IF(ISNUMBER(MATCH(bhpc_data[category],$EC$9,0)*MATCH(bhpc_data[sex],$EC$11,0)),MATCH(ROW(bhpc_data[sku]),ROW(bhpc_data[sku])),""),ROWS($A$15:A160)+$B$3)),INDEX(bhpc_data[sku],SMALL(IF(ISNUMBER(MATCH(bhpc_data[category],$EC$9,0)*MATCH(bhpc_data[sex],$EC$11,0)*MATCH(bhpc_data[size1],$EC$13,0)),MATCH(ROW(bhpc_data[sku]),ROW(bhpc_data[sku])),""),ROWS($A$15:A160)+$B$3))))),"")</f>
        <v>Y00025</v>
      </c>
      <c r="EF155" s="542" t="str" cm="1">
        <f t="array" ref="EF155">IFERROR(IF($EC$9="",IF($EC$11="",IF($EC$13="",INDEX(bhpc_data[description],SMALL(MATCH(ROW(bhpc_data[sku]),ROW(bhpc_data[sku])),ROWS($A$15:A160)+$B$3)),INDEX(bhpc_data[description],SMALL(IF(ISNUMBER(MATCH(bhpc_data[size1],$EC$13,0)),MATCH(ROW(bhpc_data[sku]),ROW(bhpc_data[sku])),""),ROWS($A$15:A160)+$B$3))),IF($EC$13="",INDEX(bhpc_data[description],SMALL(IF(ISNUMBER(MATCH(bhpc_data[sex],$EC$11,0)),MATCH(ROW(bhpc_data[sku]),ROW(bhpc_data[sku])),""),ROWS($A$15:A160)+$B$3)),INDEX(bhpc_data[description],SMALL(IF(ISNUMBER(MATCH(bhpc_data[sex],$EC$11,0)*MATCH(bhpc_data[size1],$EC$13,0)),MATCH(ROW(bhpc_data[sku]),ROW(bhpc_data[sku])),""),ROWS($A$15:A160)+$B$3)))),IF($EC$11="",IF($EC$13="",INDEX(bhpc_data[description],SMALL(IF(ISNUMBER(MATCH(bhpc_data[category],$EC$9,0)),MATCH(ROW(bhpc_data[sku]),ROW(bhpc_data[sku])),""),ROWS($A$15:A160)+$B$3)),INDEX(bhpc_data[description],SMALL(IF(ISNUMBER(MATCH(bhpc_data[category],$EC$9,0)*MATCH(bhpc_data[size1],$EC$13,0)),MATCH(ROW(bhpc_data[sku]),ROW(bhpc_data[sku])),""),ROWS($A$15:A160)+$B$3))),IF($EC$13="",INDEX(bhpc_data[description],SMALL(IF(ISNUMBER(MATCH(bhpc_data[category],$EC$9,0)*MATCH(bhpc_data[sex],$EC$11,0)),MATCH(ROW(bhpc_data[sku]),ROW(bhpc_data[sku])),""),ROWS($A$15:A160)+$B$3)),INDEX(bhpc_data[description],SMALL(IF(ISNUMBER(MATCH(bhpc_data[category],$EC$9,0)*MATCH(bhpc_data[sex],$EC$11,0)*MATCH(bhpc_data[size1],$EC$13,0)),MATCH(ROW(bhpc_data[sku]),ROW(bhpc_data[sku])),""),ROWS($A$15:A160)+$B$3))))),"")</f>
        <v>YB1306A BHPC SUNGLASSES GOLD/BLACK GRADIENT GREY</v>
      </c>
      <c r="EG155" s="543">
        <f>IFERROR(IF('BHPC MANAGER'!$EE155="","",INDEX(inventory[ESISTENZA],MATCH('BHPC MANAGER'!$EE155,inventory[ARTICOLO],0))),0)</f>
        <v>179</v>
      </c>
      <c r="EH155" s="544">
        <v>-30</v>
      </c>
      <c r="EI155" s="544">
        <f t="shared" si="14"/>
        <v>149</v>
      </c>
      <c r="EJ155" s="545">
        <v>0</v>
      </c>
      <c r="EK155" s="546">
        <f t="shared" si="15"/>
        <v>149</v>
      </c>
    </row>
    <row r="156" spans="63:141" x14ac:dyDescent="0.35">
      <c r="BK156" s="366"/>
      <c r="BL156" s="367"/>
      <c r="BM156" s="368"/>
      <c r="BN156" s="367"/>
      <c r="BO156" s="368"/>
      <c r="EE156" s="547" t="str" cm="1">
        <f t="array" ref="EE156">IFERROR(IF($EC$9="",IF($EC$11="",IF($EC$13="",INDEX(bhpc_data[sku],SMALL(MATCH(ROW(bhpc_data[sku]),ROW(bhpc_data[sku])),ROWS($A$15:A161)+$B$3)),INDEX(bhpc_data[sku],SMALL(IF(ISNUMBER(MATCH(bhpc_data[size1],$EC$13,0)),MATCH(ROW(bhpc_data[sku]),ROW(bhpc_data[sku])),""),ROWS($A$15:A161)+$B$3))),IF($EC$13="",INDEX(bhpc_data[sku],SMALL(IF(ISNUMBER(MATCH(bhpc_data[sex],$EC$11,0)),MATCH(ROW(bhpc_data[sku]),ROW(bhpc_data[sku])),""),ROWS($A$15:A161)+$B$3)),INDEX(bhpc_data[sku],SMALL(IF(ISNUMBER(MATCH(bhpc_data[sex],$EC$11,0)*MATCH(bhpc_data[size1],$EC$13,0)),MATCH(ROW(bhpc_data[sku]),ROW(bhpc_data[sku])),""),ROWS($A$15:A161)+$B$3)))),IF($EC$11="",IF($EC$13="",INDEX(bhpc_data[sku],SMALL(IF(ISNUMBER(MATCH(bhpc_data[category],$EC$9,0)),MATCH(ROW(bhpc_data[sku]),ROW(bhpc_data[sku])),""),ROWS($A$15:A161)+$B$3)),INDEX(bhpc_data[sku],SMALL(IF(ISNUMBER(MATCH(bhpc_data[category],$EC$9,0)*MATCH(bhpc_data[size1],$EC$13,0)),MATCH(ROW(bhpc_data[sku]),ROW(bhpc_data[sku])),""),ROWS($A$15:A161)+$B$3))),IF($EC$13="",INDEX(bhpc_data[sku],SMALL(IF(ISNUMBER(MATCH(bhpc_data[category],$EC$9,0)*MATCH(bhpc_data[sex],$EC$11,0)),MATCH(ROW(bhpc_data[sku]),ROW(bhpc_data[sku])),""),ROWS($A$15:A161)+$B$3)),INDEX(bhpc_data[sku],SMALL(IF(ISNUMBER(MATCH(bhpc_data[category],$EC$9,0)*MATCH(bhpc_data[sex],$EC$11,0)*MATCH(bhpc_data[size1],$EC$13,0)),MATCH(ROW(bhpc_data[sku]),ROW(bhpc_data[sku])),""),ROWS($A$15:A161)+$B$3))))),"")</f>
        <v>Y00026</v>
      </c>
      <c r="EF156" s="548" t="str" cm="1">
        <f t="array" ref="EF156">IFERROR(IF($EC$9="",IF($EC$11="",IF($EC$13="",INDEX(bhpc_data[description],SMALL(MATCH(ROW(bhpc_data[sku]),ROW(bhpc_data[sku])),ROWS($A$15:A161)+$B$3)),INDEX(bhpc_data[description],SMALL(IF(ISNUMBER(MATCH(bhpc_data[size1],$EC$13,0)),MATCH(ROW(bhpc_data[sku]),ROW(bhpc_data[sku])),""),ROWS($A$15:A161)+$B$3))),IF($EC$13="",INDEX(bhpc_data[description],SMALL(IF(ISNUMBER(MATCH(bhpc_data[sex],$EC$11,0)),MATCH(ROW(bhpc_data[sku]),ROW(bhpc_data[sku])),""),ROWS($A$15:A161)+$B$3)),INDEX(bhpc_data[description],SMALL(IF(ISNUMBER(MATCH(bhpc_data[sex],$EC$11,0)*MATCH(bhpc_data[size1],$EC$13,0)),MATCH(ROW(bhpc_data[sku]),ROW(bhpc_data[sku])),""),ROWS($A$15:A161)+$B$3)))),IF($EC$11="",IF($EC$13="",INDEX(bhpc_data[description],SMALL(IF(ISNUMBER(MATCH(bhpc_data[category],$EC$9,0)),MATCH(ROW(bhpc_data[sku]),ROW(bhpc_data[sku])),""),ROWS($A$15:A161)+$B$3)),INDEX(bhpc_data[description],SMALL(IF(ISNUMBER(MATCH(bhpc_data[category],$EC$9,0)*MATCH(bhpc_data[size1],$EC$13,0)),MATCH(ROW(bhpc_data[sku]),ROW(bhpc_data[sku])),""),ROWS($A$15:A161)+$B$3))),IF($EC$13="",INDEX(bhpc_data[description],SMALL(IF(ISNUMBER(MATCH(bhpc_data[category],$EC$9,0)*MATCH(bhpc_data[sex],$EC$11,0)),MATCH(ROW(bhpc_data[sku]),ROW(bhpc_data[sku])),""),ROWS($A$15:A161)+$B$3)),INDEX(bhpc_data[description],SMALL(IF(ISNUMBER(MATCH(bhpc_data[category],$EC$9,0)*MATCH(bhpc_data[sex],$EC$11,0)*MATCH(bhpc_data[size1],$EC$13,0)),MATCH(ROW(bhpc_data[sku]),ROW(bhpc_data[sku])),""),ROWS($A$15:A161)+$B$3))))),"")</f>
        <v>YB1306B BHPC SUNGLASSES GOLD/BEIGE / GRADIENT CLAY</v>
      </c>
      <c r="EG156" s="549">
        <f>IFERROR(IF('BHPC MANAGER'!$EE156="","",INDEX(inventory[ESISTENZA],MATCH('BHPC MANAGER'!$EE156,inventory[ARTICOLO],0))),0)</f>
        <v>299</v>
      </c>
      <c r="EH156" s="550">
        <v>-30</v>
      </c>
      <c r="EI156" s="550">
        <f t="shared" si="14"/>
        <v>269</v>
      </c>
      <c r="EJ156" s="551">
        <v>0</v>
      </c>
      <c r="EK156" s="552">
        <f t="shared" si="15"/>
        <v>269</v>
      </c>
    </row>
    <row r="157" spans="63:141" x14ac:dyDescent="0.35">
      <c r="BK157" s="366"/>
      <c r="BL157" s="367"/>
      <c r="BM157" s="368"/>
      <c r="BN157" s="367"/>
      <c r="BO157" s="368"/>
      <c r="EE157" s="541" t="str" cm="1">
        <f t="array" ref="EE157">IFERROR(IF($EC$9="",IF($EC$11="",IF($EC$13="",INDEX(bhpc_data[sku],SMALL(MATCH(ROW(bhpc_data[sku]),ROW(bhpc_data[sku])),ROWS($A$15:A162)+$B$3)),INDEX(bhpc_data[sku],SMALL(IF(ISNUMBER(MATCH(bhpc_data[size1],$EC$13,0)),MATCH(ROW(bhpc_data[sku]),ROW(bhpc_data[sku])),""),ROWS($A$15:A162)+$B$3))),IF($EC$13="",INDEX(bhpc_data[sku],SMALL(IF(ISNUMBER(MATCH(bhpc_data[sex],$EC$11,0)),MATCH(ROW(bhpc_data[sku]),ROW(bhpc_data[sku])),""),ROWS($A$15:A162)+$B$3)),INDEX(bhpc_data[sku],SMALL(IF(ISNUMBER(MATCH(bhpc_data[sex],$EC$11,0)*MATCH(bhpc_data[size1],$EC$13,0)),MATCH(ROW(bhpc_data[sku]),ROW(bhpc_data[sku])),""),ROWS($A$15:A162)+$B$3)))),IF($EC$11="",IF($EC$13="",INDEX(bhpc_data[sku],SMALL(IF(ISNUMBER(MATCH(bhpc_data[category],$EC$9,0)),MATCH(ROW(bhpc_data[sku]),ROW(bhpc_data[sku])),""),ROWS($A$15:A162)+$B$3)),INDEX(bhpc_data[sku],SMALL(IF(ISNUMBER(MATCH(bhpc_data[category],$EC$9,0)*MATCH(bhpc_data[size1],$EC$13,0)),MATCH(ROW(bhpc_data[sku]),ROW(bhpc_data[sku])),""),ROWS($A$15:A162)+$B$3))),IF($EC$13="",INDEX(bhpc_data[sku],SMALL(IF(ISNUMBER(MATCH(bhpc_data[category],$EC$9,0)*MATCH(bhpc_data[sex],$EC$11,0)),MATCH(ROW(bhpc_data[sku]),ROW(bhpc_data[sku])),""),ROWS($A$15:A162)+$B$3)),INDEX(bhpc_data[sku],SMALL(IF(ISNUMBER(MATCH(bhpc_data[category],$EC$9,0)*MATCH(bhpc_data[sex],$EC$11,0)*MATCH(bhpc_data[size1],$EC$13,0)),MATCH(ROW(bhpc_data[sku]),ROW(bhpc_data[sku])),""),ROWS($A$15:A162)+$B$3))))),"")</f>
        <v>Y00027</v>
      </c>
      <c r="EF157" s="542" t="str" cm="1">
        <f t="array" ref="EF157">IFERROR(IF($EC$9="",IF($EC$11="",IF($EC$13="",INDEX(bhpc_data[description],SMALL(MATCH(ROW(bhpc_data[sku]),ROW(bhpc_data[sku])),ROWS($A$15:A162)+$B$3)),INDEX(bhpc_data[description],SMALL(IF(ISNUMBER(MATCH(bhpc_data[size1],$EC$13,0)),MATCH(ROW(bhpc_data[sku]),ROW(bhpc_data[sku])),""),ROWS($A$15:A162)+$B$3))),IF($EC$13="",INDEX(bhpc_data[description],SMALL(IF(ISNUMBER(MATCH(bhpc_data[sex],$EC$11,0)),MATCH(ROW(bhpc_data[sku]),ROW(bhpc_data[sku])),""),ROWS($A$15:A162)+$B$3)),INDEX(bhpc_data[description],SMALL(IF(ISNUMBER(MATCH(bhpc_data[sex],$EC$11,0)*MATCH(bhpc_data[size1],$EC$13,0)),MATCH(ROW(bhpc_data[sku]),ROW(bhpc_data[sku])),""),ROWS($A$15:A162)+$B$3)))),IF($EC$11="",IF($EC$13="",INDEX(bhpc_data[description],SMALL(IF(ISNUMBER(MATCH(bhpc_data[category],$EC$9,0)),MATCH(ROW(bhpc_data[sku]),ROW(bhpc_data[sku])),""),ROWS($A$15:A162)+$B$3)),INDEX(bhpc_data[description],SMALL(IF(ISNUMBER(MATCH(bhpc_data[category],$EC$9,0)*MATCH(bhpc_data[size1],$EC$13,0)),MATCH(ROW(bhpc_data[sku]),ROW(bhpc_data[sku])),""),ROWS($A$15:A162)+$B$3))),IF($EC$13="",INDEX(bhpc_data[description],SMALL(IF(ISNUMBER(MATCH(bhpc_data[category],$EC$9,0)*MATCH(bhpc_data[sex],$EC$11,0)),MATCH(ROW(bhpc_data[sku]),ROW(bhpc_data[sku])),""),ROWS($A$15:A162)+$B$3)),INDEX(bhpc_data[description],SMALL(IF(ISNUMBER(MATCH(bhpc_data[category],$EC$9,0)*MATCH(bhpc_data[sex],$EC$11,0)*MATCH(bhpc_data[size1],$EC$13,0)),MATCH(ROW(bhpc_data[sku]),ROW(bhpc_data[sku])),""),ROWS($A$15:A162)+$B$3))))),"")</f>
        <v>YB1306C BHPC SUNGLASSES BRONZE GOLD / GRADIENT COFFEE</v>
      </c>
      <c r="EG157" s="543">
        <f>IFERROR(IF('BHPC MANAGER'!$EE157="","",INDEX(inventory[ESISTENZA],MATCH('BHPC MANAGER'!$EE157,inventory[ARTICOLO],0))),0)</f>
        <v>179</v>
      </c>
      <c r="EH157" s="544">
        <v>-30</v>
      </c>
      <c r="EI157" s="544">
        <f t="shared" si="14"/>
        <v>149</v>
      </c>
      <c r="EJ157" s="545">
        <v>0</v>
      </c>
      <c r="EK157" s="546">
        <f t="shared" si="15"/>
        <v>149</v>
      </c>
    </row>
    <row r="158" spans="63:141" x14ac:dyDescent="0.35">
      <c r="BK158" s="366"/>
      <c r="BL158" s="367"/>
      <c r="BM158" s="368"/>
      <c r="BN158" s="367"/>
      <c r="BO158" s="368"/>
      <c r="EE158" s="547" t="str" cm="1">
        <f t="array" ref="EE158">IFERROR(IF($EC$9="",IF($EC$11="",IF($EC$13="",INDEX(bhpc_data[sku],SMALL(MATCH(ROW(bhpc_data[sku]),ROW(bhpc_data[sku])),ROWS($A$15:A163)+$B$3)),INDEX(bhpc_data[sku],SMALL(IF(ISNUMBER(MATCH(bhpc_data[size1],$EC$13,0)),MATCH(ROW(bhpc_data[sku]),ROW(bhpc_data[sku])),""),ROWS($A$15:A163)+$B$3))),IF($EC$13="",INDEX(bhpc_data[sku],SMALL(IF(ISNUMBER(MATCH(bhpc_data[sex],$EC$11,0)),MATCH(ROW(bhpc_data[sku]),ROW(bhpc_data[sku])),""),ROWS($A$15:A163)+$B$3)),INDEX(bhpc_data[sku],SMALL(IF(ISNUMBER(MATCH(bhpc_data[sex],$EC$11,0)*MATCH(bhpc_data[size1],$EC$13,0)),MATCH(ROW(bhpc_data[sku]),ROW(bhpc_data[sku])),""),ROWS($A$15:A163)+$B$3)))),IF($EC$11="",IF($EC$13="",INDEX(bhpc_data[sku],SMALL(IF(ISNUMBER(MATCH(bhpc_data[category],$EC$9,0)),MATCH(ROW(bhpc_data[sku]),ROW(bhpc_data[sku])),""),ROWS($A$15:A163)+$B$3)),INDEX(bhpc_data[sku],SMALL(IF(ISNUMBER(MATCH(bhpc_data[category],$EC$9,0)*MATCH(bhpc_data[size1],$EC$13,0)),MATCH(ROW(bhpc_data[sku]),ROW(bhpc_data[sku])),""),ROWS($A$15:A163)+$B$3))),IF($EC$13="",INDEX(bhpc_data[sku],SMALL(IF(ISNUMBER(MATCH(bhpc_data[category],$EC$9,0)*MATCH(bhpc_data[sex],$EC$11,0)),MATCH(ROW(bhpc_data[sku]),ROW(bhpc_data[sku])),""),ROWS($A$15:A163)+$B$3)),INDEX(bhpc_data[sku],SMALL(IF(ISNUMBER(MATCH(bhpc_data[category],$EC$9,0)*MATCH(bhpc_data[sex],$EC$11,0)*MATCH(bhpc_data[size1],$EC$13,0)),MATCH(ROW(bhpc_data[sku]),ROW(bhpc_data[sku])),""),ROWS($A$15:A163)+$B$3))))),"")</f>
        <v>Y00028</v>
      </c>
      <c r="EF158" s="548" t="str" cm="1">
        <f t="array" ref="EF158">IFERROR(IF($EC$9="",IF($EC$11="",IF($EC$13="",INDEX(bhpc_data[description],SMALL(MATCH(ROW(bhpc_data[sku]),ROW(bhpc_data[sku])),ROWS($A$15:A163)+$B$3)),INDEX(bhpc_data[description],SMALL(IF(ISNUMBER(MATCH(bhpc_data[size1],$EC$13,0)),MATCH(ROW(bhpc_data[sku]),ROW(bhpc_data[sku])),""),ROWS($A$15:A163)+$B$3))),IF($EC$13="",INDEX(bhpc_data[description],SMALL(IF(ISNUMBER(MATCH(bhpc_data[sex],$EC$11,0)),MATCH(ROW(bhpc_data[sku]),ROW(bhpc_data[sku])),""),ROWS($A$15:A163)+$B$3)),INDEX(bhpc_data[description],SMALL(IF(ISNUMBER(MATCH(bhpc_data[sex],$EC$11,0)*MATCH(bhpc_data[size1],$EC$13,0)),MATCH(ROW(bhpc_data[sku]),ROW(bhpc_data[sku])),""),ROWS($A$15:A163)+$B$3)))),IF($EC$11="",IF($EC$13="",INDEX(bhpc_data[description],SMALL(IF(ISNUMBER(MATCH(bhpc_data[category],$EC$9,0)),MATCH(ROW(bhpc_data[sku]),ROW(bhpc_data[sku])),""),ROWS($A$15:A163)+$B$3)),INDEX(bhpc_data[description],SMALL(IF(ISNUMBER(MATCH(bhpc_data[category],$EC$9,0)*MATCH(bhpc_data[size1],$EC$13,0)),MATCH(ROW(bhpc_data[sku]),ROW(bhpc_data[sku])),""),ROWS($A$15:A163)+$B$3))),IF($EC$13="",INDEX(bhpc_data[description],SMALL(IF(ISNUMBER(MATCH(bhpc_data[category],$EC$9,0)*MATCH(bhpc_data[sex],$EC$11,0)),MATCH(ROW(bhpc_data[sku]),ROW(bhpc_data[sku])),""),ROWS($A$15:A163)+$B$3)),INDEX(bhpc_data[description],SMALL(IF(ISNUMBER(MATCH(bhpc_data[category],$EC$9,0)*MATCH(bhpc_data[sex],$EC$11,0)*MATCH(bhpc_data[size1],$EC$13,0)),MATCH(ROW(bhpc_data[sku]),ROW(bhpc_data[sku])),""),ROWS($A$15:A163)+$B$3))))),"")</f>
        <v>YB2311A BHPC SUNGLASSES DEMI / GRADIENT MOCCA</v>
      </c>
      <c r="EG158" s="549">
        <f>IFERROR(IF('BHPC MANAGER'!$EE158="","",INDEX(inventory[ESISTENZA],MATCH('BHPC MANAGER'!$EE158,inventory[ARTICOLO],0))),0)</f>
        <v>179</v>
      </c>
      <c r="EH158" s="550">
        <v>-30</v>
      </c>
      <c r="EI158" s="550">
        <f t="shared" si="14"/>
        <v>149</v>
      </c>
      <c r="EJ158" s="551">
        <v>0</v>
      </c>
      <c r="EK158" s="552">
        <f t="shared" si="15"/>
        <v>149</v>
      </c>
    </row>
    <row r="159" spans="63:141" x14ac:dyDescent="0.35">
      <c r="BK159" s="366"/>
      <c r="BL159" s="367"/>
      <c r="BM159" s="368"/>
      <c r="BN159" s="367"/>
      <c r="BO159" s="368"/>
      <c r="EE159" s="541" t="str" cm="1">
        <f t="array" ref="EE159">IFERROR(IF($EC$9="",IF($EC$11="",IF($EC$13="",INDEX(bhpc_data[sku],SMALL(MATCH(ROW(bhpc_data[sku]),ROW(bhpc_data[sku])),ROWS($A$15:A164)+$B$3)),INDEX(bhpc_data[sku],SMALL(IF(ISNUMBER(MATCH(bhpc_data[size1],$EC$13,0)),MATCH(ROW(bhpc_data[sku]),ROW(bhpc_data[sku])),""),ROWS($A$15:A164)+$B$3))),IF($EC$13="",INDEX(bhpc_data[sku],SMALL(IF(ISNUMBER(MATCH(bhpc_data[sex],$EC$11,0)),MATCH(ROW(bhpc_data[sku]),ROW(bhpc_data[sku])),""),ROWS($A$15:A164)+$B$3)),INDEX(bhpc_data[sku],SMALL(IF(ISNUMBER(MATCH(bhpc_data[sex],$EC$11,0)*MATCH(bhpc_data[size1],$EC$13,0)),MATCH(ROW(bhpc_data[sku]),ROW(bhpc_data[sku])),""),ROWS($A$15:A164)+$B$3)))),IF($EC$11="",IF($EC$13="",INDEX(bhpc_data[sku],SMALL(IF(ISNUMBER(MATCH(bhpc_data[category],$EC$9,0)),MATCH(ROW(bhpc_data[sku]),ROW(bhpc_data[sku])),""),ROWS($A$15:A164)+$B$3)),INDEX(bhpc_data[sku],SMALL(IF(ISNUMBER(MATCH(bhpc_data[category],$EC$9,0)*MATCH(bhpc_data[size1],$EC$13,0)),MATCH(ROW(bhpc_data[sku]),ROW(bhpc_data[sku])),""),ROWS($A$15:A164)+$B$3))),IF($EC$13="",INDEX(bhpc_data[sku],SMALL(IF(ISNUMBER(MATCH(bhpc_data[category],$EC$9,0)*MATCH(bhpc_data[sex],$EC$11,0)),MATCH(ROW(bhpc_data[sku]),ROW(bhpc_data[sku])),""),ROWS($A$15:A164)+$B$3)),INDEX(bhpc_data[sku],SMALL(IF(ISNUMBER(MATCH(bhpc_data[category],$EC$9,0)*MATCH(bhpc_data[sex],$EC$11,0)*MATCH(bhpc_data[size1],$EC$13,0)),MATCH(ROW(bhpc_data[sku]),ROW(bhpc_data[sku])),""),ROWS($A$15:A164)+$B$3))))),"")</f>
        <v>Y00029</v>
      </c>
      <c r="EF159" s="542" t="str" cm="1">
        <f t="array" ref="EF159">IFERROR(IF($EC$9="",IF($EC$11="",IF($EC$13="",INDEX(bhpc_data[description],SMALL(MATCH(ROW(bhpc_data[sku]),ROW(bhpc_data[sku])),ROWS($A$15:A164)+$B$3)),INDEX(bhpc_data[description],SMALL(IF(ISNUMBER(MATCH(bhpc_data[size1],$EC$13,0)),MATCH(ROW(bhpc_data[sku]),ROW(bhpc_data[sku])),""),ROWS($A$15:A164)+$B$3))),IF($EC$13="",INDEX(bhpc_data[description],SMALL(IF(ISNUMBER(MATCH(bhpc_data[sex],$EC$11,0)),MATCH(ROW(bhpc_data[sku]),ROW(bhpc_data[sku])),""),ROWS($A$15:A164)+$B$3)),INDEX(bhpc_data[description],SMALL(IF(ISNUMBER(MATCH(bhpc_data[sex],$EC$11,0)*MATCH(bhpc_data[size1],$EC$13,0)),MATCH(ROW(bhpc_data[sku]),ROW(bhpc_data[sku])),""),ROWS($A$15:A164)+$B$3)))),IF($EC$11="",IF($EC$13="",INDEX(bhpc_data[description],SMALL(IF(ISNUMBER(MATCH(bhpc_data[category],$EC$9,0)),MATCH(ROW(bhpc_data[sku]),ROW(bhpc_data[sku])),""),ROWS($A$15:A164)+$B$3)),INDEX(bhpc_data[description],SMALL(IF(ISNUMBER(MATCH(bhpc_data[category],$EC$9,0)*MATCH(bhpc_data[size1],$EC$13,0)),MATCH(ROW(bhpc_data[sku]),ROW(bhpc_data[sku])),""),ROWS($A$15:A164)+$B$3))),IF($EC$13="",INDEX(bhpc_data[description],SMALL(IF(ISNUMBER(MATCH(bhpc_data[category],$EC$9,0)*MATCH(bhpc_data[sex],$EC$11,0)),MATCH(ROW(bhpc_data[sku]),ROW(bhpc_data[sku])),""),ROWS($A$15:A164)+$B$3)),INDEX(bhpc_data[description],SMALL(IF(ISNUMBER(MATCH(bhpc_data[category],$EC$9,0)*MATCH(bhpc_data[sex],$EC$11,0)*MATCH(bhpc_data[size1],$EC$13,0)),MATCH(ROW(bhpc_data[sku]),ROW(bhpc_data[sku])),""),ROWS($A$15:A164)+$B$3))))),"")</f>
        <v>YB2311B BHPC SUNGLASSES BLACK / GRADIENT GREY</v>
      </c>
      <c r="EG159" s="543">
        <f>IFERROR(IF('BHPC MANAGER'!$EE159="","",INDEX(inventory[ESISTENZA],MATCH('BHPC MANAGER'!$EE159,inventory[ARTICOLO],0))),0)</f>
        <v>179</v>
      </c>
      <c r="EH159" s="544">
        <v>-30</v>
      </c>
      <c r="EI159" s="544">
        <f t="shared" si="14"/>
        <v>149</v>
      </c>
      <c r="EJ159" s="545">
        <v>0</v>
      </c>
      <c r="EK159" s="546">
        <f t="shared" si="15"/>
        <v>149</v>
      </c>
    </row>
    <row r="160" spans="63:141" x14ac:dyDescent="0.35">
      <c r="BK160" s="366"/>
      <c r="BL160" s="367"/>
      <c r="BM160" s="368"/>
      <c r="BN160" s="367"/>
      <c r="BO160" s="368"/>
      <c r="EE160" s="547" t="str" cm="1">
        <f t="array" ref="EE160">IFERROR(IF($EC$9="",IF($EC$11="",IF($EC$13="",INDEX(bhpc_data[sku],SMALL(MATCH(ROW(bhpc_data[sku]),ROW(bhpc_data[sku])),ROWS($A$15:A165)+$B$3)),INDEX(bhpc_data[sku],SMALL(IF(ISNUMBER(MATCH(bhpc_data[size1],$EC$13,0)),MATCH(ROW(bhpc_data[sku]),ROW(bhpc_data[sku])),""),ROWS($A$15:A165)+$B$3))),IF($EC$13="",INDEX(bhpc_data[sku],SMALL(IF(ISNUMBER(MATCH(bhpc_data[sex],$EC$11,0)),MATCH(ROW(bhpc_data[sku]),ROW(bhpc_data[sku])),""),ROWS($A$15:A165)+$B$3)),INDEX(bhpc_data[sku],SMALL(IF(ISNUMBER(MATCH(bhpc_data[sex],$EC$11,0)*MATCH(bhpc_data[size1],$EC$13,0)),MATCH(ROW(bhpc_data[sku]),ROW(bhpc_data[sku])),""),ROWS($A$15:A165)+$B$3)))),IF($EC$11="",IF($EC$13="",INDEX(bhpc_data[sku],SMALL(IF(ISNUMBER(MATCH(bhpc_data[category],$EC$9,0)),MATCH(ROW(bhpc_data[sku]),ROW(bhpc_data[sku])),""),ROWS($A$15:A165)+$B$3)),INDEX(bhpc_data[sku],SMALL(IF(ISNUMBER(MATCH(bhpc_data[category],$EC$9,0)*MATCH(bhpc_data[size1],$EC$13,0)),MATCH(ROW(bhpc_data[sku]),ROW(bhpc_data[sku])),""),ROWS($A$15:A165)+$B$3))),IF($EC$13="",INDEX(bhpc_data[sku],SMALL(IF(ISNUMBER(MATCH(bhpc_data[category],$EC$9,0)*MATCH(bhpc_data[sex],$EC$11,0)),MATCH(ROW(bhpc_data[sku]),ROW(bhpc_data[sku])),""),ROWS($A$15:A165)+$B$3)),INDEX(bhpc_data[sku],SMALL(IF(ISNUMBER(MATCH(bhpc_data[category],$EC$9,0)*MATCH(bhpc_data[sex],$EC$11,0)*MATCH(bhpc_data[size1],$EC$13,0)),MATCH(ROW(bhpc_data[sku]),ROW(bhpc_data[sku])),""),ROWS($A$15:A165)+$B$3))))),"")</f>
        <v>Y00030</v>
      </c>
      <c r="EF160" s="548" t="str" cm="1">
        <f t="array" ref="EF160">IFERROR(IF($EC$9="",IF($EC$11="",IF($EC$13="",INDEX(bhpc_data[description],SMALL(MATCH(ROW(bhpc_data[sku]),ROW(bhpc_data[sku])),ROWS($A$15:A165)+$B$3)),INDEX(bhpc_data[description],SMALL(IF(ISNUMBER(MATCH(bhpc_data[size1],$EC$13,0)),MATCH(ROW(bhpc_data[sku]),ROW(bhpc_data[sku])),""),ROWS($A$15:A165)+$B$3))),IF($EC$13="",INDEX(bhpc_data[description],SMALL(IF(ISNUMBER(MATCH(bhpc_data[sex],$EC$11,0)),MATCH(ROW(bhpc_data[sku]),ROW(bhpc_data[sku])),""),ROWS($A$15:A165)+$B$3)),INDEX(bhpc_data[description],SMALL(IF(ISNUMBER(MATCH(bhpc_data[sex],$EC$11,0)*MATCH(bhpc_data[size1],$EC$13,0)),MATCH(ROW(bhpc_data[sku]),ROW(bhpc_data[sku])),""),ROWS($A$15:A165)+$B$3)))),IF($EC$11="",IF($EC$13="",INDEX(bhpc_data[description],SMALL(IF(ISNUMBER(MATCH(bhpc_data[category],$EC$9,0)),MATCH(ROW(bhpc_data[sku]),ROW(bhpc_data[sku])),""),ROWS($A$15:A165)+$B$3)),INDEX(bhpc_data[description],SMALL(IF(ISNUMBER(MATCH(bhpc_data[category],$EC$9,0)*MATCH(bhpc_data[size1],$EC$13,0)),MATCH(ROW(bhpc_data[sku]),ROW(bhpc_data[sku])),""),ROWS($A$15:A165)+$B$3))),IF($EC$13="",INDEX(bhpc_data[description],SMALL(IF(ISNUMBER(MATCH(bhpc_data[category],$EC$9,0)*MATCH(bhpc_data[sex],$EC$11,0)),MATCH(ROW(bhpc_data[sku]),ROW(bhpc_data[sku])),""),ROWS($A$15:A165)+$B$3)),INDEX(bhpc_data[description],SMALL(IF(ISNUMBER(MATCH(bhpc_data[category],$EC$9,0)*MATCH(bhpc_data[sex],$EC$11,0)*MATCH(bhpc_data[size1],$EC$13,0)),MATCH(ROW(bhpc_data[sku]),ROW(bhpc_data[sku])),""),ROWS($A$15:A165)+$B$3))))),"")</f>
        <v>YB2311C BHPC SUNGLASSES TRANSP. OLIVE / GRADIENT CLAY</v>
      </c>
      <c r="EG160" s="549">
        <f>IFERROR(IF('BHPC MANAGER'!$EE160="","",INDEX(inventory[ESISTENZA],MATCH('BHPC MANAGER'!$EE160,inventory[ARTICOLO],0))),0)</f>
        <v>299</v>
      </c>
      <c r="EH160" s="550">
        <v>-30</v>
      </c>
      <c r="EI160" s="550">
        <f t="shared" si="14"/>
        <v>269</v>
      </c>
      <c r="EJ160" s="551">
        <v>0</v>
      </c>
      <c r="EK160" s="552">
        <f t="shared" si="15"/>
        <v>269</v>
      </c>
    </row>
    <row r="161" spans="63:141" x14ac:dyDescent="0.35">
      <c r="BK161" s="366"/>
      <c r="BL161" s="367"/>
      <c r="BM161" s="368"/>
      <c r="BN161" s="367"/>
      <c r="BO161" s="368"/>
      <c r="EE161" s="541" t="str" cm="1">
        <f t="array" ref="EE161">IFERROR(IF($EC$9="",IF($EC$11="",IF($EC$13="",INDEX(bhpc_data[sku],SMALL(MATCH(ROW(bhpc_data[sku]),ROW(bhpc_data[sku])),ROWS($A$15:A166)+$B$3)),INDEX(bhpc_data[sku],SMALL(IF(ISNUMBER(MATCH(bhpc_data[size1],$EC$13,0)),MATCH(ROW(bhpc_data[sku]),ROW(bhpc_data[sku])),""),ROWS($A$15:A166)+$B$3))),IF($EC$13="",INDEX(bhpc_data[sku],SMALL(IF(ISNUMBER(MATCH(bhpc_data[sex],$EC$11,0)),MATCH(ROW(bhpc_data[sku]),ROW(bhpc_data[sku])),""),ROWS($A$15:A166)+$B$3)),INDEX(bhpc_data[sku],SMALL(IF(ISNUMBER(MATCH(bhpc_data[sex],$EC$11,0)*MATCH(bhpc_data[size1],$EC$13,0)),MATCH(ROW(bhpc_data[sku]),ROW(bhpc_data[sku])),""),ROWS($A$15:A166)+$B$3)))),IF($EC$11="",IF($EC$13="",INDEX(bhpc_data[sku],SMALL(IF(ISNUMBER(MATCH(bhpc_data[category],$EC$9,0)),MATCH(ROW(bhpc_data[sku]),ROW(bhpc_data[sku])),""),ROWS($A$15:A166)+$B$3)),INDEX(bhpc_data[sku],SMALL(IF(ISNUMBER(MATCH(bhpc_data[category],$EC$9,0)*MATCH(bhpc_data[size1],$EC$13,0)),MATCH(ROW(bhpc_data[sku]),ROW(bhpc_data[sku])),""),ROWS($A$15:A166)+$B$3))),IF($EC$13="",INDEX(bhpc_data[sku],SMALL(IF(ISNUMBER(MATCH(bhpc_data[category],$EC$9,0)*MATCH(bhpc_data[sex],$EC$11,0)),MATCH(ROW(bhpc_data[sku]),ROW(bhpc_data[sku])),""),ROWS($A$15:A166)+$B$3)),INDEX(bhpc_data[sku],SMALL(IF(ISNUMBER(MATCH(bhpc_data[category],$EC$9,0)*MATCH(bhpc_data[sex],$EC$11,0)*MATCH(bhpc_data[size1],$EC$13,0)),MATCH(ROW(bhpc_data[sku]),ROW(bhpc_data[sku])),""),ROWS($A$15:A166)+$B$3))))),"")</f>
        <v>Y00031</v>
      </c>
      <c r="EF161" s="542" t="str" cm="1">
        <f t="array" ref="EF161">IFERROR(IF($EC$9="",IF($EC$11="",IF($EC$13="",INDEX(bhpc_data[description],SMALL(MATCH(ROW(bhpc_data[sku]),ROW(bhpc_data[sku])),ROWS($A$15:A166)+$B$3)),INDEX(bhpc_data[description],SMALL(IF(ISNUMBER(MATCH(bhpc_data[size1],$EC$13,0)),MATCH(ROW(bhpc_data[sku]),ROW(bhpc_data[sku])),""),ROWS($A$15:A166)+$B$3))),IF($EC$13="",INDEX(bhpc_data[description],SMALL(IF(ISNUMBER(MATCH(bhpc_data[sex],$EC$11,0)),MATCH(ROW(bhpc_data[sku]),ROW(bhpc_data[sku])),""),ROWS($A$15:A166)+$B$3)),INDEX(bhpc_data[description],SMALL(IF(ISNUMBER(MATCH(bhpc_data[sex],$EC$11,0)*MATCH(bhpc_data[size1],$EC$13,0)),MATCH(ROW(bhpc_data[sku]),ROW(bhpc_data[sku])),""),ROWS($A$15:A166)+$B$3)))),IF($EC$11="",IF($EC$13="",INDEX(bhpc_data[description],SMALL(IF(ISNUMBER(MATCH(bhpc_data[category],$EC$9,0)),MATCH(ROW(bhpc_data[sku]),ROW(bhpc_data[sku])),""),ROWS($A$15:A166)+$B$3)),INDEX(bhpc_data[description],SMALL(IF(ISNUMBER(MATCH(bhpc_data[category],$EC$9,0)*MATCH(bhpc_data[size1],$EC$13,0)),MATCH(ROW(bhpc_data[sku]),ROW(bhpc_data[sku])),""),ROWS($A$15:A166)+$B$3))),IF($EC$13="",INDEX(bhpc_data[description],SMALL(IF(ISNUMBER(MATCH(bhpc_data[category],$EC$9,0)*MATCH(bhpc_data[sex],$EC$11,0)),MATCH(ROW(bhpc_data[sku]),ROW(bhpc_data[sku])),""),ROWS($A$15:A166)+$B$3)),INDEX(bhpc_data[description],SMALL(IF(ISNUMBER(MATCH(bhpc_data[category],$EC$9,0)*MATCH(bhpc_data[sex],$EC$11,0)*MATCH(bhpc_data[size1],$EC$13,0)),MATCH(ROW(bhpc_data[sku]),ROW(bhpc_data[sku])),""),ROWS($A$15:A166)+$B$3))))),"")</f>
        <v>YB2315A BHPC SUNGLASSES BLACK CRYSTAL GRADIENT GREEN</v>
      </c>
      <c r="EG161" s="543">
        <f>IFERROR(IF('BHPC MANAGER'!$EE161="","",INDEX(inventory[ESISTENZA],MATCH('BHPC MANAGER'!$EE161,inventory[ARTICOLO],0))),0)</f>
        <v>161</v>
      </c>
      <c r="EH161" s="544">
        <v>-30</v>
      </c>
      <c r="EI161" s="544">
        <f t="shared" si="14"/>
        <v>131</v>
      </c>
      <c r="EJ161" s="545">
        <v>0</v>
      </c>
      <c r="EK161" s="546">
        <f t="shared" si="15"/>
        <v>131</v>
      </c>
    </row>
    <row r="162" spans="63:141" x14ac:dyDescent="0.35">
      <c r="BK162" s="366"/>
      <c r="BL162" s="367"/>
      <c r="BM162" s="368"/>
      <c r="BN162" s="367"/>
      <c r="BO162" s="368"/>
      <c r="EE162" s="547" t="str" cm="1">
        <f t="array" ref="EE162">IFERROR(IF($EC$9="",IF($EC$11="",IF($EC$13="",INDEX(bhpc_data[sku],SMALL(MATCH(ROW(bhpc_data[sku]),ROW(bhpc_data[sku])),ROWS($A$15:A167)+$B$3)),INDEX(bhpc_data[sku],SMALL(IF(ISNUMBER(MATCH(bhpc_data[size1],$EC$13,0)),MATCH(ROW(bhpc_data[sku]),ROW(bhpc_data[sku])),""),ROWS($A$15:A167)+$B$3))),IF($EC$13="",INDEX(bhpc_data[sku],SMALL(IF(ISNUMBER(MATCH(bhpc_data[sex],$EC$11,0)),MATCH(ROW(bhpc_data[sku]),ROW(bhpc_data[sku])),""),ROWS($A$15:A167)+$B$3)),INDEX(bhpc_data[sku],SMALL(IF(ISNUMBER(MATCH(bhpc_data[sex],$EC$11,0)*MATCH(bhpc_data[size1],$EC$13,0)),MATCH(ROW(bhpc_data[sku]),ROW(bhpc_data[sku])),""),ROWS($A$15:A167)+$B$3)))),IF($EC$11="",IF($EC$13="",INDEX(bhpc_data[sku],SMALL(IF(ISNUMBER(MATCH(bhpc_data[category],$EC$9,0)),MATCH(ROW(bhpc_data[sku]),ROW(bhpc_data[sku])),""),ROWS($A$15:A167)+$B$3)),INDEX(bhpc_data[sku],SMALL(IF(ISNUMBER(MATCH(bhpc_data[category],$EC$9,0)*MATCH(bhpc_data[size1],$EC$13,0)),MATCH(ROW(bhpc_data[sku]),ROW(bhpc_data[sku])),""),ROWS($A$15:A167)+$B$3))),IF($EC$13="",INDEX(bhpc_data[sku],SMALL(IF(ISNUMBER(MATCH(bhpc_data[category],$EC$9,0)*MATCH(bhpc_data[sex],$EC$11,0)),MATCH(ROW(bhpc_data[sku]),ROW(bhpc_data[sku])),""),ROWS($A$15:A167)+$B$3)),INDEX(bhpc_data[sku],SMALL(IF(ISNUMBER(MATCH(bhpc_data[category],$EC$9,0)*MATCH(bhpc_data[sex],$EC$11,0)*MATCH(bhpc_data[size1],$EC$13,0)),MATCH(ROW(bhpc_data[sku]),ROW(bhpc_data[sku])),""),ROWS($A$15:A167)+$B$3))))),"")</f>
        <v>Y00032</v>
      </c>
      <c r="EF162" s="548" t="str" cm="1">
        <f t="array" ref="EF162">IFERROR(IF($EC$9="",IF($EC$11="",IF($EC$13="",INDEX(bhpc_data[description],SMALL(MATCH(ROW(bhpc_data[sku]),ROW(bhpc_data[sku])),ROWS($A$15:A167)+$B$3)),INDEX(bhpc_data[description],SMALL(IF(ISNUMBER(MATCH(bhpc_data[size1],$EC$13,0)),MATCH(ROW(bhpc_data[sku]),ROW(bhpc_data[sku])),""),ROWS($A$15:A167)+$B$3))),IF($EC$13="",INDEX(bhpc_data[description],SMALL(IF(ISNUMBER(MATCH(bhpc_data[sex],$EC$11,0)),MATCH(ROW(bhpc_data[sku]),ROW(bhpc_data[sku])),""),ROWS($A$15:A167)+$B$3)),INDEX(bhpc_data[description],SMALL(IF(ISNUMBER(MATCH(bhpc_data[sex],$EC$11,0)*MATCH(bhpc_data[size1],$EC$13,0)),MATCH(ROW(bhpc_data[sku]),ROW(bhpc_data[sku])),""),ROWS($A$15:A167)+$B$3)))),IF($EC$11="",IF($EC$13="",INDEX(bhpc_data[description],SMALL(IF(ISNUMBER(MATCH(bhpc_data[category],$EC$9,0)),MATCH(ROW(bhpc_data[sku]),ROW(bhpc_data[sku])),""),ROWS($A$15:A167)+$B$3)),INDEX(bhpc_data[description],SMALL(IF(ISNUMBER(MATCH(bhpc_data[category],$EC$9,0)*MATCH(bhpc_data[size1],$EC$13,0)),MATCH(ROW(bhpc_data[sku]),ROW(bhpc_data[sku])),""),ROWS($A$15:A167)+$B$3))),IF($EC$13="",INDEX(bhpc_data[description],SMALL(IF(ISNUMBER(MATCH(bhpc_data[category],$EC$9,0)*MATCH(bhpc_data[sex],$EC$11,0)),MATCH(ROW(bhpc_data[sku]),ROW(bhpc_data[sku])),""),ROWS($A$15:A167)+$B$3)),INDEX(bhpc_data[description],SMALL(IF(ISNUMBER(MATCH(bhpc_data[category],$EC$9,0)*MATCH(bhpc_data[sex],$EC$11,0)*MATCH(bhpc_data[size1],$EC$13,0)),MATCH(ROW(bhpc_data[sku]),ROW(bhpc_data[sku])),""),ROWS($A$15:A167)+$B$3))))),"")</f>
        <v>YB2315B BHPC SUNGLASSES TRANSP. GREEN / GRADIENT GREY</v>
      </c>
      <c r="EG162" s="549">
        <f>IFERROR(IF('BHPC MANAGER'!$EE162="","",INDEX(inventory[ESISTENZA],MATCH('BHPC MANAGER'!$EE162,inventory[ARTICOLO],0))),0)</f>
        <v>179</v>
      </c>
      <c r="EH162" s="550">
        <v>-30</v>
      </c>
      <c r="EI162" s="550">
        <f t="shared" si="14"/>
        <v>149</v>
      </c>
      <c r="EJ162" s="551">
        <v>0</v>
      </c>
      <c r="EK162" s="552">
        <f t="shared" si="15"/>
        <v>149</v>
      </c>
    </row>
    <row r="163" spans="63:141" x14ac:dyDescent="0.35">
      <c r="BK163" s="366"/>
      <c r="BL163" s="367"/>
      <c r="BM163" s="368"/>
      <c r="BN163" s="367"/>
      <c r="BO163" s="368"/>
      <c r="EE163" s="541" t="str" cm="1">
        <f t="array" ref="EE163">IFERROR(IF($EC$9="",IF($EC$11="",IF($EC$13="",INDEX(bhpc_data[sku],SMALL(MATCH(ROW(bhpc_data[sku]),ROW(bhpc_data[sku])),ROWS($A$15:A168)+$B$3)),INDEX(bhpc_data[sku],SMALL(IF(ISNUMBER(MATCH(bhpc_data[size1],$EC$13,0)),MATCH(ROW(bhpc_data[sku]),ROW(bhpc_data[sku])),""),ROWS($A$15:A168)+$B$3))),IF($EC$13="",INDEX(bhpc_data[sku],SMALL(IF(ISNUMBER(MATCH(bhpc_data[sex],$EC$11,0)),MATCH(ROW(bhpc_data[sku]),ROW(bhpc_data[sku])),""),ROWS($A$15:A168)+$B$3)),INDEX(bhpc_data[sku],SMALL(IF(ISNUMBER(MATCH(bhpc_data[sex],$EC$11,0)*MATCH(bhpc_data[size1],$EC$13,0)),MATCH(ROW(bhpc_data[sku]),ROW(bhpc_data[sku])),""),ROWS($A$15:A168)+$B$3)))),IF($EC$11="",IF($EC$13="",INDEX(bhpc_data[sku],SMALL(IF(ISNUMBER(MATCH(bhpc_data[category],$EC$9,0)),MATCH(ROW(bhpc_data[sku]),ROW(bhpc_data[sku])),""),ROWS($A$15:A168)+$B$3)),INDEX(bhpc_data[sku],SMALL(IF(ISNUMBER(MATCH(bhpc_data[category],$EC$9,0)*MATCH(bhpc_data[size1],$EC$13,0)),MATCH(ROW(bhpc_data[sku]),ROW(bhpc_data[sku])),""),ROWS($A$15:A168)+$B$3))),IF($EC$13="",INDEX(bhpc_data[sku],SMALL(IF(ISNUMBER(MATCH(bhpc_data[category],$EC$9,0)*MATCH(bhpc_data[sex],$EC$11,0)),MATCH(ROW(bhpc_data[sku]),ROW(bhpc_data[sku])),""),ROWS($A$15:A168)+$B$3)),INDEX(bhpc_data[sku],SMALL(IF(ISNUMBER(MATCH(bhpc_data[category],$EC$9,0)*MATCH(bhpc_data[sex],$EC$11,0)*MATCH(bhpc_data[size1],$EC$13,0)),MATCH(ROW(bhpc_data[sku]),ROW(bhpc_data[sku])),""),ROWS($A$15:A168)+$B$3))))),"")</f>
        <v>Y00033</v>
      </c>
      <c r="EF163" s="542" t="str" cm="1">
        <f t="array" ref="EF163">IFERROR(IF($EC$9="",IF($EC$11="",IF($EC$13="",INDEX(bhpc_data[description],SMALL(MATCH(ROW(bhpc_data[sku]),ROW(bhpc_data[sku])),ROWS($A$15:A168)+$B$3)),INDEX(bhpc_data[description],SMALL(IF(ISNUMBER(MATCH(bhpc_data[size1],$EC$13,0)),MATCH(ROW(bhpc_data[sku]),ROW(bhpc_data[sku])),""),ROWS($A$15:A168)+$B$3))),IF($EC$13="",INDEX(bhpc_data[description],SMALL(IF(ISNUMBER(MATCH(bhpc_data[sex],$EC$11,0)),MATCH(ROW(bhpc_data[sku]),ROW(bhpc_data[sku])),""),ROWS($A$15:A168)+$B$3)),INDEX(bhpc_data[description],SMALL(IF(ISNUMBER(MATCH(bhpc_data[sex],$EC$11,0)*MATCH(bhpc_data[size1],$EC$13,0)),MATCH(ROW(bhpc_data[sku]),ROW(bhpc_data[sku])),""),ROWS($A$15:A168)+$B$3)))),IF($EC$11="",IF($EC$13="",INDEX(bhpc_data[description],SMALL(IF(ISNUMBER(MATCH(bhpc_data[category],$EC$9,0)),MATCH(ROW(bhpc_data[sku]),ROW(bhpc_data[sku])),""),ROWS($A$15:A168)+$B$3)),INDEX(bhpc_data[description],SMALL(IF(ISNUMBER(MATCH(bhpc_data[category],$EC$9,0)*MATCH(bhpc_data[size1],$EC$13,0)),MATCH(ROW(bhpc_data[sku]),ROW(bhpc_data[sku])),""),ROWS($A$15:A168)+$B$3))),IF($EC$13="",INDEX(bhpc_data[description],SMALL(IF(ISNUMBER(MATCH(bhpc_data[category],$EC$9,0)*MATCH(bhpc_data[sex],$EC$11,0)),MATCH(ROW(bhpc_data[sku]),ROW(bhpc_data[sku])),""),ROWS($A$15:A168)+$B$3)),INDEX(bhpc_data[description],SMALL(IF(ISNUMBER(MATCH(bhpc_data[category],$EC$9,0)*MATCH(bhpc_data[sex],$EC$11,0)*MATCH(bhpc_data[size1],$EC$13,0)),MATCH(ROW(bhpc_data[sku]),ROW(bhpc_data[sku])),""),ROWS($A$15:A168)+$B$3))))),"")</f>
        <v>YB2315C BHPC SUNGLASSES TRANSP. VIOLET /GRADIENT SMOKE</v>
      </c>
      <c r="EG163" s="543">
        <f>IFERROR(IF('BHPC MANAGER'!$EE163="","",INDEX(inventory[ESISTENZA],MATCH('BHPC MANAGER'!$EE163,inventory[ARTICOLO],0))),0)</f>
        <v>286</v>
      </c>
      <c r="EH163" s="544">
        <v>-30</v>
      </c>
      <c r="EI163" s="544">
        <f t="shared" si="14"/>
        <v>256</v>
      </c>
      <c r="EJ163" s="545">
        <v>0</v>
      </c>
      <c r="EK163" s="546">
        <f t="shared" si="15"/>
        <v>256</v>
      </c>
    </row>
    <row r="164" spans="63:141" x14ac:dyDescent="0.35">
      <c r="BK164" s="366"/>
      <c r="BL164" s="367"/>
      <c r="BM164" s="368"/>
      <c r="BN164" s="367"/>
      <c r="BO164" s="368"/>
      <c r="EE164" s="547" t="str" cm="1">
        <f t="array" ref="EE164">IFERROR(IF($EC$9="",IF($EC$11="",IF($EC$13="",INDEX(bhpc_data[sku],SMALL(MATCH(ROW(bhpc_data[sku]),ROW(bhpc_data[sku])),ROWS($A$15:A169)+$B$3)),INDEX(bhpc_data[sku],SMALL(IF(ISNUMBER(MATCH(bhpc_data[size1],$EC$13,0)),MATCH(ROW(bhpc_data[sku]),ROW(bhpc_data[sku])),""),ROWS($A$15:A169)+$B$3))),IF($EC$13="",INDEX(bhpc_data[sku],SMALL(IF(ISNUMBER(MATCH(bhpc_data[sex],$EC$11,0)),MATCH(ROW(bhpc_data[sku]),ROW(bhpc_data[sku])),""),ROWS($A$15:A169)+$B$3)),INDEX(bhpc_data[sku],SMALL(IF(ISNUMBER(MATCH(bhpc_data[sex],$EC$11,0)*MATCH(bhpc_data[size1],$EC$13,0)),MATCH(ROW(bhpc_data[sku]),ROW(bhpc_data[sku])),""),ROWS($A$15:A169)+$B$3)))),IF($EC$11="",IF($EC$13="",INDEX(bhpc_data[sku],SMALL(IF(ISNUMBER(MATCH(bhpc_data[category],$EC$9,0)),MATCH(ROW(bhpc_data[sku]),ROW(bhpc_data[sku])),""),ROWS($A$15:A169)+$B$3)),INDEX(bhpc_data[sku],SMALL(IF(ISNUMBER(MATCH(bhpc_data[category],$EC$9,0)*MATCH(bhpc_data[size1],$EC$13,0)),MATCH(ROW(bhpc_data[sku]),ROW(bhpc_data[sku])),""),ROWS($A$15:A169)+$B$3))),IF($EC$13="",INDEX(bhpc_data[sku],SMALL(IF(ISNUMBER(MATCH(bhpc_data[category],$EC$9,0)*MATCH(bhpc_data[sex],$EC$11,0)),MATCH(ROW(bhpc_data[sku]),ROW(bhpc_data[sku])),""),ROWS($A$15:A169)+$B$3)),INDEX(bhpc_data[sku],SMALL(IF(ISNUMBER(MATCH(bhpc_data[category],$EC$9,0)*MATCH(bhpc_data[sex],$EC$11,0)*MATCH(bhpc_data[size1],$EC$13,0)),MATCH(ROW(bhpc_data[sku]),ROW(bhpc_data[sku])),""),ROWS($A$15:A169)+$B$3))))),"")</f>
        <v>Y00034</v>
      </c>
      <c r="EF164" s="548" t="str" cm="1">
        <f t="array" ref="EF164">IFERROR(IF($EC$9="",IF($EC$11="",IF($EC$13="",INDEX(bhpc_data[description],SMALL(MATCH(ROW(bhpc_data[sku]),ROW(bhpc_data[sku])),ROWS($A$15:A169)+$B$3)),INDEX(bhpc_data[description],SMALL(IF(ISNUMBER(MATCH(bhpc_data[size1],$EC$13,0)),MATCH(ROW(bhpc_data[sku]),ROW(bhpc_data[sku])),""),ROWS($A$15:A169)+$B$3))),IF($EC$13="",INDEX(bhpc_data[description],SMALL(IF(ISNUMBER(MATCH(bhpc_data[sex],$EC$11,0)),MATCH(ROW(bhpc_data[sku]),ROW(bhpc_data[sku])),""),ROWS($A$15:A169)+$B$3)),INDEX(bhpc_data[description],SMALL(IF(ISNUMBER(MATCH(bhpc_data[sex],$EC$11,0)*MATCH(bhpc_data[size1],$EC$13,0)),MATCH(ROW(bhpc_data[sku]),ROW(bhpc_data[sku])),""),ROWS($A$15:A169)+$B$3)))),IF($EC$11="",IF($EC$13="",INDEX(bhpc_data[description],SMALL(IF(ISNUMBER(MATCH(bhpc_data[category],$EC$9,0)),MATCH(ROW(bhpc_data[sku]),ROW(bhpc_data[sku])),""),ROWS($A$15:A169)+$B$3)),INDEX(bhpc_data[description],SMALL(IF(ISNUMBER(MATCH(bhpc_data[category],$EC$9,0)*MATCH(bhpc_data[size1],$EC$13,0)),MATCH(ROW(bhpc_data[sku]),ROW(bhpc_data[sku])),""),ROWS($A$15:A169)+$B$3))),IF($EC$13="",INDEX(bhpc_data[description],SMALL(IF(ISNUMBER(MATCH(bhpc_data[category],$EC$9,0)*MATCH(bhpc_data[sex],$EC$11,0)),MATCH(ROW(bhpc_data[sku]),ROW(bhpc_data[sku])),""),ROWS($A$15:A169)+$B$3)),INDEX(bhpc_data[description],SMALL(IF(ISNUMBER(MATCH(bhpc_data[category],$EC$9,0)*MATCH(bhpc_data[sex],$EC$11,0)*MATCH(bhpc_data[size1],$EC$13,0)),MATCH(ROW(bhpc_data[sku]),ROW(bhpc_data[sku])),""),ROWS($A$15:A169)+$B$3))))),"")</f>
        <v>YB2312A BHPC SUNGLASSES BLACK / SOLID GREY</v>
      </c>
      <c r="EG164" s="549">
        <f>IFERROR(IF('BHPC MANAGER'!$EE164="","",INDEX(inventory[ESISTENZA],MATCH('BHPC MANAGER'!$EE164,inventory[ARTICOLO],0))),0)</f>
        <v>179</v>
      </c>
      <c r="EH164" s="550">
        <v>-30</v>
      </c>
      <c r="EI164" s="550">
        <f t="shared" si="14"/>
        <v>149</v>
      </c>
      <c r="EJ164" s="551">
        <v>0</v>
      </c>
      <c r="EK164" s="552">
        <f t="shared" si="15"/>
        <v>149</v>
      </c>
    </row>
    <row r="165" spans="63:141" x14ac:dyDescent="0.35">
      <c r="BK165" s="366"/>
      <c r="BL165" s="367"/>
      <c r="BM165" s="368"/>
      <c r="BN165" s="367"/>
      <c r="BO165" s="368"/>
      <c r="EE165" s="541" t="str" cm="1">
        <f t="array" ref="EE165">IFERROR(IF($EC$9="",IF($EC$11="",IF($EC$13="",INDEX(bhpc_data[sku],SMALL(MATCH(ROW(bhpc_data[sku]),ROW(bhpc_data[sku])),ROWS($A$15:A170)+$B$3)),INDEX(bhpc_data[sku],SMALL(IF(ISNUMBER(MATCH(bhpc_data[size1],$EC$13,0)),MATCH(ROW(bhpc_data[sku]),ROW(bhpc_data[sku])),""),ROWS($A$15:A170)+$B$3))),IF($EC$13="",INDEX(bhpc_data[sku],SMALL(IF(ISNUMBER(MATCH(bhpc_data[sex],$EC$11,0)),MATCH(ROW(bhpc_data[sku]),ROW(bhpc_data[sku])),""),ROWS($A$15:A170)+$B$3)),INDEX(bhpc_data[sku],SMALL(IF(ISNUMBER(MATCH(bhpc_data[sex],$EC$11,0)*MATCH(bhpc_data[size1],$EC$13,0)),MATCH(ROW(bhpc_data[sku]),ROW(bhpc_data[sku])),""),ROWS($A$15:A170)+$B$3)))),IF($EC$11="",IF($EC$13="",INDEX(bhpc_data[sku],SMALL(IF(ISNUMBER(MATCH(bhpc_data[category],$EC$9,0)),MATCH(ROW(bhpc_data[sku]),ROW(bhpc_data[sku])),""),ROWS($A$15:A170)+$B$3)),INDEX(bhpc_data[sku],SMALL(IF(ISNUMBER(MATCH(bhpc_data[category],$EC$9,0)*MATCH(bhpc_data[size1],$EC$13,0)),MATCH(ROW(bhpc_data[sku]),ROW(bhpc_data[sku])),""),ROWS($A$15:A170)+$B$3))),IF($EC$13="",INDEX(bhpc_data[sku],SMALL(IF(ISNUMBER(MATCH(bhpc_data[category],$EC$9,0)*MATCH(bhpc_data[sex],$EC$11,0)),MATCH(ROW(bhpc_data[sku]),ROW(bhpc_data[sku])),""),ROWS($A$15:A170)+$B$3)),INDEX(bhpc_data[sku],SMALL(IF(ISNUMBER(MATCH(bhpc_data[category],$EC$9,0)*MATCH(bhpc_data[sex],$EC$11,0)*MATCH(bhpc_data[size1],$EC$13,0)),MATCH(ROW(bhpc_data[sku]),ROW(bhpc_data[sku])),""),ROWS($A$15:A170)+$B$3))))),"")</f>
        <v>Y00035</v>
      </c>
      <c r="EF165" s="542" t="str" cm="1">
        <f t="array" ref="EF165">IFERROR(IF($EC$9="",IF($EC$11="",IF($EC$13="",INDEX(bhpc_data[description],SMALL(MATCH(ROW(bhpc_data[sku]),ROW(bhpc_data[sku])),ROWS($A$15:A170)+$B$3)),INDEX(bhpc_data[description],SMALL(IF(ISNUMBER(MATCH(bhpc_data[size1],$EC$13,0)),MATCH(ROW(bhpc_data[sku]),ROW(bhpc_data[sku])),""),ROWS($A$15:A170)+$B$3))),IF($EC$13="",INDEX(bhpc_data[description],SMALL(IF(ISNUMBER(MATCH(bhpc_data[sex],$EC$11,0)),MATCH(ROW(bhpc_data[sku]),ROW(bhpc_data[sku])),""),ROWS($A$15:A170)+$B$3)),INDEX(bhpc_data[description],SMALL(IF(ISNUMBER(MATCH(bhpc_data[sex],$EC$11,0)*MATCH(bhpc_data[size1],$EC$13,0)),MATCH(ROW(bhpc_data[sku]),ROW(bhpc_data[sku])),""),ROWS($A$15:A170)+$B$3)))),IF($EC$11="",IF($EC$13="",INDEX(bhpc_data[description],SMALL(IF(ISNUMBER(MATCH(bhpc_data[category],$EC$9,0)),MATCH(ROW(bhpc_data[sku]),ROW(bhpc_data[sku])),""),ROWS($A$15:A170)+$B$3)),INDEX(bhpc_data[description],SMALL(IF(ISNUMBER(MATCH(bhpc_data[category],$EC$9,0)*MATCH(bhpc_data[size1],$EC$13,0)),MATCH(ROW(bhpc_data[sku]),ROW(bhpc_data[sku])),""),ROWS($A$15:A170)+$B$3))),IF($EC$13="",INDEX(bhpc_data[description],SMALL(IF(ISNUMBER(MATCH(bhpc_data[category],$EC$9,0)*MATCH(bhpc_data[sex],$EC$11,0)),MATCH(ROW(bhpc_data[sku]),ROW(bhpc_data[sku])),""),ROWS($A$15:A170)+$B$3)),INDEX(bhpc_data[description],SMALL(IF(ISNUMBER(MATCH(bhpc_data[category],$EC$9,0)*MATCH(bhpc_data[sex],$EC$11,0)*MATCH(bhpc_data[size1],$EC$13,0)),MATCH(ROW(bhpc_data[sku]),ROW(bhpc_data[sku])),""),ROWS($A$15:A170)+$B$3))))),"")</f>
        <v>YB2312B BHPC SUNGLASSES RED / SOLID SMOKE</v>
      </c>
      <c r="EG165" s="543">
        <f>IFERROR(IF('BHPC MANAGER'!$EE165="","",INDEX(inventory[ESISTENZA],MATCH('BHPC MANAGER'!$EE165,inventory[ARTICOLO],0))),0)</f>
        <v>180</v>
      </c>
      <c r="EH165" s="544">
        <v>-30</v>
      </c>
      <c r="EI165" s="544">
        <f t="shared" si="14"/>
        <v>150</v>
      </c>
      <c r="EJ165" s="545">
        <v>0</v>
      </c>
      <c r="EK165" s="546">
        <f t="shared" si="15"/>
        <v>150</v>
      </c>
    </row>
    <row r="166" spans="63:141" x14ac:dyDescent="0.35">
      <c r="BK166" s="366"/>
      <c r="BL166" s="367"/>
      <c r="BM166" s="368"/>
      <c r="BN166" s="367"/>
      <c r="BO166" s="368"/>
      <c r="EE166" s="547" t="str" cm="1">
        <f t="array" ref="EE166">IFERROR(IF($EC$9="",IF($EC$11="",IF($EC$13="",INDEX(bhpc_data[sku],SMALL(MATCH(ROW(bhpc_data[sku]),ROW(bhpc_data[sku])),ROWS($A$15:A171)+$B$3)),INDEX(bhpc_data[sku],SMALL(IF(ISNUMBER(MATCH(bhpc_data[size1],$EC$13,0)),MATCH(ROW(bhpc_data[sku]),ROW(bhpc_data[sku])),""),ROWS($A$15:A171)+$B$3))),IF($EC$13="",INDEX(bhpc_data[sku],SMALL(IF(ISNUMBER(MATCH(bhpc_data[sex],$EC$11,0)),MATCH(ROW(bhpc_data[sku]),ROW(bhpc_data[sku])),""),ROWS($A$15:A171)+$B$3)),INDEX(bhpc_data[sku],SMALL(IF(ISNUMBER(MATCH(bhpc_data[sex],$EC$11,0)*MATCH(bhpc_data[size1],$EC$13,0)),MATCH(ROW(bhpc_data[sku]),ROW(bhpc_data[sku])),""),ROWS($A$15:A171)+$B$3)))),IF($EC$11="",IF($EC$13="",INDEX(bhpc_data[sku],SMALL(IF(ISNUMBER(MATCH(bhpc_data[category],$EC$9,0)),MATCH(ROW(bhpc_data[sku]),ROW(bhpc_data[sku])),""),ROWS($A$15:A171)+$B$3)),INDEX(bhpc_data[sku],SMALL(IF(ISNUMBER(MATCH(bhpc_data[category],$EC$9,0)*MATCH(bhpc_data[size1],$EC$13,0)),MATCH(ROW(bhpc_data[sku]),ROW(bhpc_data[sku])),""),ROWS($A$15:A171)+$B$3))),IF($EC$13="",INDEX(bhpc_data[sku],SMALL(IF(ISNUMBER(MATCH(bhpc_data[category],$EC$9,0)*MATCH(bhpc_data[sex],$EC$11,0)),MATCH(ROW(bhpc_data[sku]),ROW(bhpc_data[sku])),""),ROWS($A$15:A171)+$B$3)),INDEX(bhpc_data[sku],SMALL(IF(ISNUMBER(MATCH(bhpc_data[category],$EC$9,0)*MATCH(bhpc_data[sex],$EC$11,0)*MATCH(bhpc_data[size1],$EC$13,0)),MATCH(ROW(bhpc_data[sku]),ROW(bhpc_data[sku])),""),ROWS($A$15:A171)+$B$3))))),"")</f>
        <v>Y00036</v>
      </c>
      <c r="EF166" s="548" t="str" cm="1">
        <f t="array" ref="EF166">IFERROR(IF($EC$9="",IF($EC$11="",IF($EC$13="",INDEX(bhpc_data[description],SMALL(MATCH(ROW(bhpc_data[sku]),ROW(bhpc_data[sku])),ROWS($A$15:A171)+$B$3)),INDEX(bhpc_data[description],SMALL(IF(ISNUMBER(MATCH(bhpc_data[size1],$EC$13,0)),MATCH(ROW(bhpc_data[sku]),ROW(bhpc_data[sku])),""),ROWS($A$15:A171)+$B$3))),IF($EC$13="",INDEX(bhpc_data[description],SMALL(IF(ISNUMBER(MATCH(bhpc_data[sex],$EC$11,0)),MATCH(ROW(bhpc_data[sku]),ROW(bhpc_data[sku])),""),ROWS($A$15:A171)+$B$3)),INDEX(bhpc_data[description],SMALL(IF(ISNUMBER(MATCH(bhpc_data[sex],$EC$11,0)*MATCH(bhpc_data[size1],$EC$13,0)),MATCH(ROW(bhpc_data[sku]),ROW(bhpc_data[sku])),""),ROWS($A$15:A171)+$B$3)))),IF($EC$11="",IF($EC$13="",INDEX(bhpc_data[description],SMALL(IF(ISNUMBER(MATCH(bhpc_data[category],$EC$9,0)),MATCH(ROW(bhpc_data[sku]),ROW(bhpc_data[sku])),""),ROWS($A$15:A171)+$B$3)),INDEX(bhpc_data[description],SMALL(IF(ISNUMBER(MATCH(bhpc_data[category],$EC$9,0)*MATCH(bhpc_data[size1],$EC$13,0)),MATCH(ROW(bhpc_data[sku]),ROW(bhpc_data[sku])),""),ROWS($A$15:A171)+$B$3))),IF($EC$13="",INDEX(bhpc_data[description],SMALL(IF(ISNUMBER(MATCH(bhpc_data[category],$EC$9,0)*MATCH(bhpc_data[sex],$EC$11,0)),MATCH(ROW(bhpc_data[sku]),ROW(bhpc_data[sku])),""),ROWS($A$15:A171)+$B$3)),INDEX(bhpc_data[description],SMALL(IF(ISNUMBER(MATCH(bhpc_data[category],$EC$9,0)*MATCH(bhpc_data[sex],$EC$11,0)*MATCH(bhpc_data[size1],$EC$13,0)),MATCH(ROW(bhpc_data[sku]),ROW(bhpc_data[sku])),""),ROWS($A$15:A171)+$B$3))))),"")</f>
        <v>YB2312C BHPC SUNGLASSES WHITE / GRADIENT GREY</v>
      </c>
      <c r="EG166" s="549">
        <f>IFERROR(IF('BHPC MANAGER'!$EE166="","",INDEX(inventory[ESISTENZA],MATCH('BHPC MANAGER'!$EE166,inventory[ARTICOLO],0))),0)</f>
        <v>298</v>
      </c>
      <c r="EH166" s="550">
        <v>-30</v>
      </c>
      <c r="EI166" s="550">
        <f t="shared" si="14"/>
        <v>268</v>
      </c>
      <c r="EJ166" s="551">
        <v>0</v>
      </c>
      <c r="EK166" s="552">
        <f t="shared" si="15"/>
        <v>268</v>
      </c>
    </row>
    <row r="167" spans="63:141" x14ac:dyDescent="0.35">
      <c r="BK167" s="366"/>
      <c r="BL167" s="367"/>
      <c r="BM167" s="368"/>
      <c r="BN167" s="367"/>
      <c r="BO167" s="368"/>
      <c r="EE167" s="541" t="str" cm="1">
        <f t="array" ref="EE167">IFERROR(IF($EC$9="",IF($EC$11="",IF($EC$13="",INDEX(bhpc_data[sku],SMALL(MATCH(ROW(bhpc_data[sku]),ROW(bhpc_data[sku])),ROWS($A$15:A172)+$B$3)),INDEX(bhpc_data[sku],SMALL(IF(ISNUMBER(MATCH(bhpc_data[size1],$EC$13,0)),MATCH(ROW(bhpc_data[sku]),ROW(bhpc_data[sku])),""),ROWS($A$15:A172)+$B$3))),IF($EC$13="",INDEX(bhpc_data[sku],SMALL(IF(ISNUMBER(MATCH(bhpc_data[sex],$EC$11,0)),MATCH(ROW(bhpc_data[sku]),ROW(bhpc_data[sku])),""),ROWS($A$15:A172)+$B$3)),INDEX(bhpc_data[sku],SMALL(IF(ISNUMBER(MATCH(bhpc_data[sex],$EC$11,0)*MATCH(bhpc_data[size1],$EC$13,0)),MATCH(ROW(bhpc_data[sku]),ROW(bhpc_data[sku])),""),ROWS($A$15:A172)+$B$3)))),IF($EC$11="",IF($EC$13="",INDEX(bhpc_data[sku],SMALL(IF(ISNUMBER(MATCH(bhpc_data[category],$EC$9,0)),MATCH(ROW(bhpc_data[sku]),ROW(bhpc_data[sku])),""),ROWS($A$15:A172)+$B$3)),INDEX(bhpc_data[sku],SMALL(IF(ISNUMBER(MATCH(bhpc_data[category],$EC$9,0)*MATCH(bhpc_data[size1],$EC$13,0)),MATCH(ROW(bhpc_data[sku]),ROW(bhpc_data[sku])),""),ROWS($A$15:A172)+$B$3))),IF($EC$13="",INDEX(bhpc_data[sku],SMALL(IF(ISNUMBER(MATCH(bhpc_data[category],$EC$9,0)*MATCH(bhpc_data[sex],$EC$11,0)),MATCH(ROW(bhpc_data[sku]),ROW(bhpc_data[sku])),""),ROWS($A$15:A172)+$B$3)),INDEX(bhpc_data[sku],SMALL(IF(ISNUMBER(MATCH(bhpc_data[category],$EC$9,0)*MATCH(bhpc_data[sex],$EC$11,0)*MATCH(bhpc_data[size1],$EC$13,0)),MATCH(ROW(bhpc_data[sku]),ROW(bhpc_data[sku])),""),ROWS($A$15:A172)+$B$3))))),"")</f>
        <v>Y00037</v>
      </c>
      <c r="EF167" s="542" t="str" cm="1">
        <f t="array" ref="EF167">IFERROR(IF($EC$9="",IF($EC$11="",IF($EC$13="",INDEX(bhpc_data[description],SMALL(MATCH(ROW(bhpc_data[sku]),ROW(bhpc_data[sku])),ROWS($A$15:A172)+$B$3)),INDEX(bhpc_data[description],SMALL(IF(ISNUMBER(MATCH(bhpc_data[size1],$EC$13,0)),MATCH(ROW(bhpc_data[sku]),ROW(bhpc_data[sku])),""),ROWS($A$15:A172)+$B$3))),IF($EC$13="",INDEX(bhpc_data[description],SMALL(IF(ISNUMBER(MATCH(bhpc_data[sex],$EC$11,0)),MATCH(ROW(bhpc_data[sku]),ROW(bhpc_data[sku])),""),ROWS($A$15:A172)+$B$3)),INDEX(bhpc_data[description],SMALL(IF(ISNUMBER(MATCH(bhpc_data[sex],$EC$11,0)*MATCH(bhpc_data[size1],$EC$13,0)),MATCH(ROW(bhpc_data[sku]),ROW(bhpc_data[sku])),""),ROWS($A$15:A172)+$B$3)))),IF($EC$11="",IF($EC$13="",INDEX(bhpc_data[description],SMALL(IF(ISNUMBER(MATCH(bhpc_data[category],$EC$9,0)),MATCH(ROW(bhpc_data[sku]),ROW(bhpc_data[sku])),""),ROWS($A$15:A172)+$B$3)),INDEX(bhpc_data[description],SMALL(IF(ISNUMBER(MATCH(bhpc_data[category],$EC$9,0)*MATCH(bhpc_data[size1],$EC$13,0)),MATCH(ROW(bhpc_data[sku]),ROW(bhpc_data[sku])),""),ROWS($A$15:A172)+$B$3))),IF($EC$13="",INDEX(bhpc_data[description],SMALL(IF(ISNUMBER(MATCH(bhpc_data[category],$EC$9,0)*MATCH(bhpc_data[sex],$EC$11,0)),MATCH(ROW(bhpc_data[sku]),ROW(bhpc_data[sku])),""),ROWS($A$15:A172)+$B$3)),INDEX(bhpc_data[description],SMALL(IF(ISNUMBER(MATCH(bhpc_data[category],$EC$9,0)*MATCH(bhpc_data[sex],$EC$11,0)*MATCH(bhpc_data[size1],$EC$13,0)),MATCH(ROW(bhpc_data[sku]),ROW(bhpc_data[sku])),""),ROWS($A$15:A172)+$B$3))))),"")</f>
        <v>BHPC SUNGLASSES CASE AO49L BROWN FOR MEN</v>
      </c>
      <c r="EG167" s="543">
        <f>IFERROR(IF('BHPC MANAGER'!$EE167="","",INDEX(inventory[ESISTENZA],MATCH('BHPC MANAGER'!$EE167,inventory[ARTICOLO],0))),0)</f>
        <v>2478</v>
      </c>
      <c r="EH167" s="544">
        <v>-330</v>
      </c>
      <c r="EI167" s="544">
        <f t="shared" si="14"/>
        <v>2148</v>
      </c>
      <c r="EJ167" s="545">
        <v>0</v>
      </c>
      <c r="EK167" s="546">
        <f t="shared" si="15"/>
        <v>2148</v>
      </c>
    </row>
    <row r="168" spans="63:141" x14ac:dyDescent="0.35">
      <c r="BK168" s="366"/>
      <c r="BL168" s="367"/>
      <c r="BM168" s="368"/>
      <c r="BN168" s="367"/>
      <c r="BO168" s="368"/>
      <c r="EE168" s="547" t="str" cm="1">
        <f t="array" ref="EE168">IFERROR(IF($EC$9="",IF($EC$11="",IF($EC$13="",INDEX(bhpc_data[sku],SMALL(MATCH(ROW(bhpc_data[sku]),ROW(bhpc_data[sku])),ROWS($A$15:A173)+$B$3)),INDEX(bhpc_data[sku],SMALL(IF(ISNUMBER(MATCH(bhpc_data[size1],$EC$13,0)),MATCH(ROW(bhpc_data[sku]),ROW(bhpc_data[sku])),""),ROWS($A$15:A173)+$B$3))),IF($EC$13="",INDEX(bhpc_data[sku],SMALL(IF(ISNUMBER(MATCH(bhpc_data[sex],$EC$11,0)),MATCH(ROW(bhpc_data[sku]),ROW(bhpc_data[sku])),""),ROWS($A$15:A173)+$B$3)),INDEX(bhpc_data[sku],SMALL(IF(ISNUMBER(MATCH(bhpc_data[sex],$EC$11,0)*MATCH(bhpc_data[size1],$EC$13,0)),MATCH(ROW(bhpc_data[sku]),ROW(bhpc_data[sku])),""),ROWS($A$15:A173)+$B$3)))),IF($EC$11="",IF($EC$13="",INDEX(bhpc_data[sku],SMALL(IF(ISNUMBER(MATCH(bhpc_data[category],$EC$9,0)),MATCH(ROW(bhpc_data[sku]),ROW(bhpc_data[sku])),""),ROWS($A$15:A173)+$B$3)),INDEX(bhpc_data[sku],SMALL(IF(ISNUMBER(MATCH(bhpc_data[category],$EC$9,0)*MATCH(bhpc_data[size1],$EC$13,0)),MATCH(ROW(bhpc_data[sku]),ROW(bhpc_data[sku])),""),ROWS($A$15:A173)+$B$3))),IF($EC$13="",INDEX(bhpc_data[sku],SMALL(IF(ISNUMBER(MATCH(bhpc_data[category],$EC$9,0)*MATCH(bhpc_data[sex],$EC$11,0)),MATCH(ROW(bhpc_data[sku]),ROW(bhpc_data[sku])),""),ROWS($A$15:A173)+$B$3)),INDEX(bhpc_data[sku],SMALL(IF(ISNUMBER(MATCH(bhpc_data[category],$EC$9,0)*MATCH(bhpc_data[sex],$EC$11,0)*MATCH(bhpc_data[size1],$EC$13,0)),MATCH(ROW(bhpc_data[sku]),ROW(bhpc_data[sku])),""),ROWS($A$15:A173)+$B$3))))),"")</f>
        <v>Y00038</v>
      </c>
      <c r="EF168" s="548" t="str" cm="1">
        <f t="array" ref="EF168">IFERROR(IF($EC$9="",IF($EC$11="",IF($EC$13="",INDEX(bhpc_data[description],SMALL(MATCH(ROW(bhpc_data[sku]),ROW(bhpc_data[sku])),ROWS($A$15:A173)+$B$3)),INDEX(bhpc_data[description],SMALL(IF(ISNUMBER(MATCH(bhpc_data[size1],$EC$13,0)),MATCH(ROW(bhpc_data[sku]),ROW(bhpc_data[sku])),""),ROWS($A$15:A173)+$B$3))),IF($EC$13="",INDEX(bhpc_data[description],SMALL(IF(ISNUMBER(MATCH(bhpc_data[sex],$EC$11,0)),MATCH(ROW(bhpc_data[sku]),ROW(bhpc_data[sku])),""),ROWS($A$15:A173)+$B$3)),INDEX(bhpc_data[description],SMALL(IF(ISNUMBER(MATCH(bhpc_data[sex],$EC$11,0)*MATCH(bhpc_data[size1],$EC$13,0)),MATCH(ROW(bhpc_data[sku]),ROW(bhpc_data[sku])),""),ROWS($A$15:A173)+$B$3)))),IF($EC$11="",IF($EC$13="",INDEX(bhpc_data[description],SMALL(IF(ISNUMBER(MATCH(bhpc_data[category],$EC$9,0)),MATCH(ROW(bhpc_data[sku]),ROW(bhpc_data[sku])),""),ROWS($A$15:A173)+$B$3)),INDEX(bhpc_data[description],SMALL(IF(ISNUMBER(MATCH(bhpc_data[category],$EC$9,0)*MATCH(bhpc_data[size1],$EC$13,0)),MATCH(ROW(bhpc_data[sku]),ROW(bhpc_data[sku])),""),ROWS($A$15:A173)+$B$3))),IF($EC$13="",INDEX(bhpc_data[description],SMALL(IF(ISNUMBER(MATCH(bhpc_data[category],$EC$9,0)*MATCH(bhpc_data[sex],$EC$11,0)),MATCH(ROW(bhpc_data[sku]),ROW(bhpc_data[sku])),""),ROWS($A$15:A173)+$B$3)),INDEX(bhpc_data[description],SMALL(IF(ISNUMBER(MATCH(bhpc_data[category],$EC$9,0)*MATCH(bhpc_data[sex],$EC$11,0)*MATCH(bhpc_data[size1],$EC$13,0)),MATCH(ROW(bhpc_data[sku]),ROW(bhpc_data[sku])),""),ROWS($A$15:A173)+$B$3))))),"")</f>
        <v>BHPC SUNGLASSES CASE AO49L WHITE FOR WOMEN</v>
      </c>
      <c r="EG168" s="549">
        <f>IFERROR(IF('BHPC MANAGER'!$EE168="","",INDEX(inventory[ESISTENZA],MATCH('BHPC MANAGER'!$EE168,inventory[ARTICOLO],0))),0)</f>
        <v>4345</v>
      </c>
      <c r="EH168" s="550">
        <v>-450</v>
      </c>
      <c r="EI168" s="550">
        <f t="shared" si="14"/>
        <v>3895</v>
      </c>
      <c r="EJ168" s="551">
        <v>0</v>
      </c>
      <c r="EK168" s="552">
        <f t="shared" si="15"/>
        <v>3895</v>
      </c>
    </row>
    <row r="169" spans="63:141" x14ac:dyDescent="0.35">
      <c r="BK169" s="366"/>
      <c r="BL169" s="367"/>
      <c r="BM169" s="368"/>
      <c r="BN169" s="367"/>
      <c r="BO169" s="368"/>
      <c r="EE169" s="541" cm="1">
        <f t="array" ref="EE169">IFERROR(IF($EC$9="",IF($EC$11="",IF($EC$13="",INDEX(bhpc_data[sku],SMALL(MATCH(ROW(bhpc_data[sku]),ROW(bhpc_data[sku])),ROWS($A$15:A174)+$B$3)),INDEX(bhpc_data[sku],SMALL(IF(ISNUMBER(MATCH(bhpc_data[size1],$EC$13,0)),MATCH(ROW(bhpc_data[sku]),ROW(bhpc_data[sku])),""),ROWS($A$15:A174)+$B$3))),IF($EC$13="",INDEX(bhpc_data[sku],SMALL(IF(ISNUMBER(MATCH(bhpc_data[sex],$EC$11,0)),MATCH(ROW(bhpc_data[sku]),ROW(bhpc_data[sku])),""),ROWS($A$15:A174)+$B$3)),INDEX(bhpc_data[sku],SMALL(IF(ISNUMBER(MATCH(bhpc_data[sex],$EC$11,0)*MATCH(bhpc_data[size1],$EC$13,0)),MATCH(ROW(bhpc_data[sku]),ROW(bhpc_data[sku])),""),ROWS($A$15:A174)+$B$3)))),IF($EC$11="",IF($EC$13="",INDEX(bhpc_data[sku],SMALL(IF(ISNUMBER(MATCH(bhpc_data[category],$EC$9,0)),MATCH(ROW(bhpc_data[sku]),ROW(bhpc_data[sku])),""),ROWS($A$15:A174)+$B$3)),INDEX(bhpc_data[sku],SMALL(IF(ISNUMBER(MATCH(bhpc_data[category],$EC$9,0)*MATCH(bhpc_data[size1],$EC$13,0)),MATCH(ROW(bhpc_data[sku]),ROW(bhpc_data[sku])),""),ROWS($A$15:A174)+$B$3))),IF($EC$13="",INDEX(bhpc_data[sku],SMALL(IF(ISNUMBER(MATCH(bhpc_data[category],$EC$9,0)*MATCH(bhpc_data[sex],$EC$11,0)),MATCH(ROW(bhpc_data[sku]),ROW(bhpc_data[sku])),""),ROWS($A$15:A174)+$B$3)),INDEX(bhpc_data[sku],SMALL(IF(ISNUMBER(MATCH(bhpc_data[category],$EC$9,0)*MATCH(bhpc_data[sex],$EC$11,0)*MATCH(bhpc_data[size1],$EC$13,0)),MATCH(ROW(bhpc_data[sku]),ROW(bhpc_data[sku])),""),ROWS($A$15:A174)+$B$3))))),"")</f>
        <v>0</v>
      </c>
      <c r="EF169" s="542" t="str" cm="1">
        <f t="array" ref="EF169">IFERROR(IF($EC$9="",IF($EC$11="",IF($EC$13="",INDEX(bhpc_data[description],SMALL(MATCH(ROW(bhpc_data[sku]),ROW(bhpc_data[sku])),ROWS($A$15:A174)+$B$3)),INDEX(bhpc_data[description],SMALL(IF(ISNUMBER(MATCH(bhpc_data[size1],$EC$13,0)),MATCH(ROW(bhpc_data[sku]),ROW(bhpc_data[sku])),""),ROWS($A$15:A174)+$B$3))),IF($EC$13="",INDEX(bhpc_data[description],SMALL(IF(ISNUMBER(MATCH(bhpc_data[sex],$EC$11,0)),MATCH(ROW(bhpc_data[sku]),ROW(bhpc_data[sku])),""),ROWS($A$15:A174)+$B$3)),INDEX(bhpc_data[description],SMALL(IF(ISNUMBER(MATCH(bhpc_data[sex],$EC$11,0)*MATCH(bhpc_data[size1],$EC$13,0)),MATCH(ROW(bhpc_data[sku]),ROW(bhpc_data[sku])),""),ROWS($A$15:A174)+$B$3)))),IF($EC$11="",IF($EC$13="",INDEX(bhpc_data[description],SMALL(IF(ISNUMBER(MATCH(bhpc_data[category],$EC$9,0)),MATCH(ROW(bhpc_data[sku]),ROW(bhpc_data[sku])),""),ROWS($A$15:A174)+$B$3)),INDEX(bhpc_data[description],SMALL(IF(ISNUMBER(MATCH(bhpc_data[category],$EC$9,0)*MATCH(bhpc_data[size1],$EC$13,0)),MATCH(ROW(bhpc_data[sku]),ROW(bhpc_data[sku])),""),ROWS($A$15:A174)+$B$3))),IF($EC$13="",INDEX(bhpc_data[description],SMALL(IF(ISNUMBER(MATCH(bhpc_data[category],$EC$9,0)*MATCH(bhpc_data[sex],$EC$11,0)),MATCH(ROW(bhpc_data[sku]),ROW(bhpc_data[sku])),""),ROWS($A$15:A174)+$B$3)),INDEX(bhpc_data[description],SMALL(IF(ISNUMBER(MATCH(bhpc_data[category],$EC$9,0)*MATCH(bhpc_data[sex],$EC$11,0)*MATCH(bhpc_data[size1],$EC$13,0)),MATCH(ROW(bhpc_data[sku]),ROW(bhpc_data[sku])),""),ROWS($A$15:A174)+$B$3))))),"")</f>
        <v xml:space="preserve">BHPC GIFTSET PRESTIGE ELEGANCE EDP100ML + DEO 250ML </v>
      </c>
      <c r="EG169" s="543">
        <f>IFERROR(IF('BHPC MANAGER'!$EE169="","",INDEX(inventory[ESISTENZA],MATCH('BHPC MANAGER'!$EE169,inventory[ARTICOLO],0))),0)</f>
        <v>0</v>
      </c>
      <c r="EH169" s="544" t="s">
        <v>914</v>
      </c>
      <c r="EI169" s="544">
        <f t="shared" si="14"/>
        <v>0</v>
      </c>
      <c r="EJ169" s="545" t="s">
        <v>914</v>
      </c>
      <c r="EK169" s="546">
        <f t="shared" si="15"/>
        <v>0</v>
      </c>
    </row>
    <row r="170" spans="63:141" x14ac:dyDescent="0.35">
      <c r="BK170" s="366"/>
      <c r="BL170" s="367"/>
      <c r="BM170" s="368"/>
      <c r="BN170" s="367"/>
      <c r="BO170" s="368"/>
      <c r="EE170" s="547" cm="1">
        <f t="array" ref="EE170">IFERROR(IF($EC$9="",IF($EC$11="",IF($EC$13="",INDEX(bhpc_data[sku],SMALL(MATCH(ROW(bhpc_data[sku]),ROW(bhpc_data[sku])),ROWS($A$15:A175)+$B$3)),INDEX(bhpc_data[sku],SMALL(IF(ISNUMBER(MATCH(bhpc_data[size1],$EC$13,0)),MATCH(ROW(bhpc_data[sku]),ROW(bhpc_data[sku])),""),ROWS($A$15:A175)+$B$3))),IF($EC$13="",INDEX(bhpc_data[sku],SMALL(IF(ISNUMBER(MATCH(bhpc_data[sex],$EC$11,0)),MATCH(ROW(bhpc_data[sku]),ROW(bhpc_data[sku])),""),ROWS($A$15:A175)+$B$3)),INDEX(bhpc_data[sku],SMALL(IF(ISNUMBER(MATCH(bhpc_data[sex],$EC$11,0)*MATCH(bhpc_data[size1],$EC$13,0)),MATCH(ROW(bhpc_data[sku]),ROW(bhpc_data[sku])),""),ROWS($A$15:A175)+$B$3)))),IF($EC$11="",IF($EC$13="",INDEX(bhpc_data[sku],SMALL(IF(ISNUMBER(MATCH(bhpc_data[category],$EC$9,0)),MATCH(ROW(bhpc_data[sku]),ROW(bhpc_data[sku])),""),ROWS($A$15:A175)+$B$3)),INDEX(bhpc_data[sku],SMALL(IF(ISNUMBER(MATCH(bhpc_data[category],$EC$9,0)*MATCH(bhpc_data[size1],$EC$13,0)),MATCH(ROW(bhpc_data[sku]),ROW(bhpc_data[sku])),""),ROWS($A$15:A175)+$B$3))),IF($EC$13="",INDEX(bhpc_data[sku],SMALL(IF(ISNUMBER(MATCH(bhpc_data[category],$EC$9,0)*MATCH(bhpc_data[sex],$EC$11,0)),MATCH(ROW(bhpc_data[sku]),ROW(bhpc_data[sku])),""),ROWS($A$15:A175)+$B$3)),INDEX(bhpc_data[sku],SMALL(IF(ISNUMBER(MATCH(bhpc_data[category],$EC$9,0)*MATCH(bhpc_data[sex],$EC$11,0)*MATCH(bhpc_data[size1],$EC$13,0)),MATCH(ROW(bhpc_data[sku]),ROW(bhpc_data[sku])),""),ROWS($A$15:A175)+$B$3))))),"")</f>
        <v>0</v>
      </c>
      <c r="EF170" s="548" t="str" cm="1">
        <f t="array" ref="EF170">IFERROR(IF($EC$9="",IF($EC$11="",IF($EC$13="",INDEX(bhpc_data[description],SMALL(MATCH(ROW(bhpc_data[sku]),ROW(bhpc_data[sku])),ROWS($A$15:A175)+$B$3)),INDEX(bhpc_data[description],SMALL(IF(ISNUMBER(MATCH(bhpc_data[size1],$EC$13,0)),MATCH(ROW(bhpc_data[sku]),ROW(bhpc_data[sku])),""),ROWS($A$15:A175)+$B$3))),IF($EC$13="",INDEX(bhpc_data[description],SMALL(IF(ISNUMBER(MATCH(bhpc_data[sex],$EC$11,0)),MATCH(ROW(bhpc_data[sku]),ROW(bhpc_data[sku])),""),ROWS($A$15:A175)+$B$3)),INDEX(bhpc_data[description],SMALL(IF(ISNUMBER(MATCH(bhpc_data[sex],$EC$11,0)*MATCH(bhpc_data[size1],$EC$13,0)),MATCH(ROW(bhpc_data[sku]),ROW(bhpc_data[sku])),""),ROWS($A$15:A175)+$B$3)))),IF($EC$11="",IF($EC$13="",INDEX(bhpc_data[description],SMALL(IF(ISNUMBER(MATCH(bhpc_data[category],$EC$9,0)),MATCH(ROW(bhpc_data[sku]),ROW(bhpc_data[sku])),""),ROWS($A$15:A175)+$B$3)),INDEX(bhpc_data[description],SMALL(IF(ISNUMBER(MATCH(bhpc_data[category],$EC$9,0)*MATCH(bhpc_data[size1],$EC$13,0)),MATCH(ROW(bhpc_data[sku]),ROW(bhpc_data[sku])),""),ROWS($A$15:A175)+$B$3))),IF($EC$13="",INDEX(bhpc_data[description],SMALL(IF(ISNUMBER(MATCH(bhpc_data[category],$EC$9,0)*MATCH(bhpc_data[sex],$EC$11,0)),MATCH(ROW(bhpc_data[sku]),ROW(bhpc_data[sku])),""),ROWS($A$15:A175)+$B$3)),INDEX(bhpc_data[description],SMALL(IF(ISNUMBER(MATCH(bhpc_data[category],$EC$9,0)*MATCH(bhpc_data[sex],$EC$11,0)*MATCH(bhpc_data[size1],$EC$13,0)),MATCH(ROW(bhpc_data[sku]),ROW(bhpc_data[sku])),""),ROWS($A$15:A175)+$B$3))))),"")</f>
        <v>BHPC PRESTIGE ELEGANCE DEO 250ML</v>
      </c>
      <c r="EG170" s="549">
        <f>IFERROR(IF('BHPC MANAGER'!$EE170="","",INDEX(inventory[ESISTENZA],MATCH('BHPC MANAGER'!$EE170,inventory[ARTICOLO],0))),0)</f>
        <v>0</v>
      </c>
      <c r="EH170" s="550" t="s">
        <v>914</v>
      </c>
      <c r="EI170" s="550">
        <f t="shared" si="14"/>
        <v>0</v>
      </c>
      <c r="EJ170" s="551" t="s">
        <v>914</v>
      </c>
      <c r="EK170" s="552">
        <f t="shared" si="15"/>
        <v>0</v>
      </c>
    </row>
    <row r="171" spans="63:141" x14ac:dyDescent="0.35">
      <c r="BK171" s="366"/>
      <c r="BL171" s="367"/>
      <c r="BM171" s="368"/>
      <c r="BN171" s="367"/>
      <c r="BO171" s="368"/>
      <c r="EE171" s="541" cm="1">
        <f t="array" ref="EE171">IFERROR(IF($EC$9="",IF($EC$11="",IF($EC$13="",INDEX(bhpc_data[sku],SMALL(MATCH(ROW(bhpc_data[sku]),ROW(bhpc_data[sku])),ROWS($A$15:A176)+$B$3)),INDEX(bhpc_data[sku],SMALL(IF(ISNUMBER(MATCH(bhpc_data[size1],$EC$13,0)),MATCH(ROW(bhpc_data[sku]),ROW(bhpc_data[sku])),""),ROWS($A$15:A176)+$B$3))),IF($EC$13="",INDEX(bhpc_data[sku],SMALL(IF(ISNUMBER(MATCH(bhpc_data[sex],$EC$11,0)),MATCH(ROW(bhpc_data[sku]),ROW(bhpc_data[sku])),""),ROWS($A$15:A176)+$B$3)),INDEX(bhpc_data[sku],SMALL(IF(ISNUMBER(MATCH(bhpc_data[sex],$EC$11,0)*MATCH(bhpc_data[size1],$EC$13,0)),MATCH(ROW(bhpc_data[sku]),ROW(bhpc_data[sku])),""),ROWS($A$15:A176)+$B$3)))),IF($EC$11="",IF($EC$13="",INDEX(bhpc_data[sku],SMALL(IF(ISNUMBER(MATCH(bhpc_data[category],$EC$9,0)),MATCH(ROW(bhpc_data[sku]),ROW(bhpc_data[sku])),""),ROWS($A$15:A176)+$B$3)),INDEX(bhpc_data[sku],SMALL(IF(ISNUMBER(MATCH(bhpc_data[category],$EC$9,0)*MATCH(bhpc_data[size1],$EC$13,0)),MATCH(ROW(bhpc_data[sku]),ROW(bhpc_data[sku])),""),ROWS($A$15:A176)+$B$3))),IF($EC$13="",INDEX(bhpc_data[sku],SMALL(IF(ISNUMBER(MATCH(bhpc_data[category],$EC$9,0)*MATCH(bhpc_data[sex],$EC$11,0)),MATCH(ROW(bhpc_data[sku]),ROW(bhpc_data[sku])),""),ROWS($A$15:A176)+$B$3)),INDEX(bhpc_data[sku],SMALL(IF(ISNUMBER(MATCH(bhpc_data[category],$EC$9,0)*MATCH(bhpc_data[sex],$EC$11,0)*MATCH(bhpc_data[size1],$EC$13,0)),MATCH(ROW(bhpc_data[sku]),ROW(bhpc_data[sku])),""),ROWS($A$15:A176)+$B$3))))),"")</f>
        <v>0</v>
      </c>
      <c r="EF171" s="542" t="str" cm="1">
        <f t="array" ref="EF171">IFERROR(IF($EC$9="",IF($EC$11="",IF($EC$13="",INDEX(bhpc_data[description],SMALL(MATCH(ROW(bhpc_data[sku]),ROW(bhpc_data[sku])),ROWS($A$15:A176)+$B$3)),INDEX(bhpc_data[description],SMALL(IF(ISNUMBER(MATCH(bhpc_data[size1],$EC$13,0)),MATCH(ROW(bhpc_data[sku]),ROW(bhpc_data[sku])),""),ROWS($A$15:A176)+$B$3))),IF($EC$13="",INDEX(bhpc_data[description],SMALL(IF(ISNUMBER(MATCH(bhpc_data[sex],$EC$11,0)),MATCH(ROW(bhpc_data[sku]),ROW(bhpc_data[sku])),""),ROWS($A$15:A176)+$B$3)),INDEX(bhpc_data[description],SMALL(IF(ISNUMBER(MATCH(bhpc_data[sex],$EC$11,0)*MATCH(bhpc_data[size1],$EC$13,0)),MATCH(ROW(bhpc_data[sku]),ROW(bhpc_data[sku])),""),ROWS($A$15:A176)+$B$3)))),IF($EC$11="",IF($EC$13="",INDEX(bhpc_data[description],SMALL(IF(ISNUMBER(MATCH(bhpc_data[category],$EC$9,0)),MATCH(ROW(bhpc_data[sku]),ROW(bhpc_data[sku])),""),ROWS($A$15:A176)+$B$3)),INDEX(bhpc_data[description],SMALL(IF(ISNUMBER(MATCH(bhpc_data[category],$EC$9,0)*MATCH(bhpc_data[size1],$EC$13,0)),MATCH(ROW(bhpc_data[sku]),ROW(bhpc_data[sku])),""),ROWS($A$15:A176)+$B$3))),IF($EC$13="",INDEX(bhpc_data[description],SMALL(IF(ISNUMBER(MATCH(bhpc_data[category],$EC$9,0)*MATCH(bhpc_data[sex],$EC$11,0)),MATCH(ROW(bhpc_data[sku]),ROW(bhpc_data[sku])),""),ROWS($A$15:A176)+$B$3)),INDEX(bhpc_data[description],SMALL(IF(ISNUMBER(MATCH(bhpc_data[category],$EC$9,0)*MATCH(bhpc_data[sex],$EC$11,0)*MATCH(bhpc_data[size1],$EC$13,0)),MATCH(ROW(bhpc_data[sku]),ROW(bhpc_data[sku])),""),ROWS($A$15:A176)+$B$3))))),"")</f>
        <v>BHPC PRESTIGE TROPHY DEO 300ML</v>
      </c>
      <c r="EG171" s="543">
        <f>IFERROR(IF('BHPC MANAGER'!$EE171="","",INDEX(inventory[ESISTENZA],MATCH('BHPC MANAGER'!$EE171,inventory[ARTICOLO],0))),0)</f>
        <v>0</v>
      </c>
      <c r="EH171" s="544" t="s">
        <v>914</v>
      </c>
      <c r="EI171" s="544">
        <f t="shared" si="14"/>
        <v>0</v>
      </c>
      <c r="EJ171" s="545" t="s">
        <v>914</v>
      </c>
      <c r="EK171" s="546">
        <f t="shared" si="15"/>
        <v>0</v>
      </c>
    </row>
    <row r="172" spans="63:141" x14ac:dyDescent="0.35">
      <c r="BK172" s="366"/>
      <c r="BL172" s="367"/>
      <c r="BM172" s="368"/>
      <c r="BN172" s="367"/>
      <c r="BO172" s="368"/>
      <c r="EE172" s="547" t="str" cm="1">
        <f t="array" ref="EE172">IFERROR(IF($EC$9="",IF($EC$11="",IF($EC$13="",INDEX(bhpc_data[sku],SMALL(MATCH(ROW(bhpc_data[sku]),ROW(bhpc_data[sku])),ROWS($A$15:A177)+$B$3)),INDEX(bhpc_data[sku],SMALL(IF(ISNUMBER(MATCH(bhpc_data[size1],$EC$13,0)),MATCH(ROW(bhpc_data[sku]),ROW(bhpc_data[sku])),""),ROWS($A$15:A177)+$B$3))),IF($EC$13="",INDEX(bhpc_data[sku],SMALL(IF(ISNUMBER(MATCH(bhpc_data[sex],$EC$11,0)),MATCH(ROW(bhpc_data[sku]),ROW(bhpc_data[sku])),""),ROWS($A$15:A177)+$B$3)),INDEX(bhpc_data[sku],SMALL(IF(ISNUMBER(MATCH(bhpc_data[sex],$EC$11,0)*MATCH(bhpc_data[size1],$EC$13,0)),MATCH(ROW(bhpc_data[sku]),ROW(bhpc_data[sku])),""),ROWS($A$15:A177)+$B$3)))),IF($EC$11="",IF($EC$13="",INDEX(bhpc_data[sku],SMALL(IF(ISNUMBER(MATCH(bhpc_data[category],$EC$9,0)),MATCH(ROW(bhpc_data[sku]),ROW(bhpc_data[sku])),""),ROWS($A$15:A177)+$B$3)),INDEX(bhpc_data[sku],SMALL(IF(ISNUMBER(MATCH(bhpc_data[category],$EC$9,0)*MATCH(bhpc_data[size1],$EC$13,0)),MATCH(ROW(bhpc_data[sku]),ROW(bhpc_data[sku])),""),ROWS($A$15:A177)+$B$3))),IF($EC$13="",INDEX(bhpc_data[sku],SMALL(IF(ISNUMBER(MATCH(bhpc_data[category],$EC$9,0)*MATCH(bhpc_data[sex],$EC$11,0)),MATCH(ROW(bhpc_data[sku]),ROW(bhpc_data[sku])),""),ROWS($A$15:A177)+$B$3)),INDEX(bhpc_data[sku],SMALL(IF(ISNUMBER(MATCH(bhpc_data[category],$EC$9,0)*MATCH(bhpc_data[sex],$EC$11,0)*MATCH(bhpc_data[size1],$EC$13,0)),MATCH(ROW(bhpc_data[sku]),ROW(bhpc_data[sku])),""),ROWS($A$15:A177)+$B$3))))),"")</f>
        <v>P07004</v>
      </c>
      <c r="EF172" s="548" t="str" cm="1">
        <f t="array" ref="EF172">IFERROR(IF($EC$9="",IF($EC$11="",IF($EC$13="",INDEX(bhpc_data[description],SMALL(MATCH(ROW(bhpc_data[sku]),ROW(bhpc_data[sku])),ROWS($A$15:A177)+$B$3)),INDEX(bhpc_data[description],SMALL(IF(ISNUMBER(MATCH(bhpc_data[size1],$EC$13,0)),MATCH(ROW(bhpc_data[sku]),ROW(bhpc_data[sku])),""),ROWS($A$15:A177)+$B$3))),IF($EC$13="",INDEX(bhpc_data[description],SMALL(IF(ISNUMBER(MATCH(bhpc_data[sex],$EC$11,0)),MATCH(ROW(bhpc_data[sku]),ROW(bhpc_data[sku])),""),ROWS($A$15:A177)+$B$3)),INDEX(bhpc_data[description],SMALL(IF(ISNUMBER(MATCH(bhpc_data[sex],$EC$11,0)*MATCH(bhpc_data[size1],$EC$13,0)),MATCH(ROW(bhpc_data[sku]),ROW(bhpc_data[sku])),""),ROWS($A$15:A177)+$B$3)))),IF($EC$11="",IF($EC$13="",INDEX(bhpc_data[description],SMALL(IF(ISNUMBER(MATCH(bhpc_data[category],$EC$9,0)),MATCH(ROW(bhpc_data[sku]),ROW(bhpc_data[sku])),""),ROWS($A$15:A177)+$B$3)),INDEX(bhpc_data[description],SMALL(IF(ISNUMBER(MATCH(bhpc_data[category],$EC$9,0)*MATCH(bhpc_data[size1],$EC$13,0)),MATCH(ROW(bhpc_data[sku]),ROW(bhpc_data[sku])),""),ROWS($A$15:A177)+$B$3))),IF($EC$13="",INDEX(bhpc_data[description],SMALL(IF(ISNUMBER(MATCH(bhpc_data[category],$EC$9,0)*MATCH(bhpc_data[sex],$EC$11,0)),MATCH(ROW(bhpc_data[sku]),ROW(bhpc_data[sku])),""),ROWS($A$15:A177)+$B$3)),INDEX(bhpc_data[description],SMALL(IF(ISNUMBER(MATCH(bhpc_data[category],$EC$9,0)*MATCH(bhpc_data[sex],$EC$11,0)*MATCH(bhpc_data[size1],$EC$13,0)),MATCH(ROW(bhpc_data[sku]),ROW(bhpc_data[sku])),""),ROWS($A$15:A177)+$B$3))))),"")</f>
        <v>BHPC WOMEN ROLL-ON 1 50ML</v>
      </c>
      <c r="EG172" s="549">
        <f>IFERROR(IF('BHPC MANAGER'!$EE172="","",INDEX(inventory[ESISTENZA],MATCH('BHPC MANAGER'!$EE172,inventory[ARTICOLO],0))),0)</f>
        <v>0</v>
      </c>
      <c r="EH172" s="550" t="s">
        <v>914</v>
      </c>
      <c r="EI172" s="550">
        <f t="shared" si="14"/>
        <v>0</v>
      </c>
      <c r="EJ172" s="551" t="s">
        <v>914</v>
      </c>
      <c r="EK172" s="552">
        <f t="shared" si="15"/>
        <v>0</v>
      </c>
    </row>
    <row r="173" spans="63:141" x14ac:dyDescent="0.35">
      <c r="BK173" s="366"/>
      <c r="BL173" s="367"/>
      <c r="BM173" s="368"/>
      <c r="BN173" s="367"/>
      <c r="BO173" s="368"/>
      <c r="EE173" s="541" t="str" cm="1">
        <f t="array" ref="EE173">IFERROR(IF($EC$9="",IF($EC$11="",IF($EC$13="",INDEX(bhpc_data[sku],SMALL(MATCH(ROW(bhpc_data[sku]),ROW(bhpc_data[sku])),ROWS($A$15:A178)+$B$3)),INDEX(bhpc_data[sku],SMALL(IF(ISNUMBER(MATCH(bhpc_data[size1],$EC$13,0)),MATCH(ROW(bhpc_data[sku]),ROW(bhpc_data[sku])),""),ROWS($A$15:A178)+$B$3))),IF($EC$13="",INDEX(bhpc_data[sku],SMALL(IF(ISNUMBER(MATCH(bhpc_data[sex],$EC$11,0)),MATCH(ROW(bhpc_data[sku]),ROW(bhpc_data[sku])),""),ROWS($A$15:A178)+$B$3)),INDEX(bhpc_data[sku],SMALL(IF(ISNUMBER(MATCH(bhpc_data[sex],$EC$11,0)*MATCH(bhpc_data[size1],$EC$13,0)),MATCH(ROW(bhpc_data[sku]),ROW(bhpc_data[sku])),""),ROWS($A$15:A178)+$B$3)))),IF($EC$11="",IF($EC$13="",INDEX(bhpc_data[sku],SMALL(IF(ISNUMBER(MATCH(bhpc_data[category],$EC$9,0)),MATCH(ROW(bhpc_data[sku]),ROW(bhpc_data[sku])),""),ROWS($A$15:A178)+$B$3)),INDEX(bhpc_data[sku],SMALL(IF(ISNUMBER(MATCH(bhpc_data[category],$EC$9,0)*MATCH(bhpc_data[size1],$EC$13,0)),MATCH(ROW(bhpc_data[sku]),ROW(bhpc_data[sku])),""),ROWS($A$15:A178)+$B$3))),IF($EC$13="",INDEX(bhpc_data[sku],SMALL(IF(ISNUMBER(MATCH(bhpc_data[category],$EC$9,0)*MATCH(bhpc_data[sex],$EC$11,0)),MATCH(ROW(bhpc_data[sku]),ROW(bhpc_data[sku])),""),ROWS($A$15:A178)+$B$3)),INDEX(bhpc_data[sku],SMALL(IF(ISNUMBER(MATCH(bhpc_data[category],$EC$9,0)*MATCH(bhpc_data[sex],$EC$11,0)*MATCH(bhpc_data[size1],$EC$13,0)),MATCH(ROW(bhpc_data[sku]),ROW(bhpc_data[sku])),""),ROWS($A$15:A178)+$B$3))))),"")</f>
        <v>P07005</v>
      </c>
      <c r="EF173" s="542" t="str" cm="1">
        <f t="array" ref="EF173">IFERROR(IF($EC$9="",IF($EC$11="",IF($EC$13="",INDEX(bhpc_data[description],SMALL(MATCH(ROW(bhpc_data[sku]),ROW(bhpc_data[sku])),ROWS($A$15:A178)+$B$3)),INDEX(bhpc_data[description],SMALL(IF(ISNUMBER(MATCH(bhpc_data[size1],$EC$13,0)),MATCH(ROW(bhpc_data[sku]),ROW(bhpc_data[sku])),""),ROWS($A$15:A178)+$B$3))),IF($EC$13="",INDEX(bhpc_data[description],SMALL(IF(ISNUMBER(MATCH(bhpc_data[sex],$EC$11,0)),MATCH(ROW(bhpc_data[sku]),ROW(bhpc_data[sku])),""),ROWS($A$15:A178)+$B$3)),INDEX(bhpc_data[description],SMALL(IF(ISNUMBER(MATCH(bhpc_data[sex],$EC$11,0)*MATCH(bhpc_data[size1],$EC$13,0)),MATCH(ROW(bhpc_data[sku]),ROW(bhpc_data[sku])),""),ROWS($A$15:A178)+$B$3)))),IF($EC$11="",IF($EC$13="",INDEX(bhpc_data[description],SMALL(IF(ISNUMBER(MATCH(bhpc_data[category],$EC$9,0)),MATCH(ROW(bhpc_data[sku]),ROW(bhpc_data[sku])),""),ROWS($A$15:A178)+$B$3)),INDEX(bhpc_data[description],SMALL(IF(ISNUMBER(MATCH(bhpc_data[category],$EC$9,0)*MATCH(bhpc_data[size1],$EC$13,0)),MATCH(ROW(bhpc_data[sku]),ROW(bhpc_data[sku])),""),ROWS($A$15:A178)+$B$3))),IF($EC$13="",INDEX(bhpc_data[description],SMALL(IF(ISNUMBER(MATCH(bhpc_data[category],$EC$9,0)*MATCH(bhpc_data[sex],$EC$11,0)),MATCH(ROW(bhpc_data[sku]),ROW(bhpc_data[sku])),""),ROWS($A$15:A178)+$B$3)),INDEX(bhpc_data[description],SMALL(IF(ISNUMBER(MATCH(bhpc_data[category],$EC$9,0)*MATCH(bhpc_data[sex],$EC$11,0)*MATCH(bhpc_data[size1],$EC$13,0)),MATCH(ROW(bhpc_data[sku]),ROW(bhpc_data[sku])),""),ROWS($A$15:A178)+$B$3))))),"")</f>
        <v>BHPC WOMEN ROLL-ON 9 50ML</v>
      </c>
      <c r="EG173" s="543">
        <f>IFERROR(IF('BHPC MANAGER'!$EE173="","",INDEX(inventory[ESISTENZA],MATCH('BHPC MANAGER'!$EE173,inventory[ARTICOLO],0))),0)</f>
        <v>0</v>
      </c>
      <c r="EH173" s="544">
        <v>60</v>
      </c>
      <c r="EI173" s="544">
        <f t="shared" si="14"/>
        <v>60</v>
      </c>
      <c r="EJ173" s="545">
        <v>0</v>
      </c>
      <c r="EK173" s="546">
        <f t="shared" si="15"/>
        <v>60</v>
      </c>
    </row>
    <row r="174" spans="63:141" x14ac:dyDescent="0.35">
      <c r="BK174" s="366"/>
      <c r="BL174" s="367"/>
      <c r="BM174" s="368"/>
      <c r="BN174" s="367"/>
      <c r="BO174" s="368"/>
      <c r="EE174" s="547" t="str" cm="1">
        <f t="array" ref="EE174">IFERROR(IF($EC$9="",IF($EC$11="",IF($EC$13="",INDEX(bhpc_data[sku],SMALL(MATCH(ROW(bhpc_data[sku]),ROW(bhpc_data[sku])),ROWS($A$15:A179)+$B$3)),INDEX(bhpc_data[sku],SMALL(IF(ISNUMBER(MATCH(bhpc_data[size1],$EC$13,0)),MATCH(ROW(bhpc_data[sku]),ROW(bhpc_data[sku])),""),ROWS($A$15:A179)+$B$3))),IF($EC$13="",INDEX(bhpc_data[sku],SMALL(IF(ISNUMBER(MATCH(bhpc_data[sex],$EC$11,0)),MATCH(ROW(bhpc_data[sku]),ROW(bhpc_data[sku])),""),ROWS($A$15:A179)+$B$3)),INDEX(bhpc_data[sku],SMALL(IF(ISNUMBER(MATCH(bhpc_data[sex],$EC$11,0)*MATCH(bhpc_data[size1],$EC$13,0)),MATCH(ROW(bhpc_data[sku]),ROW(bhpc_data[sku])),""),ROWS($A$15:A179)+$B$3)))),IF($EC$11="",IF($EC$13="",INDEX(bhpc_data[sku],SMALL(IF(ISNUMBER(MATCH(bhpc_data[category],$EC$9,0)),MATCH(ROW(bhpc_data[sku]),ROW(bhpc_data[sku])),""),ROWS($A$15:A179)+$B$3)),INDEX(bhpc_data[sku],SMALL(IF(ISNUMBER(MATCH(bhpc_data[category],$EC$9,0)*MATCH(bhpc_data[size1],$EC$13,0)),MATCH(ROW(bhpc_data[sku]),ROW(bhpc_data[sku])),""),ROWS($A$15:A179)+$B$3))),IF($EC$13="",INDEX(bhpc_data[sku],SMALL(IF(ISNUMBER(MATCH(bhpc_data[category],$EC$9,0)*MATCH(bhpc_data[sex],$EC$11,0)),MATCH(ROW(bhpc_data[sku]),ROW(bhpc_data[sku])),""),ROWS($A$15:A179)+$B$3)),INDEX(bhpc_data[sku],SMALL(IF(ISNUMBER(MATCH(bhpc_data[category],$EC$9,0)*MATCH(bhpc_data[sex],$EC$11,0)*MATCH(bhpc_data[size1],$EC$13,0)),MATCH(ROW(bhpc_data[sku]),ROW(bhpc_data[sku])),""),ROWS($A$15:A179)+$B$3))))),"")</f>
        <v>P07006</v>
      </c>
      <c r="EF174" s="548" t="str" cm="1">
        <f t="array" ref="EF174">IFERROR(IF($EC$9="",IF($EC$11="",IF($EC$13="",INDEX(bhpc_data[description],SMALL(MATCH(ROW(bhpc_data[sku]),ROW(bhpc_data[sku])),ROWS($A$15:A179)+$B$3)),INDEX(bhpc_data[description],SMALL(IF(ISNUMBER(MATCH(bhpc_data[size1],$EC$13,0)),MATCH(ROW(bhpc_data[sku]),ROW(bhpc_data[sku])),""),ROWS($A$15:A179)+$B$3))),IF($EC$13="",INDEX(bhpc_data[description],SMALL(IF(ISNUMBER(MATCH(bhpc_data[sex],$EC$11,0)),MATCH(ROW(bhpc_data[sku]),ROW(bhpc_data[sku])),""),ROWS($A$15:A179)+$B$3)),INDEX(bhpc_data[description],SMALL(IF(ISNUMBER(MATCH(bhpc_data[sex],$EC$11,0)*MATCH(bhpc_data[size1],$EC$13,0)),MATCH(ROW(bhpc_data[sku]),ROW(bhpc_data[sku])),""),ROWS($A$15:A179)+$B$3)))),IF($EC$11="",IF($EC$13="",INDEX(bhpc_data[description],SMALL(IF(ISNUMBER(MATCH(bhpc_data[category],$EC$9,0)),MATCH(ROW(bhpc_data[sku]),ROW(bhpc_data[sku])),""),ROWS($A$15:A179)+$B$3)),INDEX(bhpc_data[description],SMALL(IF(ISNUMBER(MATCH(bhpc_data[category],$EC$9,0)*MATCH(bhpc_data[size1],$EC$13,0)),MATCH(ROW(bhpc_data[sku]),ROW(bhpc_data[sku])),""),ROWS($A$15:A179)+$B$3))),IF($EC$13="",INDEX(bhpc_data[description],SMALL(IF(ISNUMBER(MATCH(bhpc_data[category],$EC$9,0)*MATCH(bhpc_data[sex],$EC$11,0)),MATCH(ROW(bhpc_data[sku]),ROW(bhpc_data[sku])),""),ROWS($A$15:A179)+$B$3)),INDEX(bhpc_data[description],SMALL(IF(ISNUMBER(MATCH(bhpc_data[category],$EC$9,0)*MATCH(bhpc_data[sex],$EC$11,0)*MATCH(bhpc_data[size1],$EC$13,0)),MATCH(ROW(bhpc_data[sku]),ROW(bhpc_data[sku])),""),ROWS($A$15:A179)+$B$3))))),"")</f>
        <v>BHPC WOMEN ROLL-ON 8 50ML</v>
      </c>
      <c r="EG174" s="549">
        <f>IFERROR(IF('BHPC MANAGER'!$EE174="","",INDEX(inventory[ESISTENZA],MATCH('BHPC MANAGER'!$EE174,inventory[ARTICOLO],0))),0)</f>
        <v>0</v>
      </c>
      <c r="EH174" s="550" t="s">
        <v>914</v>
      </c>
      <c r="EI174" s="550">
        <f t="shared" si="14"/>
        <v>0</v>
      </c>
      <c r="EJ174" s="551" t="s">
        <v>914</v>
      </c>
      <c r="EK174" s="552">
        <f t="shared" si="15"/>
        <v>0</v>
      </c>
    </row>
    <row r="175" spans="63:141" x14ac:dyDescent="0.35">
      <c r="BK175" s="366"/>
      <c r="BL175" s="367"/>
      <c r="BM175" s="368"/>
      <c r="BN175" s="367"/>
      <c r="BO175" s="368"/>
      <c r="EE175" s="541" t="str" cm="1">
        <f t="array" ref="EE175">IFERROR(IF($EC$9="",IF($EC$11="",IF($EC$13="",INDEX(bhpc_data[sku],SMALL(MATCH(ROW(bhpc_data[sku]),ROW(bhpc_data[sku])),ROWS($A$15:A180)+$B$3)),INDEX(bhpc_data[sku],SMALL(IF(ISNUMBER(MATCH(bhpc_data[size1],$EC$13,0)),MATCH(ROW(bhpc_data[sku]),ROW(bhpc_data[sku])),""),ROWS($A$15:A180)+$B$3))),IF($EC$13="",INDEX(bhpc_data[sku],SMALL(IF(ISNUMBER(MATCH(bhpc_data[sex],$EC$11,0)),MATCH(ROW(bhpc_data[sku]),ROW(bhpc_data[sku])),""),ROWS($A$15:A180)+$B$3)),INDEX(bhpc_data[sku],SMALL(IF(ISNUMBER(MATCH(bhpc_data[sex],$EC$11,0)*MATCH(bhpc_data[size1],$EC$13,0)),MATCH(ROW(bhpc_data[sku]),ROW(bhpc_data[sku])),""),ROWS($A$15:A180)+$B$3)))),IF($EC$11="",IF($EC$13="",INDEX(bhpc_data[sku],SMALL(IF(ISNUMBER(MATCH(bhpc_data[category],$EC$9,0)),MATCH(ROW(bhpc_data[sku]),ROW(bhpc_data[sku])),""),ROWS($A$15:A180)+$B$3)),INDEX(bhpc_data[sku],SMALL(IF(ISNUMBER(MATCH(bhpc_data[category],$EC$9,0)*MATCH(bhpc_data[size1],$EC$13,0)),MATCH(ROW(bhpc_data[sku]),ROW(bhpc_data[sku])),""),ROWS($A$15:A180)+$B$3))),IF($EC$13="",INDEX(bhpc_data[sku],SMALL(IF(ISNUMBER(MATCH(bhpc_data[category],$EC$9,0)*MATCH(bhpc_data[sex],$EC$11,0)),MATCH(ROW(bhpc_data[sku]),ROW(bhpc_data[sku])),""),ROWS($A$15:A180)+$B$3)),INDEX(bhpc_data[sku],SMALL(IF(ISNUMBER(MATCH(bhpc_data[category],$EC$9,0)*MATCH(bhpc_data[sex],$EC$11,0)*MATCH(bhpc_data[size1],$EC$13,0)),MATCH(ROW(bhpc_data[sku]),ROW(bhpc_data[sku])),""),ROWS($A$15:A180)+$B$3))))),"")</f>
        <v>P07007</v>
      </c>
      <c r="EF175" s="542" t="str" cm="1">
        <f t="array" ref="EF175">IFERROR(IF($EC$9="",IF($EC$11="",IF($EC$13="",INDEX(bhpc_data[description],SMALL(MATCH(ROW(bhpc_data[sku]),ROW(bhpc_data[sku])),ROWS($A$15:A180)+$B$3)),INDEX(bhpc_data[description],SMALL(IF(ISNUMBER(MATCH(bhpc_data[size1],$EC$13,0)),MATCH(ROW(bhpc_data[sku]),ROW(bhpc_data[sku])),""),ROWS($A$15:A180)+$B$3))),IF($EC$13="",INDEX(bhpc_data[description],SMALL(IF(ISNUMBER(MATCH(bhpc_data[sex],$EC$11,0)),MATCH(ROW(bhpc_data[sku]),ROW(bhpc_data[sku])),""),ROWS($A$15:A180)+$B$3)),INDEX(bhpc_data[description],SMALL(IF(ISNUMBER(MATCH(bhpc_data[sex],$EC$11,0)*MATCH(bhpc_data[size1],$EC$13,0)),MATCH(ROW(bhpc_data[sku]),ROW(bhpc_data[sku])),""),ROWS($A$15:A180)+$B$3)))),IF($EC$11="",IF($EC$13="",INDEX(bhpc_data[description],SMALL(IF(ISNUMBER(MATCH(bhpc_data[category],$EC$9,0)),MATCH(ROW(bhpc_data[sku]),ROW(bhpc_data[sku])),""),ROWS($A$15:A180)+$B$3)),INDEX(bhpc_data[description],SMALL(IF(ISNUMBER(MATCH(bhpc_data[category],$EC$9,0)*MATCH(bhpc_data[size1],$EC$13,0)),MATCH(ROW(bhpc_data[sku]),ROW(bhpc_data[sku])),""),ROWS($A$15:A180)+$B$3))),IF($EC$13="",INDEX(bhpc_data[description],SMALL(IF(ISNUMBER(MATCH(bhpc_data[category],$EC$9,0)*MATCH(bhpc_data[sex],$EC$11,0)),MATCH(ROW(bhpc_data[sku]),ROW(bhpc_data[sku])),""),ROWS($A$15:A180)+$B$3)),INDEX(bhpc_data[description],SMALL(IF(ISNUMBER(MATCH(bhpc_data[category],$EC$9,0)*MATCH(bhpc_data[sex],$EC$11,0)*MATCH(bhpc_data[size1],$EC$13,0)),MATCH(ROW(bhpc_data[sku]),ROW(bhpc_data[sku])),""),ROWS($A$15:A180)+$B$3))))),"")</f>
        <v>BHPC WOMEN ROLL-ON 2 50ML</v>
      </c>
      <c r="EG175" s="543">
        <f>IFERROR(IF('BHPC MANAGER'!$EE175="","",INDEX(inventory[ESISTENZA],MATCH('BHPC MANAGER'!$EE175,inventory[ARTICOLO],0))),0)</f>
        <v>0</v>
      </c>
      <c r="EH175" s="544" t="s">
        <v>914</v>
      </c>
      <c r="EI175" s="544">
        <f t="shared" si="14"/>
        <v>0</v>
      </c>
      <c r="EJ175" s="545" t="s">
        <v>914</v>
      </c>
      <c r="EK175" s="546">
        <f t="shared" si="15"/>
        <v>0</v>
      </c>
    </row>
    <row r="176" spans="63:141" x14ac:dyDescent="0.35">
      <c r="BK176" s="366"/>
      <c r="BL176" s="367"/>
      <c r="BM176" s="368"/>
      <c r="BN176" s="367"/>
      <c r="BO176" s="368"/>
      <c r="EE176" s="547" t="str" cm="1">
        <f t="array" ref="EE176">IFERROR(IF($EC$9="",IF($EC$11="",IF($EC$13="",INDEX(bhpc_data[sku],SMALL(MATCH(ROW(bhpc_data[sku]),ROW(bhpc_data[sku])),ROWS($A$15:A181)+$B$3)),INDEX(bhpc_data[sku],SMALL(IF(ISNUMBER(MATCH(bhpc_data[size1],$EC$13,0)),MATCH(ROW(bhpc_data[sku]),ROW(bhpc_data[sku])),""),ROWS($A$15:A181)+$B$3))),IF($EC$13="",INDEX(bhpc_data[sku],SMALL(IF(ISNUMBER(MATCH(bhpc_data[sex],$EC$11,0)),MATCH(ROW(bhpc_data[sku]),ROW(bhpc_data[sku])),""),ROWS($A$15:A181)+$B$3)),INDEX(bhpc_data[sku],SMALL(IF(ISNUMBER(MATCH(bhpc_data[sex],$EC$11,0)*MATCH(bhpc_data[size1],$EC$13,0)),MATCH(ROW(bhpc_data[sku]),ROW(bhpc_data[sku])),""),ROWS($A$15:A181)+$B$3)))),IF($EC$11="",IF($EC$13="",INDEX(bhpc_data[sku],SMALL(IF(ISNUMBER(MATCH(bhpc_data[category],$EC$9,0)),MATCH(ROW(bhpc_data[sku]),ROW(bhpc_data[sku])),""),ROWS($A$15:A181)+$B$3)),INDEX(bhpc_data[sku],SMALL(IF(ISNUMBER(MATCH(bhpc_data[category],$EC$9,0)*MATCH(bhpc_data[size1],$EC$13,0)),MATCH(ROW(bhpc_data[sku]),ROW(bhpc_data[sku])),""),ROWS($A$15:A181)+$B$3))),IF($EC$13="",INDEX(bhpc_data[sku],SMALL(IF(ISNUMBER(MATCH(bhpc_data[category],$EC$9,0)*MATCH(bhpc_data[sex],$EC$11,0)),MATCH(ROW(bhpc_data[sku]),ROW(bhpc_data[sku])),""),ROWS($A$15:A181)+$B$3)),INDEX(bhpc_data[sku],SMALL(IF(ISNUMBER(MATCH(bhpc_data[category],$EC$9,0)*MATCH(bhpc_data[sex],$EC$11,0)*MATCH(bhpc_data[size1],$EC$13,0)),MATCH(ROW(bhpc_data[sku]),ROW(bhpc_data[sku])),""),ROWS($A$15:A181)+$B$3))))),"")</f>
        <v>P07007</v>
      </c>
      <c r="EF176" s="548" t="str" cm="1">
        <f t="array" ref="EF176">IFERROR(IF($EC$9="",IF($EC$11="",IF($EC$13="",INDEX(bhpc_data[description],SMALL(MATCH(ROW(bhpc_data[sku]),ROW(bhpc_data[sku])),ROWS($A$15:A181)+$B$3)),INDEX(bhpc_data[description],SMALL(IF(ISNUMBER(MATCH(bhpc_data[size1],$EC$13,0)),MATCH(ROW(bhpc_data[sku]),ROW(bhpc_data[sku])),""),ROWS($A$15:A181)+$B$3))),IF($EC$13="",INDEX(bhpc_data[description],SMALL(IF(ISNUMBER(MATCH(bhpc_data[sex],$EC$11,0)),MATCH(ROW(bhpc_data[sku]),ROW(bhpc_data[sku])),""),ROWS($A$15:A181)+$B$3)),INDEX(bhpc_data[description],SMALL(IF(ISNUMBER(MATCH(bhpc_data[sex],$EC$11,0)*MATCH(bhpc_data[size1],$EC$13,0)),MATCH(ROW(bhpc_data[sku]),ROW(bhpc_data[sku])),""),ROWS($A$15:A181)+$B$3)))),IF($EC$11="",IF($EC$13="",INDEX(bhpc_data[description],SMALL(IF(ISNUMBER(MATCH(bhpc_data[category],$EC$9,0)),MATCH(ROW(bhpc_data[sku]),ROW(bhpc_data[sku])),""),ROWS($A$15:A181)+$B$3)),INDEX(bhpc_data[description],SMALL(IF(ISNUMBER(MATCH(bhpc_data[category],$EC$9,0)*MATCH(bhpc_data[size1],$EC$13,0)),MATCH(ROW(bhpc_data[sku]),ROW(bhpc_data[sku])),""),ROWS($A$15:A181)+$B$3))),IF($EC$13="",INDEX(bhpc_data[description],SMALL(IF(ISNUMBER(MATCH(bhpc_data[category],$EC$9,0)*MATCH(bhpc_data[sex],$EC$11,0)),MATCH(ROW(bhpc_data[sku]),ROW(bhpc_data[sku])),""),ROWS($A$15:A181)+$B$3)),INDEX(bhpc_data[description],SMALL(IF(ISNUMBER(MATCH(bhpc_data[category],$EC$9,0)*MATCH(bhpc_data[sex],$EC$11,0)*MATCH(bhpc_data[size1],$EC$13,0)),MATCH(ROW(bhpc_data[sku]),ROW(bhpc_data[sku])),""),ROWS($A$15:A181)+$B$3))))),"")</f>
        <v>BHPC WOMEN ROLL-ON 2 50ML</v>
      </c>
      <c r="EG176" s="549">
        <f>IFERROR(IF('BHPC MANAGER'!$EE176="","",INDEX(inventory[ESISTENZA],MATCH('BHPC MANAGER'!$EE176,inventory[ARTICOLO],0))),0)</f>
        <v>0</v>
      </c>
      <c r="EH176" s="550" t="s">
        <v>914</v>
      </c>
      <c r="EI176" s="550">
        <f t="shared" si="14"/>
        <v>0</v>
      </c>
      <c r="EJ176" s="551" t="s">
        <v>914</v>
      </c>
      <c r="EK176" s="552">
        <f t="shared" si="15"/>
        <v>0</v>
      </c>
    </row>
    <row r="177" spans="63:141" x14ac:dyDescent="0.35">
      <c r="BK177" s="366"/>
      <c r="BL177" s="367"/>
      <c r="BM177" s="368"/>
      <c r="BN177" s="367"/>
      <c r="BO177" s="368"/>
      <c r="EE177" s="541" t="str" cm="1">
        <f t="array" ref="EE177">IFERROR(IF($EC$9="",IF($EC$11="",IF($EC$13="",INDEX(bhpc_data[sku],SMALL(MATCH(ROW(bhpc_data[sku]),ROW(bhpc_data[sku])),ROWS($A$15:A182)+$B$3)),INDEX(bhpc_data[sku],SMALL(IF(ISNUMBER(MATCH(bhpc_data[size1],$EC$13,0)),MATCH(ROW(bhpc_data[sku]),ROW(bhpc_data[sku])),""),ROWS($A$15:A182)+$B$3))),IF($EC$13="",INDEX(bhpc_data[sku],SMALL(IF(ISNUMBER(MATCH(bhpc_data[sex],$EC$11,0)),MATCH(ROW(bhpc_data[sku]),ROW(bhpc_data[sku])),""),ROWS($A$15:A182)+$B$3)),INDEX(bhpc_data[sku],SMALL(IF(ISNUMBER(MATCH(bhpc_data[sex],$EC$11,0)*MATCH(bhpc_data[size1],$EC$13,0)),MATCH(ROW(bhpc_data[sku]),ROW(bhpc_data[sku])),""),ROWS($A$15:A182)+$B$3)))),IF($EC$11="",IF($EC$13="",INDEX(bhpc_data[sku],SMALL(IF(ISNUMBER(MATCH(bhpc_data[category],$EC$9,0)),MATCH(ROW(bhpc_data[sku]),ROW(bhpc_data[sku])),""),ROWS($A$15:A182)+$B$3)),INDEX(bhpc_data[sku],SMALL(IF(ISNUMBER(MATCH(bhpc_data[category],$EC$9,0)*MATCH(bhpc_data[size1],$EC$13,0)),MATCH(ROW(bhpc_data[sku]),ROW(bhpc_data[sku])),""),ROWS($A$15:A182)+$B$3))),IF($EC$13="",INDEX(bhpc_data[sku],SMALL(IF(ISNUMBER(MATCH(bhpc_data[category],$EC$9,0)*MATCH(bhpc_data[sex],$EC$11,0)),MATCH(ROW(bhpc_data[sku]),ROW(bhpc_data[sku])),""),ROWS($A$15:A182)+$B$3)),INDEX(bhpc_data[sku],SMALL(IF(ISNUMBER(MATCH(bhpc_data[category],$EC$9,0)*MATCH(bhpc_data[sex],$EC$11,0)*MATCH(bhpc_data[size1],$EC$13,0)),MATCH(ROW(bhpc_data[sku]),ROW(bhpc_data[sku])),""),ROWS($A$15:A182)+$B$3))))),"")</f>
        <v>X2TRFM</v>
      </c>
      <c r="EF177" s="542" t="str" cm="1">
        <f t="array" ref="EF177">IFERROR(IF($EC$9="",IF($EC$11="",IF($EC$13="",INDEX(bhpc_data[description],SMALL(MATCH(ROW(bhpc_data[sku]),ROW(bhpc_data[sku])),ROWS($A$15:A182)+$B$3)),INDEX(bhpc_data[description],SMALL(IF(ISNUMBER(MATCH(bhpc_data[size1],$EC$13,0)),MATCH(ROW(bhpc_data[sku]),ROW(bhpc_data[sku])),""),ROWS($A$15:A182)+$B$3))),IF($EC$13="",INDEX(bhpc_data[description],SMALL(IF(ISNUMBER(MATCH(bhpc_data[sex],$EC$11,0)),MATCH(ROW(bhpc_data[sku]),ROW(bhpc_data[sku])),""),ROWS($A$15:A182)+$B$3)),INDEX(bhpc_data[description],SMALL(IF(ISNUMBER(MATCH(bhpc_data[sex],$EC$11,0)*MATCH(bhpc_data[size1],$EC$13,0)),MATCH(ROW(bhpc_data[sku]),ROW(bhpc_data[sku])),""),ROWS($A$15:A182)+$B$3)))),IF($EC$11="",IF($EC$13="",INDEX(bhpc_data[description],SMALL(IF(ISNUMBER(MATCH(bhpc_data[category],$EC$9,0)),MATCH(ROW(bhpc_data[sku]),ROW(bhpc_data[sku])),""),ROWS($A$15:A182)+$B$3)),INDEX(bhpc_data[description],SMALL(IF(ISNUMBER(MATCH(bhpc_data[category],$EC$9,0)*MATCH(bhpc_data[size1],$EC$13,0)),MATCH(ROW(bhpc_data[sku]),ROW(bhpc_data[sku])),""),ROWS($A$15:A182)+$B$3))),IF($EC$13="",INDEX(bhpc_data[description],SMALL(IF(ISNUMBER(MATCH(bhpc_data[category],$EC$9,0)*MATCH(bhpc_data[sex],$EC$11,0)),MATCH(ROW(bhpc_data[sku]),ROW(bhpc_data[sku])),""),ROWS($A$15:A182)+$B$3)),INDEX(bhpc_data[description],SMALL(IF(ISNUMBER(MATCH(bhpc_data[category],$EC$9,0)*MATCH(bhpc_data[sex],$EC$11,0)*MATCH(bhpc_data[size1],$EC$13,0)),MATCH(ROW(bhpc_data[sku]),ROW(bhpc_data[sku])),""),ROWS($A$15:A182)+$B$3))))),"")</f>
        <v>BHPC TRAY 3PCS GIFT BOX MEN 50ML</v>
      </c>
      <c r="EG177" s="543">
        <f>IFERROR(IF('BHPC MANAGER'!$EE177="","",INDEX(inventory[ESISTENZA],MATCH('BHPC MANAGER'!$EE177,inventory[ARTICOLO],0))),0)</f>
        <v>0</v>
      </c>
      <c r="EH177" s="544">
        <v>75</v>
      </c>
      <c r="EI177" s="544">
        <f t="shared" si="14"/>
        <v>75</v>
      </c>
      <c r="EJ177" s="545">
        <v>0</v>
      </c>
      <c r="EK177" s="546">
        <f t="shared" si="15"/>
        <v>75</v>
      </c>
    </row>
    <row r="178" spans="63:141" x14ac:dyDescent="0.35">
      <c r="BK178" s="366"/>
      <c r="BL178" s="367"/>
      <c r="BM178" s="368"/>
      <c r="BN178" s="367"/>
      <c r="BO178" s="368"/>
      <c r="EE178" s="547" t="str" cm="1">
        <f t="array" ref="EE178">IFERROR(IF($EC$9="",IF($EC$11="",IF($EC$13="",INDEX(bhpc_data[sku],SMALL(MATCH(ROW(bhpc_data[sku]),ROW(bhpc_data[sku])),ROWS($A$15:A183)+$B$3)),INDEX(bhpc_data[sku],SMALL(IF(ISNUMBER(MATCH(bhpc_data[size1],$EC$13,0)),MATCH(ROW(bhpc_data[sku]),ROW(bhpc_data[sku])),""),ROWS($A$15:A183)+$B$3))),IF($EC$13="",INDEX(bhpc_data[sku],SMALL(IF(ISNUMBER(MATCH(bhpc_data[sex],$EC$11,0)),MATCH(ROW(bhpc_data[sku]),ROW(bhpc_data[sku])),""),ROWS($A$15:A183)+$B$3)),INDEX(bhpc_data[sku],SMALL(IF(ISNUMBER(MATCH(bhpc_data[sex],$EC$11,0)*MATCH(bhpc_data[size1],$EC$13,0)),MATCH(ROW(bhpc_data[sku]),ROW(bhpc_data[sku])),""),ROWS($A$15:A183)+$B$3)))),IF($EC$11="",IF($EC$13="",INDEX(bhpc_data[sku],SMALL(IF(ISNUMBER(MATCH(bhpc_data[category],$EC$9,0)),MATCH(ROW(bhpc_data[sku]),ROW(bhpc_data[sku])),""),ROWS($A$15:A183)+$B$3)),INDEX(bhpc_data[sku],SMALL(IF(ISNUMBER(MATCH(bhpc_data[category],$EC$9,0)*MATCH(bhpc_data[size1],$EC$13,0)),MATCH(ROW(bhpc_data[sku]),ROW(bhpc_data[sku])),""),ROWS($A$15:A183)+$B$3))),IF($EC$13="",INDEX(bhpc_data[sku],SMALL(IF(ISNUMBER(MATCH(bhpc_data[category],$EC$9,0)*MATCH(bhpc_data[sex],$EC$11,0)),MATCH(ROW(bhpc_data[sku]),ROW(bhpc_data[sku])),""),ROWS($A$15:A183)+$B$3)),INDEX(bhpc_data[sku],SMALL(IF(ISNUMBER(MATCH(bhpc_data[category],$EC$9,0)*MATCH(bhpc_data[sex],$EC$11,0)*MATCH(bhpc_data[size1],$EC$13,0)),MATCH(ROW(bhpc_data[sku]),ROW(bhpc_data[sku])),""),ROWS($A$15:A183)+$B$3))))),"")</f>
        <v>X2TRFW</v>
      </c>
      <c r="EF178" s="548" t="str" cm="1">
        <f t="array" ref="EF178">IFERROR(IF($EC$9="",IF($EC$11="",IF($EC$13="",INDEX(bhpc_data[description],SMALL(MATCH(ROW(bhpc_data[sku]),ROW(bhpc_data[sku])),ROWS($A$15:A183)+$B$3)),INDEX(bhpc_data[description],SMALL(IF(ISNUMBER(MATCH(bhpc_data[size1],$EC$13,0)),MATCH(ROW(bhpc_data[sku]),ROW(bhpc_data[sku])),""),ROWS($A$15:A183)+$B$3))),IF($EC$13="",INDEX(bhpc_data[description],SMALL(IF(ISNUMBER(MATCH(bhpc_data[sex],$EC$11,0)),MATCH(ROW(bhpc_data[sku]),ROW(bhpc_data[sku])),""),ROWS($A$15:A183)+$B$3)),INDEX(bhpc_data[description],SMALL(IF(ISNUMBER(MATCH(bhpc_data[sex],$EC$11,0)*MATCH(bhpc_data[size1],$EC$13,0)),MATCH(ROW(bhpc_data[sku]),ROW(bhpc_data[sku])),""),ROWS($A$15:A183)+$B$3)))),IF($EC$11="",IF($EC$13="",INDEX(bhpc_data[description],SMALL(IF(ISNUMBER(MATCH(bhpc_data[category],$EC$9,0)),MATCH(ROW(bhpc_data[sku]),ROW(bhpc_data[sku])),""),ROWS($A$15:A183)+$B$3)),INDEX(bhpc_data[description],SMALL(IF(ISNUMBER(MATCH(bhpc_data[category],$EC$9,0)*MATCH(bhpc_data[size1],$EC$13,0)),MATCH(ROW(bhpc_data[sku]),ROW(bhpc_data[sku])),""),ROWS($A$15:A183)+$B$3))),IF($EC$13="",INDEX(bhpc_data[description],SMALL(IF(ISNUMBER(MATCH(bhpc_data[category],$EC$9,0)*MATCH(bhpc_data[sex],$EC$11,0)),MATCH(ROW(bhpc_data[sku]),ROW(bhpc_data[sku])),""),ROWS($A$15:A183)+$B$3)),INDEX(bhpc_data[description],SMALL(IF(ISNUMBER(MATCH(bhpc_data[category],$EC$9,0)*MATCH(bhpc_data[sex],$EC$11,0)*MATCH(bhpc_data[size1],$EC$13,0)),MATCH(ROW(bhpc_data[sku]),ROW(bhpc_data[sku])),""),ROWS($A$15:A183)+$B$3))))),"")</f>
        <v>BHPC TRAY 3PCS GIFT BOX WOMEN 50ML</v>
      </c>
      <c r="EG178" s="549">
        <f>IFERROR(IF('BHPC MANAGER'!$EE178="","",INDEX(inventory[ESISTENZA],MATCH('BHPC MANAGER'!$EE178,inventory[ARTICOLO],0))),0)</f>
        <v>0</v>
      </c>
      <c r="EH178" s="550">
        <v>60</v>
      </c>
      <c r="EI178" s="550">
        <f t="shared" si="14"/>
        <v>60</v>
      </c>
      <c r="EJ178" s="551">
        <v>0</v>
      </c>
      <c r="EK178" s="552">
        <f t="shared" si="15"/>
        <v>60</v>
      </c>
    </row>
    <row r="179" spans="63:141" x14ac:dyDescent="0.35">
      <c r="BK179" s="366"/>
      <c r="BL179" s="367"/>
      <c r="BM179" s="368"/>
      <c r="BN179" s="367"/>
      <c r="BO179" s="368"/>
      <c r="EE179" s="541" t="str" cm="1">
        <f t="array" ref="EE179">IFERROR(IF($EC$9="",IF($EC$11="",IF($EC$13="",INDEX(bhpc_data[sku],SMALL(MATCH(ROW(bhpc_data[sku]),ROW(bhpc_data[sku])),ROWS($A$15:A184)+$B$3)),INDEX(bhpc_data[sku],SMALL(IF(ISNUMBER(MATCH(bhpc_data[size1],$EC$13,0)),MATCH(ROW(bhpc_data[sku]),ROW(bhpc_data[sku])),""),ROWS($A$15:A184)+$B$3))),IF($EC$13="",INDEX(bhpc_data[sku],SMALL(IF(ISNUMBER(MATCH(bhpc_data[sex],$EC$11,0)),MATCH(ROW(bhpc_data[sku]),ROW(bhpc_data[sku])),""),ROWS($A$15:A184)+$B$3)),INDEX(bhpc_data[sku],SMALL(IF(ISNUMBER(MATCH(bhpc_data[sex],$EC$11,0)*MATCH(bhpc_data[size1],$EC$13,0)),MATCH(ROW(bhpc_data[sku]),ROW(bhpc_data[sku])),""),ROWS($A$15:A184)+$B$3)))),IF($EC$11="",IF($EC$13="",INDEX(bhpc_data[sku],SMALL(IF(ISNUMBER(MATCH(bhpc_data[category],$EC$9,0)),MATCH(ROW(bhpc_data[sku]),ROW(bhpc_data[sku])),""),ROWS($A$15:A184)+$B$3)),INDEX(bhpc_data[sku],SMALL(IF(ISNUMBER(MATCH(bhpc_data[category],$EC$9,0)*MATCH(bhpc_data[size1],$EC$13,0)),MATCH(ROW(bhpc_data[sku]),ROW(bhpc_data[sku])),""),ROWS($A$15:A184)+$B$3))),IF($EC$13="",INDEX(bhpc_data[sku],SMALL(IF(ISNUMBER(MATCH(bhpc_data[category],$EC$9,0)*MATCH(bhpc_data[sex],$EC$11,0)),MATCH(ROW(bhpc_data[sku]),ROW(bhpc_data[sku])),""),ROWS($A$15:A184)+$B$3)),INDEX(bhpc_data[sku],SMALL(IF(ISNUMBER(MATCH(bhpc_data[category],$EC$9,0)*MATCH(bhpc_data[sex],$EC$11,0)*MATCH(bhpc_data[size1],$EC$13,0)),MATCH(ROW(bhpc_data[sku]),ROW(bhpc_data[sku])),""),ROWS($A$15:A184)+$B$3))))),"")</f>
        <v>X3GSCT</v>
      </c>
      <c r="EF179" s="542" t="str" cm="1">
        <f t="array" ref="EF179">IFERROR(IF($EC$9="",IF($EC$11="",IF($EC$13="",INDEX(bhpc_data[description],SMALL(MATCH(ROW(bhpc_data[sku]),ROW(bhpc_data[sku])),ROWS($A$15:A184)+$B$3)),INDEX(bhpc_data[description],SMALL(IF(ISNUMBER(MATCH(bhpc_data[size1],$EC$13,0)),MATCH(ROW(bhpc_data[sku]),ROW(bhpc_data[sku])),""),ROWS($A$15:A184)+$B$3))),IF($EC$13="",INDEX(bhpc_data[description],SMALL(IF(ISNUMBER(MATCH(bhpc_data[sex],$EC$11,0)),MATCH(ROW(bhpc_data[sku]),ROW(bhpc_data[sku])),""),ROWS($A$15:A184)+$B$3)),INDEX(bhpc_data[description],SMALL(IF(ISNUMBER(MATCH(bhpc_data[sex],$EC$11,0)*MATCH(bhpc_data[size1],$EC$13,0)),MATCH(ROW(bhpc_data[sku]),ROW(bhpc_data[sku])),""),ROWS($A$15:A184)+$B$3)))),IF($EC$11="",IF($EC$13="",INDEX(bhpc_data[description],SMALL(IF(ISNUMBER(MATCH(bhpc_data[category],$EC$9,0)),MATCH(ROW(bhpc_data[sku]),ROW(bhpc_data[sku])),""),ROWS($A$15:A184)+$B$3)),INDEX(bhpc_data[description],SMALL(IF(ISNUMBER(MATCH(bhpc_data[category],$EC$9,0)*MATCH(bhpc_data[size1],$EC$13,0)),MATCH(ROW(bhpc_data[sku]),ROW(bhpc_data[sku])),""),ROWS($A$15:A184)+$B$3))),IF($EC$13="",INDEX(bhpc_data[description],SMALL(IF(ISNUMBER(MATCH(bhpc_data[category],$EC$9,0)*MATCH(bhpc_data[sex],$EC$11,0)),MATCH(ROW(bhpc_data[sku]),ROW(bhpc_data[sku])),""),ROWS($A$15:A184)+$B$3)),INDEX(bhpc_data[description],SMALL(IF(ISNUMBER(MATCH(bhpc_data[category],$EC$9,0)*MATCH(bhpc_data[sex],$EC$11,0)*MATCH(bhpc_data[size1],$EC$13,0)),MATCH(ROW(bhpc_data[sku]),ROW(bhpc_data[sku])),""),ROWS($A$15:A184)+$B$3))))),"")</f>
        <v>3PCS GIFT SET OUTER CARTON</v>
      </c>
      <c r="EG179" s="543">
        <f>IFERROR(IF('BHPC MANAGER'!$EE179="","",INDEX(inventory[ESISTENZA],MATCH('BHPC MANAGER'!$EE179,inventory[ARTICOLO],0))),0)</f>
        <v>0</v>
      </c>
      <c r="EH179" s="544">
        <v>12</v>
      </c>
      <c r="EI179" s="544">
        <f t="shared" si="14"/>
        <v>12</v>
      </c>
      <c r="EJ179" s="545">
        <v>0</v>
      </c>
      <c r="EK179" s="546">
        <f t="shared" si="15"/>
        <v>12</v>
      </c>
    </row>
    <row r="180" spans="63:141" x14ac:dyDescent="0.35">
      <c r="BK180" s="366"/>
      <c r="BL180" s="367"/>
      <c r="BM180" s="368"/>
      <c r="BN180" s="367"/>
      <c r="BO180" s="368"/>
      <c r="EE180" s="547" t="str" cm="1">
        <f t="array" ref="EE180">IFERROR(IF($EC$9="",IF($EC$11="",IF($EC$13="",INDEX(bhpc_data[sku],SMALL(MATCH(ROW(bhpc_data[sku]),ROW(bhpc_data[sku])),ROWS($A$15:A185)+$B$3)),INDEX(bhpc_data[sku],SMALL(IF(ISNUMBER(MATCH(bhpc_data[size1],$EC$13,0)),MATCH(ROW(bhpc_data[sku]),ROW(bhpc_data[sku])),""),ROWS($A$15:A185)+$B$3))),IF($EC$13="",INDEX(bhpc_data[sku],SMALL(IF(ISNUMBER(MATCH(bhpc_data[sex],$EC$11,0)),MATCH(ROW(bhpc_data[sku]),ROW(bhpc_data[sku])),""),ROWS($A$15:A185)+$B$3)),INDEX(bhpc_data[sku],SMALL(IF(ISNUMBER(MATCH(bhpc_data[sex],$EC$11,0)*MATCH(bhpc_data[size1],$EC$13,0)),MATCH(ROW(bhpc_data[sku]),ROW(bhpc_data[sku])),""),ROWS($A$15:A185)+$B$3)))),IF($EC$11="",IF($EC$13="",INDEX(bhpc_data[sku],SMALL(IF(ISNUMBER(MATCH(bhpc_data[category],$EC$9,0)),MATCH(ROW(bhpc_data[sku]),ROW(bhpc_data[sku])),""),ROWS($A$15:A185)+$B$3)),INDEX(bhpc_data[sku],SMALL(IF(ISNUMBER(MATCH(bhpc_data[category],$EC$9,0)*MATCH(bhpc_data[size1],$EC$13,0)),MATCH(ROW(bhpc_data[sku]),ROW(bhpc_data[sku])),""),ROWS($A$15:A185)+$B$3))),IF($EC$13="",INDEX(bhpc_data[sku],SMALL(IF(ISNUMBER(MATCH(bhpc_data[category],$EC$9,0)*MATCH(bhpc_data[sex],$EC$11,0)),MATCH(ROW(bhpc_data[sku]),ROW(bhpc_data[sku])),""),ROWS($A$15:A185)+$B$3)),INDEX(bhpc_data[sku],SMALL(IF(ISNUMBER(MATCH(bhpc_data[category],$EC$9,0)*MATCH(bhpc_data[sex],$EC$11,0)*MATCH(bhpc_data[size1],$EC$13,0)),MATCH(ROW(bhpc_data[sku]),ROW(bhpc_data[sku])),""),ROWS($A$15:A185)+$B$3))))),"")</f>
        <v>X2GSCT</v>
      </c>
      <c r="EF180" s="548" t="str" cm="1">
        <f t="array" ref="EF180">IFERROR(IF($EC$9="",IF($EC$11="",IF($EC$13="",INDEX(bhpc_data[description],SMALL(MATCH(ROW(bhpc_data[sku]),ROW(bhpc_data[sku])),ROWS($A$15:A185)+$B$3)),INDEX(bhpc_data[description],SMALL(IF(ISNUMBER(MATCH(bhpc_data[size1],$EC$13,0)),MATCH(ROW(bhpc_data[sku]),ROW(bhpc_data[sku])),""),ROWS($A$15:A185)+$B$3))),IF($EC$13="",INDEX(bhpc_data[description],SMALL(IF(ISNUMBER(MATCH(bhpc_data[sex],$EC$11,0)),MATCH(ROW(bhpc_data[sku]),ROW(bhpc_data[sku])),""),ROWS($A$15:A185)+$B$3)),INDEX(bhpc_data[description],SMALL(IF(ISNUMBER(MATCH(bhpc_data[sex],$EC$11,0)*MATCH(bhpc_data[size1],$EC$13,0)),MATCH(ROW(bhpc_data[sku]),ROW(bhpc_data[sku])),""),ROWS($A$15:A185)+$B$3)))),IF($EC$11="",IF($EC$13="",INDEX(bhpc_data[description],SMALL(IF(ISNUMBER(MATCH(bhpc_data[category],$EC$9,0)),MATCH(ROW(bhpc_data[sku]),ROW(bhpc_data[sku])),""),ROWS($A$15:A185)+$B$3)),INDEX(bhpc_data[description],SMALL(IF(ISNUMBER(MATCH(bhpc_data[category],$EC$9,0)*MATCH(bhpc_data[size1],$EC$13,0)),MATCH(ROW(bhpc_data[sku]),ROW(bhpc_data[sku])),""),ROWS($A$15:A185)+$B$3))),IF($EC$13="",INDEX(bhpc_data[description],SMALL(IF(ISNUMBER(MATCH(bhpc_data[category],$EC$9,0)*MATCH(bhpc_data[sex],$EC$11,0)),MATCH(ROW(bhpc_data[sku]),ROW(bhpc_data[sku])),""),ROWS($A$15:A185)+$B$3)),INDEX(bhpc_data[description],SMALL(IF(ISNUMBER(MATCH(bhpc_data[category],$EC$9,0)*MATCH(bhpc_data[sex],$EC$11,0)*MATCH(bhpc_data[size1],$EC$13,0)),MATCH(ROW(bhpc_data[sku]),ROW(bhpc_data[sku])),""),ROWS($A$15:A185)+$B$3))))),"")</f>
        <v>2PCS GIFTSET OUTER CARTON</v>
      </c>
      <c r="EG180" s="549">
        <f>IFERROR(IF('BHPC MANAGER'!$EE180="","",INDEX(inventory[ESISTENZA],MATCH('BHPC MANAGER'!$EE180,inventory[ARTICOLO],0))),0)</f>
        <v>0</v>
      </c>
      <c r="EH180" s="550" t="s">
        <v>914</v>
      </c>
      <c r="EI180" s="550">
        <f t="shared" si="14"/>
        <v>0</v>
      </c>
      <c r="EJ180" s="551" t="s">
        <v>914</v>
      </c>
      <c r="EK180" s="552">
        <f t="shared" si="15"/>
        <v>0</v>
      </c>
    </row>
    <row r="181" spans="63:141" x14ac:dyDescent="0.35">
      <c r="BK181" s="366"/>
      <c r="BL181" s="367"/>
      <c r="BM181" s="368"/>
      <c r="BN181" s="367"/>
      <c r="BO181" s="368"/>
      <c r="EE181" s="541" t="str" cm="1">
        <f t="array" ref="EE181">IFERROR(IF($EC$9="",IF($EC$11="",IF($EC$13="",INDEX(bhpc_data[sku],SMALL(MATCH(ROW(bhpc_data[sku]),ROW(bhpc_data[sku])),ROWS($A$15:A186)+$B$3)),INDEX(bhpc_data[sku],SMALL(IF(ISNUMBER(MATCH(bhpc_data[size1],$EC$13,0)),MATCH(ROW(bhpc_data[sku]),ROW(bhpc_data[sku])),""),ROWS($A$15:A186)+$B$3))),IF($EC$13="",INDEX(bhpc_data[sku],SMALL(IF(ISNUMBER(MATCH(bhpc_data[sex],$EC$11,0)),MATCH(ROW(bhpc_data[sku]),ROW(bhpc_data[sku])),""),ROWS($A$15:A186)+$B$3)),INDEX(bhpc_data[sku],SMALL(IF(ISNUMBER(MATCH(bhpc_data[sex],$EC$11,0)*MATCH(bhpc_data[size1],$EC$13,0)),MATCH(ROW(bhpc_data[sku]),ROW(bhpc_data[sku])),""),ROWS($A$15:A186)+$B$3)))),IF($EC$11="",IF($EC$13="",INDEX(bhpc_data[sku],SMALL(IF(ISNUMBER(MATCH(bhpc_data[category],$EC$9,0)),MATCH(ROW(bhpc_data[sku]),ROW(bhpc_data[sku])),""),ROWS($A$15:A186)+$B$3)),INDEX(bhpc_data[sku],SMALL(IF(ISNUMBER(MATCH(bhpc_data[category],$EC$9,0)*MATCH(bhpc_data[size1],$EC$13,0)),MATCH(ROW(bhpc_data[sku]),ROW(bhpc_data[sku])),""),ROWS($A$15:A186)+$B$3))),IF($EC$13="",INDEX(bhpc_data[sku],SMALL(IF(ISNUMBER(MATCH(bhpc_data[category],$EC$9,0)*MATCH(bhpc_data[sex],$EC$11,0)),MATCH(ROW(bhpc_data[sku]),ROW(bhpc_data[sku])),""),ROWS($A$15:A186)+$B$3)),INDEX(bhpc_data[sku],SMALL(IF(ISNUMBER(MATCH(bhpc_data[category],$EC$9,0)*MATCH(bhpc_data[sex],$EC$11,0)*MATCH(bhpc_data[size1],$EC$13,0)),MATCH(ROW(bhpc_data[sku]),ROW(bhpc_data[sku])),""),ROWS($A$15:A186)+$B$3))))),"")</f>
        <v>X07008</v>
      </c>
      <c r="EF181" s="542" t="str" cm="1">
        <f t="array" ref="EF181">IFERROR(IF($EC$9="",IF($EC$11="",IF($EC$13="",INDEX(bhpc_data[description],SMALL(MATCH(ROW(bhpc_data[sku]),ROW(bhpc_data[sku])),ROWS($A$15:A186)+$B$3)),INDEX(bhpc_data[description],SMALL(IF(ISNUMBER(MATCH(bhpc_data[size1],$EC$13,0)),MATCH(ROW(bhpc_data[sku]),ROW(bhpc_data[sku])),""),ROWS($A$15:A186)+$B$3))),IF($EC$13="",INDEX(bhpc_data[description],SMALL(IF(ISNUMBER(MATCH(bhpc_data[sex],$EC$11,0)),MATCH(ROW(bhpc_data[sku]),ROW(bhpc_data[sku])),""),ROWS($A$15:A186)+$B$3)),INDEX(bhpc_data[description],SMALL(IF(ISNUMBER(MATCH(bhpc_data[sex],$EC$11,0)*MATCH(bhpc_data[size1],$EC$13,0)),MATCH(ROW(bhpc_data[sku]),ROW(bhpc_data[sku])),""),ROWS($A$15:A186)+$B$3)))),IF($EC$11="",IF($EC$13="",INDEX(bhpc_data[description],SMALL(IF(ISNUMBER(MATCH(bhpc_data[category],$EC$9,0)),MATCH(ROW(bhpc_data[sku]),ROW(bhpc_data[sku])),""),ROWS($A$15:A186)+$B$3)),INDEX(bhpc_data[description],SMALL(IF(ISNUMBER(MATCH(bhpc_data[category],$EC$9,0)*MATCH(bhpc_data[size1],$EC$13,0)),MATCH(ROW(bhpc_data[sku]),ROW(bhpc_data[sku])),""),ROWS($A$15:A186)+$B$3))),IF($EC$13="",INDEX(bhpc_data[description],SMALL(IF(ISNUMBER(MATCH(bhpc_data[category],$EC$9,0)*MATCH(bhpc_data[sex],$EC$11,0)),MATCH(ROW(bhpc_data[sku]),ROW(bhpc_data[sku])),""),ROWS($A$15:A186)+$B$3)),INDEX(bhpc_data[description],SMALL(IF(ISNUMBER(MATCH(bhpc_data[category],$EC$9,0)*MATCH(bhpc_data[sex],$EC$11,0)*MATCH(bhpc_data[size1],$EC$13,0)),MATCH(ROW(bhpc_data[sku]),ROW(bhpc_data[sku])),""),ROWS($A$15:A186)+$B$3))))),"")</f>
        <v>BHPC 3PCS GIFT BOX MEN NO.1 50ML</v>
      </c>
      <c r="EG181" s="543">
        <f>IFERROR(IF('BHPC MANAGER'!$EE181="","",INDEX(inventory[ESISTENZA],MATCH('BHPC MANAGER'!$EE181,inventory[ARTICOLO],0))),0)</f>
        <v>0</v>
      </c>
      <c r="EH181" s="544" t="s">
        <v>914</v>
      </c>
      <c r="EI181" s="544">
        <f t="shared" si="14"/>
        <v>0</v>
      </c>
      <c r="EJ181" s="545" t="s">
        <v>914</v>
      </c>
      <c r="EK181" s="546">
        <f t="shared" si="15"/>
        <v>0</v>
      </c>
    </row>
    <row r="182" spans="63:141" x14ac:dyDescent="0.35">
      <c r="BK182" s="366"/>
      <c r="BL182" s="367"/>
      <c r="BM182" s="368"/>
      <c r="BN182" s="367"/>
      <c r="BO182" s="368"/>
      <c r="EE182" s="547" t="str" cm="1">
        <f t="array" ref="EE182">IFERROR(IF($EC$9="",IF($EC$11="",IF($EC$13="",INDEX(bhpc_data[sku],SMALL(MATCH(ROW(bhpc_data[sku]),ROW(bhpc_data[sku])),ROWS($A$15:A187)+$B$3)),INDEX(bhpc_data[sku],SMALL(IF(ISNUMBER(MATCH(bhpc_data[size1],$EC$13,0)),MATCH(ROW(bhpc_data[sku]),ROW(bhpc_data[sku])),""),ROWS($A$15:A187)+$B$3))),IF($EC$13="",INDEX(bhpc_data[sku],SMALL(IF(ISNUMBER(MATCH(bhpc_data[sex],$EC$11,0)),MATCH(ROW(bhpc_data[sku]),ROW(bhpc_data[sku])),""),ROWS($A$15:A187)+$B$3)),INDEX(bhpc_data[sku],SMALL(IF(ISNUMBER(MATCH(bhpc_data[sex],$EC$11,0)*MATCH(bhpc_data[size1],$EC$13,0)),MATCH(ROW(bhpc_data[sku]),ROW(bhpc_data[sku])),""),ROWS($A$15:A187)+$B$3)))),IF($EC$11="",IF($EC$13="",INDEX(bhpc_data[sku],SMALL(IF(ISNUMBER(MATCH(bhpc_data[category],$EC$9,0)),MATCH(ROW(bhpc_data[sku]),ROW(bhpc_data[sku])),""),ROWS($A$15:A187)+$B$3)),INDEX(bhpc_data[sku],SMALL(IF(ISNUMBER(MATCH(bhpc_data[category],$EC$9,0)*MATCH(bhpc_data[size1],$EC$13,0)),MATCH(ROW(bhpc_data[sku]),ROW(bhpc_data[sku])),""),ROWS($A$15:A187)+$B$3))),IF($EC$13="",INDEX(bhpc_data[sku],SMALL(IF(ISNUMBER(MATCH(bhpc_data[category],$EC$9,0)*MATCH(bhpc_data[sex],$EC$11,0)),MATCH(ROW(bhpc_data[sku]),ROW(bhpc_data[sku])),""),ROWS($A$15:A187)+$B$3)),INDEX(bhpc_data[sku],SMALL(IF(ISNUMBER(MATCH(bhpc_data[category],$EC$9,0)*MATCH(bhpc_data[sex],$EC$11,0)*MATCH(bhpc_data[size1],$EC$13,0)),MATCH(ROW(bhpc_data[sku]),ROW(bhpc_data[sku])),""),ROWS($A$15:A187)+$B$3))))),"")</f>
        <v>X07009</v>
      </c>
      <c r="EF182" s="548" t="str" cm="1">
        <f t="array" ref="EF182">IFERROR(IF($EC$9="",IF($EC$11="",IF($EC$13="",INDEX(bhpc_data[description],SMALL(MATCH(ROW(bhpc_data[sku]),ROW(bhpc_data[sku])),ROWS($A$15:A187)+$B$3)),INDEX(bhpc_data[description],SMALL(IF(ISNUMBER(MATCH(bhpc_data[size1],$EC$13,0)),MATCH(ROW(bhpc_data[sku]),ROW(bhpc_data[sku])),""),ROWS($A$15:A187)+$B$3))),IF($EC$13="",INDEX(bhpc_data[description],SMALL(IF(ISNUMBER(MATCH(bhpc_data[sex],$EC$11,0)),MATCH(ROW(bhpc_data[sku]),ROW(bhpc_data[sku])),""),ROWS($A$15:A187)+$B$3)),INDEX(bhpc_data[description],SMALL(IF(ISNUMBER(MATCH(bhpc_data[sex],$EC$11,0)*MATCH(bhpc_data[size1],$EC$13,0)),MATCH(ROW(bhpc_data[sku]),ROW(bhpc_data[sku])),""),ROWS($A$15:A187)+$B$3)))),IF($EC$11="",IF($EC$13="",INDEX(bhpc_data[description],SMALL(IF(ISNUMBER(MATCH(bhpc_data[category],$EC$9,0)),MATCH(ROW(bhpc_data[sku]),ROW(bhpc_data[sku])),""),ROWS($A$15:A187)+$B$3)),INDEX(bhpc_data[description],SMALL(IF(ISNUMBER(MATCH(bhpc_data[category],$EC$9,0)*MATCH(bhpc_data[size1],$EC$13,0)),MATCH(ROW(bhpc_data[sku]),ROW(bhpc_data[sku])),""),ROWS($A$15:A187)+$B$3))),IF($EC$13="",INDEX(bhpc_data[description],SMALL(IF(ISNUMBER(MATCH(bhpc_data[category],$EC$9,0)*MATCH(bhpc_data[sex],$EC$11,0)),MATCH(ROW(bhpc_data[sku]),ROW(bhpc_data[sku])),""),ROWS($A$15:A187)+$B$3)),INDEX(bhpc_data[description],SMALL(IF(ISNUMBER(MATCH(bhpc_data[category],$EC$9,0)*MATCH(bhpc_data[sex],$EC$11,0)*MATCH(bhpc_data[size1],$EC$13,0)),MATCH(ROW(bhpc_data[sku]),ROW(bhpc_data[sku])),""),ROWS($A$15:A187)+$B$3))))),"")</f>
        <v>BHPC 3PCS GIFT BOX MEN NO.9 50ML</v>
      </c>
      <c r="EG182" s="549">
        <f>IFERROR(IF('BHPC MANAGER'!$EE182="","",INDEX(inventory[ESISTENZA],MATCH('BHPC MANAGER'!$EE182,inventory[ARTICOLO],0))),0)</f>
        <v>0</v>
      </c>
      <c r="EH182" s="550" t="s">
        <v>914</v>
      </c>
      <c r="EI182" s="550">
        <f t="shared" si="14"/>
        <v>0</v>
      </c>
      <c r="EJ182" s="551" t="s">
        <v>914</v>
      </c>
      <c r="EK182" s="552">
        <f t="shared" si="15"/>
        <v>0</v>
      </c>
    </row>
    <row r="183" spans="63:141" x14ac:dyDescent="0.35">
      <c r="BK183" s="366"/>
      <c r="BL183" s="367"/>
      <c r="BM183" s="368"/>
      <c r="BN183" s="367"/>
      <c r="BO183" s="368"/>
      <c r="EE183" s="541" t="str" cm="1">
        <f t="array" ref="EE183">IFERROR(IF($EC$9="",IF($EC$11="",IF($EC$13="",INDEX(bhpc_data[sku],SMALL(MATCH(ROW(bhpc_data[sku]),ROW(bhpc_data[sku])),ROWS($A$15:A188)+$B$3)),INDEX(bhpc_data[sku],SMALL(IF(ISNUMBER(MATCH(bhpc_data[size1],$EC$13,0)),MATCH(ROW(bhpc_data[sku]),ROW(bhpc_data[sku])),""),ROWS($A$15:A188)+$B$3))),IF($EC$13="",INDEX(bhpc_data[sku],SMALL(IF(ISNUMBER(MATCH(bhpc_data[sex],$EC$11,0)),MATCH(ROW(bhpc_data[sku]),ROW(bhpc_data[sku])),""),ROWS($A$15:A188)+$B$3)),INDEX(bhpc_data[sku],SMALL(IF(ISNUMBER(MATCH(bhpc_data[sex],$EC$11,0)*MATCH(bhpc_data[size1],$EC$13,0)),MATCH(ROW(bhpc_data[sku]),ROW(bhpc_data[sku])),""),ROWS($A$15:A188)+$B$3)))),IF($EC$11="",IF($EC$13="",INDEX(bhpc_data[sku],SMALL(IF(ISNUMBER(MATCH(bhpc_data[category],$EC$9,0)),MATCH(ROW(bhpc_data[sku]),ROW(bhpc_data[sku])),""),ROWS($A$15:A188)+$B$3)),INDEX(bhpc_data[sku],SMALL(IF(ISNUMBER(MATCH(bhpc_data[category],$EC$9,0)*MATCH(bhpc_data[size1],$EC$13,0)),MATCH(ROW(bhpc_data[sku]),ROW(bhpc_data[sku])),""),ROWS($A$15:A188)+$B$3))),IF($EC$13="",INDEX(bhpc_data[sku],SMALL(IF(ISNUMBER(MATCH(bhpc_data[category],$EC$9,0)*MATCH(bhpc_data[sex],$EC$11,0)),MATCH(ROW(bhpc_data[sku]),ROW(bhpc_data[sku])),""),ROWS($A$15:A188)+$B$3)),INDEX(bhpc_data[sku],SMALL(IF(ISNUMBER(MATCH(bhpc_data[category],$EC$9,0)*MATCH(bhpc_data[sex],$EC$11,0)*MATCH(bhpc_data[size1],$EC$13,0)),MATCH(ROW(bhpc_data[sku]),ROW(bhpc_data[sku])),""),ROWS($A$15:A188)+$B$3))))),"")</f>
        <v>X07010</v>
      </c>
      <c r="EF183" s="542" t="str" cm="1">
        <f t="array" ref="EF183">IFERROR(IF($EC$9="",IF($EC$11="",IF($EC$13="",INDEX(bhpc_data[description],SMALL(MATCH(ROW(bhpc_data[sku]),ROW(bhpc_data[sku])),ROWS($A$15:A188)+$B$3)),INDEX(bhpc_data[description],SMALL(IF(ISNUMBER(MATCH(bhpc_data[size1],$EC$13,0)),MATCH(ROW(bhpc_data[sku]),ROW(bhpc_data[sku])),""),ROWS($A$15:A188)+$B$3))),IF($EC$13="",INDEX(bhpc_data[description],SMALL(IF(ISNUMBER(MATCH(bhpc_data[sex],$EC$11,0)),MATCH(ROW(bhpc_data[sku]),ROW(bhpc_data[sku])),""),ROWS($A$15:A188)+$B$3)),INDEX(bhpc_data[description],SMALL(IF(ISNUMBER(MATCH(bhpc_data[sex],$EC$11,0)*MATCH(bhpc_data[size1],$EC$13,0)),MATCH(ROW(bhpc_data[sku]),ROW(bhpc_data[sku])),""),ROWS($A$15:A188)+$B$3)))),IF($EC$11="",IF($EC$13="",INDEX(bhpc_data[description],SMALL(IF(ISNUMBER(MATCH(bhpc_data[category],$EC$9,0)),MATCH(ROW(bhpc_data[sku]),ROW(bhpc_data[sku])),""),ROWS($A$15:A188)+$B$3)),INDEX(bhpc_data[description],SMALL(IF(ISNUMBER(MATCH(bhpc_data[category],$EC$9,0)*MATCH(bhpc_data[size1],$EC$13,0)),MATCH(ROW(bhpc_data[sku]),ROW(bhpc_data[sku])),""),ROWS($A$15:A188)+$B$3))),IF($EC$13="",INDEX(bhpc_data[description],SMALL(IF(ISNUMBER(MATCH(bhpc_data[category],$EC$9,0)*MATCH(bhpc_data[sex],$EC$11,0)),MATCH(ROW(bhpc_data[sku]),ROW(bhpc_data[sku])),""),ROWS($A$15:A188)+$B$3)),INDEX(bhpc_data[description],SMALL(IF(ISNUMBER(MATCH(bhpc_data[category],$EC$9,0)*MATCH(bhpc_data[sex],$EC$11,0)*MATCH(bhpc_data[size1],$EC$13,0)),MATCH(ROW(bhpc_data[sku]),ROW(bhpc_data[sku])),""),ROWS($A$15:A188)+$B$3))))),"")</f>
        <v>BHPC 3PCS GIFT BOX MEN NO.8 50ML</v>
      </c>
      <c r="EG183" s="543">
        <f>IFERROR(IF('BHPC MANAGER'!$EE183="","",INDEX(inventory[ESISTENZA],MATCH('BHPC MANAGER'!$EE183,inventory[ARTICOLO],0))),0)</f>
        <v>0</v>
      </c>
      <c r="EH183" s="544" t="s">
        <v>914</v>
      </c>
      <c r="EI183" s="544">
        <f t="shared" si="14"/>
        <v>0</v>
      </c>
      <c r="EJ183" s="545" t="s">
        <v>914</v>
      </c>
      <c r="EK183" s="546">
        <f t="shared" si="15"/>
        <v>0</v>
      </c>
    </row>
    <row r="184" spans="63:141" x14ac:dyDescent="0.35">
      <c r="BK184" s="366"/>
      <c r="BL184" s="367"/>
      <c r="BM184" s="368"/>
      <c r="BN184" s="367"/>
      <c r="BO184" s="368"/>
      <c r="EE184" s="547" t="str" cm="1">
        <f t="array" ref="EE184">IFERROR(IF($EC$9="",IF($EC$11="",IF($EC$13="",INDEX(bhpc_data[sku],SMALL(MATCH(ROW(bhpc_data[sku]),ROW(bhpc_data[sku])),ROWS($A$15:A189)+$B$3)),INDEX(bhpc_data[sku],SMALL(IF(ISNUMBER(MATCH(bhpc_data[size1],$EC$13,0)),MATCH(ROW(bhpc_data[sku]),ROW(bhpc_data[sku])),""),ROWS($A$15:A189)+$B$3))),IF($EC$13="",INDEX(bhpc_data[sku],SMALL(IF(ISNUMBER(MATCH(bhpc_data[sex],$EC$11,0)),MATCH(ROW(bhpc_data[sku]),ROW(bhpc_data[sku])),""),ROWS($A$15:A189)+$B$3)),INDEX(bhpc_data[sku],SMALL(IF(ISNUMBER(MATCH(bhpc_data[sex],$EC$11,0)*MATCH(bhpc_data[size1],$EC$13,0)),MATCH(ROW(bhpc_data[sku]),ROW(bhpc_data[sku])),""),ROWS($A$15:A189)+$B$3)))),IF($EC$11="",IF($EC$13="",INDEX(bhpc_data[sku],SMALL(IF(ISNUMBER(MATCH(bhpc_data[category],$EC$9,0)),MATCH(ROW(bhpc_data[sku]),ROW(bhpc_data[sku])),""),ROWS($A$15:A189)+$B$3)),INDEX(bhpc_data[sku],SMALL(IF(ISNUMBER(MATCH(bhpc_data[category],$EC$9,0)*MATCH(bhpc_data[size1],$EC$13,0)),MATCH(ROW(bhpc_data[sku]),ROW(bhpc_data[sku])),""),ROWS($A$15:A189)+$B$3))),IF($EC$13="",INDEX(bhpc_data[sku],SMALL(IF(ISNUMBER(MATCH(bhpc_data[category],$EC$9,0)*MATCH(bhpc_data[sex],$EC$11,0)),MATCH(ROW(bhpc_data[sku]),ROW(bhpc_data[sku])),""),ROWS($A$15:A189)+$B$3)),INDEX(bhpc_data[sku],SMALL(IF(ISNUMBER(MATCH(bhpc_data[category],$EC$9,0)*MATCH(bhpc_data[sex],$EC$11,0)*MATCH(bhpc_data[size1],$EC$13,0)),MATCH(ROW(bhpc_data[sku]),ROW(bhpc_data[sku])),""),ROWS($A$15:A189)+$B$3))))),"")</f>
        <v>X07011</v>
      </c>
      <c r="EF184" s="548" t="str" cm="1">
        <f t="array" ref="EF184">IFERROR(IF($EC$9="",IF($EC$11="",IF($EC$13="",INDEX(bhpc_data[description],SMALL(MATCH(ROW(bhpc_data[sku]),ROW(bhpc_data[sku])),ROWS($A$15:A189)+$B$3)),INDEX(bhpc_data[description],SMALL(IF(ISNUMBER(MATCH(bhpc_data[size1],$EC$13,0)),MATCH(ROW(bhpc_data[sku]),ROW(bhpc_data[sku])),""),ROWS($A$15:A189)+$B$3))),IF($EC$13="",INDEX(bhpc_data[description],SMALL(IF(ISNUMBER(MATCH(bhpc_data[sex],$EC$11,0)),MATCH(ROW(bhpc_data[sku]),ROW(bhpc_data[sku])),""),ROWS($A$15:A189)+$B$3)),INDEX(bhpc_data[description],SMALL(IF(ISNUMBER(MATCH(bhpc_data[sex],$EC$11,0)*MATCH(bhpc_data[size1],$EC$13,0)),MATCH(ROW(bhpc_data[sku]),ROW(bhpc_data[sku])),""),ROWS($A$15:A189)+$B$3)))),IF($EC$11="",IF($EC$13="",INDEX(bhpc_data[description],SMALL(IF(ISNUMBER(MATCH(bhpc_data[category],$EC$9,0)),MATCH(ROW(bhpc_data[sku]),ROW(bhpc_data[sku])),""),ROWS($A$15:A189)+$B$3)),INDEX(bhpc_data[description],SMALL(IF(ISNUMBER(MATCH(bhpc_data[category],$EC$9,0)*MATCH(bhpc_data[size1],$EC$13,0)),MATCH(ROW(bhpc_data[sku]),ROW(bhpc_data[sku])),""),ROWS($A$15:A189)+$B$3))),IF($EC$13="",INDEX(bhpc_data[description],SMALL(IF(ISNUMBER(MATCH(bhpc_data[category],$EC$9,0)*MATCH(bhpc_data[sex],$EC$11,0)),MATCH(ROW(bhpc_data[sku]),ROW(bhpc_data[sku])),""),ROWS($A$15:A189)+$B$3)),INDEX(bhpc_data[description],SMALL(IF(ISNUMBER(MATCH(bhpc_data[category],$EC$9,0)*MATCH(bhpc_data[sex],$EC$11,0)*MATCH(bhpc_data[size1],$EC$13,0)),MATCH(ROW(bhpc_data[sku]),ROW(bhpc_data[sku])),""),ROWS($A$15:A189)+$B$3))))),"")</f>
        <v>BHPC 3PCS GIFT BOX MEN NO.2 50ML</v>
      </c>
      <c r="EG184" s="549">
        <f>IFERROR(IF('BHPC MANAGER'!$EE184="","",INDEX(inventory[ESISTENZA],MATCH('BHPC MANAGER'!$EE184,inventory[ARTICOLO],0))),0)</f>
        <v>0</v>
      </c>
      <c r="EH184" s="550">
        <v>75</v>
      </c>
      <c r="EI184" s="550">
        <f t="shared" si="14"/>
        <v>75</v>
      </c>
      <c r="EJ184" s="551">
        <v>0</v>
      </c>
      <c r="EK184" s="552">
        <f t="shared" si="15"/>
        <v>75</v>
      </c>
    </row>
    <row r="185" spans="63:141" x14ac:dyDescent="0.35">
      <c r="BK185" s="366"/>
      <c r="BL185" s="367"/>
      <c r="BM185" s="368"/>
      <c r="BN185" s="367"/>
      <c r="BO185" s="368"/>
      <c r="EE185" s="541" t="str" cm="1">
        <f t="array" ref="EE185">IFERROR(IF($EC$9="",IF($EC$11="",IF($EC$13="",INDEX(bhpc_data[sku],SMALL(MATCH(ROW(bhpc_data[sku]),ROW(bhpc_data[sku])),ROWS($A$15:A190)+$B$3)),INDEX(bhpc_data[sku],SMALL(IF(ISNUMBER(MATCH(bhpc_data[size1],$EC$13,0)),MATCH(ROW(bhpc_data[sku]),ROW(bhpc_data[sku])),""),ROWS($A$15:A190)+$B$3))),IF($EC$13="",INDEX(bhpc_data[sku],SMALL(IF(ISNUMBER(MATCH(bhpc_data[sex],$EC$11,0)),MATCH(ROW(bhpc_data[sku]),ROW(bhpc_data[sku])),""),ROWS($A$15:A190)+$B$3)),INDEX(bhpc_data[sku],SMALL(IF(ISNUMBER(MATCH(bhpc_data[sex],$EC$11,0)*MATCH(bhpc_data[size1],$EC$13,0)),MATCH(ROW(bhpc_data[sku]),ROW(bhpc_data[sku])),""),ROWS($A$15:A190)+$B$3)))),IF($EC$11="",IF($EC$13="",INDEX(bhpc_data[sku],SMALL(IF(ISNUMBER(MATCH(bhpc_data[category],$EC$9,0)),MATCH(ROW(bhpc_data[sku]),ROW(bhpc_data[sku])),""),ROWS($A$15:A190)+$B$3)),INDEX(bhpc_data[sku],SMALL(IF(ISNUMBER(MATCH(bhpc_data[category],$EC$9,0)*MATCH(bhpc_data[size1],$EC$13,0)),MATCH(ROW(bhpc_data[sku]),ROW(bhpc_data[sku])),""),ROWS($A$15:A190)+$B$3))),IF($EC$13="",INDEX(bhpc_data[sku],SMALL(IF(ISNUMBER(MATCH(bhpc_data[category],$EC$9,0)*MATCH(bhpc_data[sex],$EC$11,0)),MATCH(ROW(bhpc_data[sku]),ROW(bhpc_data[sku])),""),ROWS($A$15:A190)+$B$3)),INDEX(bhpc_data[sku],SMALL(IF(ISNUMBER(MATCH(bhpc_data[category],$EC$9,0)*MATCH(bhpc_data[sex],$EC$11,0)*MATCH(bhpc_data[size1],$EC$13,0)),MATCH(ROW(bhpc_data[sku]),ROW(bhpc_data[sku])),""),ROWS($A$15:A190)+$B$3))))),"")</f>
        <v>X07028</v>
      </c>
      <c r="EF185" s="542" t="str" cm="1">
        <f t="array" ref="EF185">IFERROR(IF($EC$9="",IF($EC$11="",IF($EC$13="",INDEX(bhpc_data[description],SMALL(MATCH(ROW(bhpc_data[sku]),ROW(bhpc_data[sku])),ROWS($A$15:A190)+$B$3)),INDEX(bhpc_data[description],SMALL(IF(ISNUMBER(MATCH(bhpc_data[size1],$EC$13,0)),MATCH(ROW(bhpc_data[sku]),ROW(bhpc_data[sku])),""),ROWS($A$15:A190)+$B$3))),IF($EC$13="",INDEX(bhpc_data[description],SMALL(IF(ISNUMBER(MATCH(bhpc_data[sex],$EC$11,0)),MATCH(ROW(bhpc_data[sku]),ROW(bhpc_data[sku])),""),ROWS($A$15:A190)+$B$3)),INDEX(bhpc_data[description],SMALL(IF(ISNUMBER(MATCH(bhpc_data[sex],$EC$11,0)*MATCH(bhpc_data[size1],$EC$13,0)),MATCH(ROW(bhpc_data[sku]),ROW(bhpc_data[sku])),""),ROWS($A$15:A190)+$B$3)))),IF($EC$11="",IF($EC$13="",INDEX(bhpc_data[description],SMALL(IF(ISNUMBER(MATCH(bhpc_data[category],$EC$9,0)),MATCH(ROW(bhpc_data[sku]),ROW(bhpc_data[sku])),""),ROWS($A$15:A190)+$B$3)),INDEX(bhpc_data[description],SMALL(IF(ISNUMBER(MATCH(bhpc_data[category],$EC$9,0)*MATCH(bhpc_data[size1],$EC$13,0)),MATCH(ROW(bhpc_data[sku]),ROW(bhpc_data[sku])),""),ROWS($A$15:A190)+$B$3))),IF($EC$13="",INDEX(bhpc_data[description],SMALL(IF(ISNUMBER(MATCH(bhpc_data[category],$EC$9,0)*MATCH(bhpc_data[sex],$EC$11,0)),MATCH(ROW(bhpc_data[sku]),ROW(bhpc_data[sku])),""),ROWS($A$15:A190)+$B$3)),INDEX(bhpc_data[description],SMALL(IF(ISNUMBER(MATCH(bhpc_data[category],$EC$9,0)*MATCH(bhpc_data[sex],$EC$11,0)*MATCH(bhpc_data[size1],$EC$13,0)),MATCH(ROW(bhpc_data[sku]),ROW(bhpc_data[sku])),""),ROWS($A$15:A190)+$B$3))))),"")</f>
        <v>BHPC 3PCS GIFT BOX WOMEN NO.1 50ML</v>
      </c>
      <c r="EG185" s="543">
        <f>IFERROR(IF('BHPC MANAGER'!$EE185="","",INDEX(inventory[ESISTENZA],MATCH('BHPC MANAGER'!$EE185,inventory[ARTICOLO],0))),0)</f>
        <v>0</v>
      </c>
      <c r="EH185" s="544" t="s">
        <v>914</v>
      </c>
      <c r="EI185" s="544">
        <f t="shared" si="14"/>
        <v>0</v>
      </c>
      <c r="EJ185" s="545" t="s">
        <v>914</v>
      </c>
      <c r="EK185" s="546">
        <f t="shared" si="15"/>
        <v>0</v>
      </c>
    </row>
    <row r="186" spans="63:141" x14ac:dyDescent="0.35">
      <c r="BK186" s="366"/>
      <c r="BL186" s="367"/>
      <c r="BM186" s="368"/>
      <c r="BN186" s="367"/>
      <c r="BO186" s="368"/>
      <c r="EE186" s="547" t="str" cm="1">
        <f t="array" ref="EE186">IFERROR(IF($EC$9="",IF($EC$11="",IF($EC$13="",INDEX(bhpc_data[sku],SMALL(MATCH(ROW(bhpc_data[sku]),ROW(bhpc_data[sku])),ROWS($A$15:A191)+$B$3)),INDEX(bhpc_data[sku],SMALL(IF(ISNUMBER(MATCH(bhpc_data[size1],$EC$13,0)),MATCH(ROW(bhpc_data[sku]),ROW(bhpc_data[sku])),""),ROWS($A$15:A191)+$B$3))),IF($EC$13="",INDEX(bhpc_data[sku],SMALL(IF(ISNUMBER(MATCH(bhpc_data[sex],$EC$11,0)),MATCH(ROW(bhpc_data[sku]),ROW(bhpc_data[sku])),""),ROWS($A$15:A191)+$B$3)),INDEX(bhpc_data[sku],SMALL(IF(ISNUMBER(MATCH(bhpc_data[sex],$EC$11,0)*MATCH(bhpc_data[size1],$EC$13,0)),MATCH(ROW(bhpc_data[sku]),ROW(bhpc_data[sku])),""),ROWS($A$15:A191)+$B$3)))),IF($EC$11="",IF($EC$13="",INDEX(bhpc_data[sku],SMALL(IF(ISNUMBER(MATCH(bhpc_data[category],$EC$9,0)),MATCH(ROW(bhpc_data[sku]),ROW(bhpc_data[sku])),""),ROWS($A$15:A191)+$B$3)),INDEX(bhpc_data[sku],SMALL(IF(ISNUMBER(MATCH(bhpc_data[category],$EC$9,0)*MATCH(bhpc_data[size1],$EC$13,0)),MATCH(ROW(bhpc_data[sku]),ROW(bhpc_data[sku])),""),ROWS($A$15:A191)+$B$3))),IF($EC$13="",INDEX(bhpc_data[sku],SMALL(IF(ISNUMBER(MATCH(bhpc_data[category],$EC$9,0)*MATCH(bhpc_data[sex],$EC$11,0)),MATCH(ROW(bhpc_data[sku]),ROW(bhpc_data[sku])),""),ROWS($A$15:A191)+$B$3)),INDEX(bhpc_data[sku],SMALL(IF(ISNUMBER(MATCH(bhpc_data[category],$EC$9,0)*MATCH(bhpc_data[sex],$EC$11,0)*MATCH(bhpc_data[size1],$EC$13,0)),MATCH(ROW(bhpc_data[sku]),ROW(bhpc_data[sku])),""),ROWS($A$15:A191)+$B$3))))),"")</f>
        <v>X07029</v>
      </c>
      <c r="EF186" s="548" t="str" cm="1">
        <f t="array" ref="EF186">IFERROR(IF($EC$9="",IF($EC$11="",IF($EC$13="",INDEX(bhpc_data[description],SMALL(MATCH(ROW(bhpc_data[sku]),ROW(bhpc_data[sku])),ROWS($A$15:A191)+$B$3)),INDEX(bhpc_data[description],SMALL(IF(ISNUMBER(MATCH(bhpc_data[size1],$EC$13,0)),MATCH(ROW(bhpc_data[sku]),ROW(bhpc_data[sku])),""),ROWS($A$15:A191)+$B$3))),IF($EC$13="",INDEX(bhpc_data[description],SMALL(IF(ISNUMBER(MATCH(bhpc_data[sex],$EC$11,0)),MATCH(ROW(bhpc_data[sku]),ROW(bhpc_data[sku])),""),ROWS($A$15:A191)+$B$3)),INDEX(bhpc_data[description],SMALL(IF(ISNUMBER(MATCH(bhpc_data[sex],$EC$11,0)*MATCH(bhpc_data[size1],$EC$13,0)),MATCH(ROW(bhpc_data[sku]),ROW(bhpc_data[sku])),""),ROWS($A$15:A191)+$B$3)))),IF($EC$11="",IF($EC$13="",INDEX(bhpc_data[description],SMALL(IF(ISNUMBER(MATCH(bhpc_data[category],$EC$9,0)),MATCH(ROW(bhpc_data[sku]),ROW(bhpc_data[sku])),""),ROWS($A$15:A191)+$B$3)),INDEX(bhpc_data[description],SMALL(IF(ISNUMBER(MATCH(bhpc_data[category],$EC$9,0)*MATCH(bhpc_data[size1],$EC$13,0)),MATCH(ROW(bhpc_data[sku]),ROW(bhpc_data[sku])),""),ROWS($A$15:A191)+$B$3))),IF($EC$13="",INDEX(bhpc_data[description],SMALL(IF(ISNUMBER(MATCH(bhpc_data[category],$EC$9,0)*MATCH(bhpc_data[sex],$EC$11,0)),MATCH(ROW(bhpc_data[sku]),ROW(bhpc_data[sku])),""),ROWS($A$15:A191)+$B$3)),INDEX(bhpc_data[description],SMALL(IF(ISNUMBER(MATCH(bhpc_data[category],$EC$9,0)*MATCH(bhpc_data[sex],$EC$11,0)*MATCH(bhpc_data[size1],$EC$13,0)),MATCH(ROW(bhpc_data[sku]),ROW(bhpc_data[sku])),""),ROWS($A$15:A191)+$B$3))))),"")</f>
        <v>BHPC 3PCS GIFT BOX WOMEN NO.9 50ML</v>
      </c>
      <c r="EG186" s="549">
        <f>IFERROR(IF('BHPC MANAGER'!$EE186="","",INDEX(inventory[ESISTENZA],MATCH('BHPC MANAGER'!$EE186,inventory[ARTICOLO],0))),0)</f>
        <v>0</v>
      </c>
      <c r="EH186" s="550">
        <v>60</v>
      </c>
      <c r="EI186" s="550">
        <f t="shared" si="14"/>
        <v>60</v>
      </c>
      <c r="EJ186" s="551">
        <v>0</v>
      </c>
      <c r="EK186" s="552">
        <f t="shared" si="15"/>
        <v>60</v>
      </c>
    </row>
    <row r="187" spans="63:141" x14ac:dyDescent="0.35">
      <c r="BK187" s="366"/>
      <c r="BL187" s="367"/>
      <c r="BM187" s="368"/>
      <c r="BN187" s="367"/>
      <c r="BO187" s="368"/>
      <c r="EE187" s="541" t="str" cm="1">
        <f t="array" ref="EE187">IFERROR(IF($EC$9="",IF($EC$11="",IF($EC$13="",INDEX(bhpc_data[sku],SMALL(MATCH(ROW(bhpc_data[sku]),ROW(bhpc_data[sku])),ROWS($A$15:A192)+$B$3)),INDEX(bhpc_data[sku],SMALL(IF(ISNUMBER(MATCH(bhpc_data[size1],$EC$13,0)),MATCH(ROW(bhpc_data[sku]),ROW(bhpc_data[sku])),""),ROWS($A$15:A192)+$B$3))),IF($EC$13="",INDEX(bhpc_data[sku],SMALL(IF(ISNUMBER(MATCH(bhpc_data[sex],$EC$11,0)),MATCH(ROW(bhpc_data[sku]),ROW(bhpc_data[sku])),""),ROWS($A$15:A192)+$B$3)),INDEX(bhpc_data[sku],SMALL(IF(ISNUMBER(MATCH(bhpc_data[sex],$EC$11,0)*MATCH(bhpc_data[size1],$EC$13,0)),MATCH(ROW(bhpc_data[sku]),ROW(bhpc_data[sku])),""),ROWS($A$15:A192)+$B$3)))),IF($EC$11="",IF($EC$13="",INDEX(bhpc_data[sku],SMALL(IF(ISNUMBER(MATCH(bhpc_data[category],$EC$9,0)),MATCH(ROW(bhpc_data[sku]),ROW(bhpc_data[sku])),""),ROWS($A$15:A192)+$B$3)),INDEX(bhpc_data[sku],SMALL(IF(ISNUMBER(MATCH(bhpc_data[category],$EC$9,0)*MATCH(bhpc_data[size1],$EC$13,0)),MATCH(ROW(bhpc_data[sku]),ROW(bhpc_data[sku])),""),ROWS($A$15:A192)+$B$3))),IF($EC$13="",INDEX(bhpc_data[sku],SMALL(IF(ISNUMBER(MATCH(bhpc_data[category],$EC$9,0)*MATCH(bhpc_data[sex],$EC$11,0)),MATCH(ROW(bhpc_data[sku]),ROW(bhpc_data[sku])),""),ROWS($A$15:A192)+$B$3)),INDEX(bhpc_data[sku],SMALL(IF(ISNUMBER(MATCH(bhpc_data[category],$EC$9,0)*MATCH(bhpc_data[sex],$EC$11,0)*MATCH(bhpc_data[size1],$EC$13,0)),MATCH(ROW(bhpc_data[sku]),ROW(bhpc_data[sku])),""),ROWS($A$15:A192)+$B$3))))),"")</f>
        <v>X07030</v>
      </c>
      <c r="EF187" s="542" t="str" cm="1">
        <f t="array" ref="EF187">IFERROR(IF($EC$9="",IF($EC$11="",IF($EC$13="",INDEX(bhpc_data[description],SMALL(MATCH(ROW(bhpc_data[sku]),ROW(bhpc_data[sku])),ROWS($A$15:A192)+$B$3)),INDEX(bhpc_data[description],SMALL(IF(ISNUMBER(MATCH(bhpc_data[size1],$EC$13,0)),MATCH(ROW(bhpc_data[sku]),ROW(bhpc_data[sku])),""),ROWS($A$15:A192)+$B$3))),IF($EC$13="",INDEX(bhpc_data[description],SMALL(IF(ISNUMBER(MATCH(bhpc_data[sex],$EC$11,0)),MATCH(ROW(bhpc_data[sku]),ROW(bhpc_data[sku])),""),ROWS($A$15:A192)+$B$3)),INDEX(bhpc_data[description],SMALL(IF(ISNUMBER(MATCH(bhpc_data[sex],$EC$11,0)*MATCH(bhpc_data[size1],$EC$13,0)),MATCH(ROW(bhpc_data[sku]),ROW(bhpc_data[sku])),""),ROWS($A$15:A192)+$B$3)))),IF($EC$11="",IF($EC$13="",INDEX(bhpc_data[description],SMALL(IF(ISNUMBER(MATCH(bhpc_data[category],$EC$9,0)),MATCH(ROW(bhpc_data[sku]),ROW(bhpc_data[sku])),""),ROWS($A$15:A192)+$B$3)),INDEX(bhpc_data[description],SMALL(IF(ISNUMBER(MATCH(bhpc_data[category],$EC$9,0)*MATCH(bhpc_data[size1],$EC$13,0)),MATCH(ROW(bhpc_data[sku]),ROW(bhpc_data[sku])),""),ROWS($A$15:A192)+$B$3))),IF($EC$13="",INDEX(bhpc_data[description],SMALL(IF(ISNUMBER(MATCH(bhpc_data[category],$EC$9,0)*MATCH(bhpc_data[sex],$EC$11,0)),MATCH(ROW(bhpc_data[sku]),ROW(bhpc_data[sku])),""),ROWS($A$15:A192)+$B$3)),INDEX(bhpc_data[description],SMALL(IF(ISNUMBER(MATCH(bhpc_data[category],$EC$9,0)*MATCH(bhpc_data[sex],$EC$11,0)*MATCH(bhpc_data[size1],$EC$13,0)),MATCH(ROW(bhpc_data[sku]),ROW(bhpc_data[sku])),""),ROWS($A$15:A192)+$B$3))))),"")</f>
        <v>BHPC 3PCS GIFT BOX WOMEN NO.8 50ML</v>
      </c>
      <c r="EG187" s="543">
        <f>IFERROR(IF('BHPC MANAGER'!$EE187="","",INDEX(inventory[ESISTENZA],MATCH('BHPC MANAGER'!$EE187,inventory[ARTICOLO],0))),0)</f>
        <v>0</v>
      </c>
      <c r="EH187" s="544" t="s">
        <v>914</v>
      </c>
      <c r="EI187" s="544">
        <f t="shared" si="14"/>
        <v>0</v>
      </c>
      <c r="EJ187" s="545" t="s">
        <v>914</v>
      </c>
      <c r="EK187" s="546">
        <f t="shared" si="15"/>
        <v>0</v>
      </c>
    </row>
    <row r="188" spans="63:141" x14ac:dyDescent="0.35">
      <c r="BK188" s="366"/>
      <c r="BL188" s="367"/>
      <c r="BM188" s="368"/>
      <c r="BN188" s="367"/>
      <c r="BO188" s="368"/>
      <c r="EE188" s="547" t="str" cm="1">
        <f t="array" ref="EE188">IFERROR(IF($EC$9="",IF($EC$11="",IF($EC$13="",INDEX(bhpc_data[sku],SMALL(MATCH(ROW(bhpc_data[sku]),ROW(bhpc_data[sku])),ROWS($A$15:A193)+$B$3)),INDEX(bhpc_data[sku],SMALL(IF(ISNUMBER(MATCH(bhpc_data[size1],$EC$13,0)),MATCH(ROW(bhpc_data[sku]),ROW(bhpc_data[sku])),""),ROWS($A$15:A193)+$B$3))),IF($EC$13="",INDEX(bhpc_data[sku],SMALL(IF(ISNUMBER(MATCH(bhpc_data[sex],$EC$11,0)),MATCH(ROW(bhpc_data[sku]),ROW(bhpc_data[sku])),""),ROWS($A$15:A193)+$B$3)),INDEX(bhpc_data[sku],SMALL(IF(ISNUMBER(MATCH(bhpc_data[sex],$EC$11,0)*MATCH(bhpc_data[size1],$EC$13,0)),MATCH(ROW(bhpc_data[sku]),ROW(bhpc_data[sku])),""),ROWS($A$15:A193)+$B$3)))),IF($EC$11="",IF($EC$13="",INDEX(bhpc_data[sku],SMALL(IF(ISNUMBER(MATCH(bhpc_data[category],$EC$9,0)),MATCH(ROW(bhpc_data[sku]),ROW(bhpc_data[sku])),""),ROWS($A$15:A193)+$B$3)),INDEX(bhpc_data[sku],SMALL(IF(ISNUMBER(MATCH(bhpc_data[category],$EC$9,0)*MATCH(bhpc_data[size1],$EC$13,0)),MATCH(ROW(bhpc_data[sku]),ROW(bhpc_data[sku])),""),ROWS($A$15:A193)+$B$3))),IF($EC$13="",INDEX(bhpc_data[sku],SMALL(IF(ISNUMBER(MATCH(bhpc_data[category],$EC$9,0)*MATCH(bhpc_data[sex],$EC$11,0)),MATCH(ROW(bhpc_data[sku]),ROW(bhpc_data[sku])),""),ROWS($A$15:A193)+$B$3)),INDEX(bhpc_data[sku],SMALL(IF(ISNUMBER(MATCH(bhpc_data[category],$EC$9,0)*MATCH(bhpc_data[sex],$EC$11,0)*MATCH(bhpc_data[size1],$EC$13,0)),MATCH(ROW(bhpc_data[sku]),ROW(bhpc_data[sku])),""),ROWS($A$15:A193)+$B$3))))),"")</f>
        <v>X07031</v>
      </c>
      <c r="EF188" s="548" t="str" cm="1">
        <f t="array" ref="EF188">IFERROR(IF($EC$9="",IF($EC$11="",IF($EC$13="",INDEX(bhpc_data[description],SMALL(MATCH(ROW(bhpc_data[sku]),ROW(bhpc_data[sku])),ROWS($A$15:A193)+$B$3)),INDEX(bhpc_data[description],SMALL(IF(ISNUMBER(MATCH(bhpc_data[size1],$EC$13,0)),MATCH(ROW(bhpc_data[sku]),ROW(bhpc_data[sku])),""),ROWS($A$15:A193)+$B$3))),IF($EC$13="",INDEX(bhpc_data[description],SMALL(IF(ISNUMBER(MATCH(bhpc_data[sex],$EC$11,0)),MATCH(ROW(bhpc_data[sku]),ROW(bhpc_data[sku])),""),ROWS($A$15:A193)+$B$3)),INDEX(bhpc_data[description],SMALL(IF(ISNUMBER(MATCH(bhpc_data[sex],$EC$11,0)*MATCH(bhpc_data[size1],$EC$13,0)),MATCH(ROW(bhpc_data[sku]),ROW(bhpc_data[sku])),""),ROWS($A$15:A193)+$B$3)))),IF($EC$11="",IF($EC$13="",INDEX(bhpc_data[description],SMALL(IF(ISNUMBER(MATCH(bhpc_data[category],$EC$9,0)),MATCH(ROW(bhpc_data[sku]),ROW(bhpc_data[sku])),""),ROWS($A$15:A193)+$B$3)),INDEX(bhpc_data[description],SMALL(IF(ISNUMBER(MATCH(bhpc_data[category],$EC$9,0)*MATCH(bhpc_data[size1],$EC$13,0)),MATCH(ROW(bhpc_data[sku]),ROW(bhpc_data[sku])),""),ROWS($A$15:A193)+$B$3))),IF($EC$13="",INDEX(bhpc_data[description],SMALL(IF(ISNUMBER(MATCH(bhpc_data[category],$EC$9,0)*MATCH(bhpc_data[sex],$EC$11,0)),MATCH(ROW(bhpc_data[sku]),ROW(bhpc_data[sku])),""),ROWS($A$15:A193)+$B$3)),INDEX(bhpc_data[description],SMALL(IF(ISNUMBER(MATCH(bhpc_data[category],$EC$9,0)*MATCH(bhpc_data[sex],$EC$11,0)*MATCH(bhpc_data[size1],$EC$13,0)),MATCH(ROW(bhpc_data[sku]),ROW(bhpc_data[sku])),""),ROWS($A$15:A193)+$B$3))))),"")</f>
        <v>BHPC 3PCS GIFT BOX WOMEN NO.2 50ML</v>
      </c>
      <c r="EG188" s="549">
        <f>IFERROR(IF('BHPC MANAGER'!$EE188="","",INDEX(inventory[ESISTENZA],MATCH('BHPC MANAGER'!$EE188,inventory[ARTICOLO],0))),0)</f>
        <v>0</v>
      </c>
      <c r="EH188" s="550" t="s">
        <v>914</v>
      </c>
      <c r="EI188" s="550">
        <f t="shared" si="14"/>
        <v>0</v>
      </c>
      <c r="EJ188" s="551" t="s">
        <v>914</v>
      </c>
      <c r="EK188" s="552">
        <f t="shared" si="15"/>
        <v>0</v>
      </c>
    </row>
    <row r="189" spans="63:141" x14ac:dyDescent="0.35">
      <c r="BK189" s="366"/>
      <c r="BL189" s="367"/>
      <c r="BM189" s="368"/>
      <c r="BN189" s="367"/>
      <c r="BO189" s="368"/>
      <c r="EE189" s="541" t="str" cm="1">
        <f t="array" ref="EE189">IFERROR(IF($EC$9="",IF($EC$11="",IF($EC$13="",INDEX(bhpc_data[sku],SMALL(MATCH(ROW(bhpc_data[sku]),ROW(bhpc_data[sku])),ROWS($A$15:A194)+$B$3)),INDEX(bhpc_data[sku],SMALL(IF(ISNUMBER(MATCH(bhpc_data[size1],$EC$13,0)),MATCH(ROW(bhpc_data[sku]),ROW(bhpc_data[sku])),""),ROWS($A$15:A194)+$B$3))),IF($EC$13="",INDEX(bhpc_data[sku],SMALL(IF(ISNUMBER(MATCH(bhpc_data[sex],$EC$11,0)),MATCH(ROW(bhpc_data[sku]),ROW(bhpc_data[sku])),""),ROWS($A$15:A194)+$B$3)),INDEX(bhpc_data[sku],SMALL(IF(ISNUMBER(MATCH(bhpc_data[sex],$EC$11,0)*MATCH(bhpc_data[size1],$EC$13,0)),MATCH(ROW(bhpc_data[sku]),ROW(bhpc_data[sku])),""),ROWS($A$15:A194)+$B$3)))),IF($EC$11="",IF($EC$13="",INDEX(bhpc_data[sku],SMALL(IF(ISNUMBER(MATCH(bhpc_data[category],$EC$9,0)),MATCH(ROW(bhpc_data[sku]),ROW(bhpc_data[sku])),""),ROWS($A$15:A194)+$B$3)),INDEX(bhpc_data[sku],SMALL(IF(ISNUMBER(MATCH(bhpc_data[category],$EC$9,0)*MATCH(bhpc_data[size1],$EC$13,0)),MATCH(ROW(bhpc_data[sku]),ROW(bhpc_data[sku])),""),ROWS($A$15:A194)+$B$3))),IF($EC$13="",INDEX(bhpc_data[sku],SMALL(IF(ISNUMBER(MATCH(bhpc_data[category],$EC$9,0)*MATCH(bhpc_data[sex],$EC$11,0)),MATCH(ROW(bhpc_data[sku]),ROW(bhpc_data[sku])),""),ROWS($A$15:A194)+$B$3)),INDEX(bhpc_data[sku],SMALL(IF(ISNUMBER(MATCH(bhpc_data[category],$EC$9,0)*MATCH(bhpc_data[sex],$EC$11,0)*MATCH(bhpc_data[size1],$EC$13,0)),MATCH(ROW(bhpc_data[sku]),ROW(bhpc_data[sku])),""),ROWS($A$15:A194)+$B$3))))),"")</f>
        <v/>
      </c>
      <c r="EF189" s="542" t="str" cm="1">
        <f t="array" ref="EF189">IFERROR(IF($EC$9="",IF($EC$11="",IF($EC$13="",INDEX(bhpc_data[description],SMALL(MATCH(ROW(bhpc_data[sku]),ROW(bhpc_data[sku])),ROWS($A$15:A194)+$B$3)),INDEX(bhpc_data[description],SMALL(IF(ISNUMBER(MATCH(bhpc_data[size1],$EC$13,0)),MATCH(ROW(bhpc_data[sku]),ROW(bhpc_data[sku])),""),ROWS($A$15:A194)+$B$3))),IF($EC$13="",INDEX(bhpc_data[description],SMALL(IF(ISNUMBER(MATCH(bhpc_data[sex],$EC$11,0)),MATCH(ROW(bhpc_data[sku]),ROW(bhpc_data[sku])),""),ROWS($A$15:A194)+$B$3)),INDEX(bhpc_data[description],SMALL(IF(ISNUMBER(MATCH(bhpc_data[sex],$EC$11,0)*MATCH(bhpc_data[size1],$EC$13,0)),MATCH(ROW(bhpc_data[sku]),ROW(bhpc_data[sku])),""),ROWS($A$15:A194)+$B$3)))),IF($EC$11="",IF($EC$13="",INDEX(bhpc_data[description],SMALL(IF(ISNUMBER(MATCH(bhpc_data[category],$EC$9,0)),MATCH(ROW(bhpc_data[sku]),ROW(bhpc_data[sku])),""),ROWS($A$15:A194)+$B$3)),INDEX(bhpc_data[description],SMALL(IF(ISNUMBER(MATCH(bhpc_data[category],$EC$9,0)*MATCH(bhpc_data[size1],$EC$13,0)),MATCH(ROW(bhpc_data[sku]),ROW(bhpc_data[sku])),""),ROWS($A$15:A194)+$B$3))),IF($EC$13="",INDEX(bhpc_data[description],SMALL(IF(ISNUMBER(MATCH(bhpc_data[category],$EC$9,0)*MATCH(bhpc_data[sex],$EC$11,0)),MATCH(ROW(bhpc_data[sku]),ROW(bhpc_data[sku])),""),ROWS($A$15:A194)+$B$3)),INDEX(bhpc_data[description],SMALL(IF(ISNUMBER(MATCH(bhpc_data[category],$EC$9,0)*MATCH(bhpc_data[sex],$EC$11,0)*MATCH(bhpc_data[size1],$EC$13,0)),MATCH(ROW(bhpc_data[sku]),ROW(bhpc_data[sku])),""),ROWS($A$15:A194)+$B$3))))),"")</f>
        <v/>
      </c>
      <c r="EG189" s="543" t="str">
        <f>IFERROR(IF('BHPC MANAGER'!$EE189="","",INDEX(inventory[ESISTENZA],MATCH('BHPC MANAGER'!$EE189,inventory[ARTICOLO],0))),0)</f>
        <v/>
      </c>
      <c r="EH189" s="544"/>
      <c r="EI189" s="544" t="str">
        <f t="shared" si="14"/>
        <v/>
      </c>
      <c r="EJ189" s="545"/>
      <c r="EK189" s="546" t="str">
        <f t="shared" si="15"/>
        <v/>
      </c>
    </row>
    <row r="190" spans="63:141" x14ac:dyDescent="0.35">
      <c r="BK190" s="366"/>
      <c r="BL190" s="367"/>
      <c r="BM190" s="368"/>
      <c r="BN190" s="367"/>
      <c r="BO190" s="368"/>
      <c r="EE190" s="547" t="str" cm="1">
        <f t="array" ref="EE190">IFERROR(IF($EC$9="",IF($EC$11="",IF($EC$13="",INDEX(bhpc_data[sku],SMALL(MATCH(ROW(bhpc_data[sku]),ROW(bhpc_data[sku])),ROWS($A$15:A195)+$B$3)),INDEX(bhpc_data[sku],SMALL(IF(ISNUMBER(MATCH(bhpc_data[size1],$EC$13,0)),MATCH(ROW(bhpc_data[sku]),ROW(bhpc_data[sku])),""),ROWS($A$15:A195)+$B$3))),IF($EC$13="",INDEX(bhpc_data[sku],SMALL(IF(ISNUMBER(MATCH(bhpc_data[sex],$EC$11,0)),MATCH(ROW(bhpc_data[sku]),ROW(bhpc_data[sku])),""),ROWS($A$15:A195)+$B$3)),INDEX(bhpc_data[sku],SMALL(IF(ISNUMBER(MATCH(bhpc_data[sex],$EC$11,0)*MATCH(bhpc_data[size1],$EC$13,0)),MATCH(ROW(bhpc_data[sku]),ROW(bhpc_data[sku])),""),ROWS($A$15:A195)+$B$3)))),IF($EC$11="",IF($EC$13="",INDEX(bhpc_data[sku],SMALL(IF(ISNUMBER(MATCH(bhpc_data[category],$EC$9,0)),MATCH(ROW(bhpc_data[sku]),ROW(bhpc_data[sku])),""),ROWS($A$15:A195)+$B$3)),INDEX(bhpc_data[sku],SMALL(IF(ISNUMBER(MATCH(bhpc_data[category],$EC$9,0)*MATCH(bhpc_data[size1],$EC$13,0)),MATCH(ROW(bhpc_data[sku]),ROW(bhpc_data[sku])),""),ROWS($A$15:A195)+$B$3))),IF($EC$13="",INDEX(bhpc_data[sku],SMALL(IF(ISNUMBER(MATCH(bhpc_data[category],$EC$9,0)*MATCH(bhpc_data[sex],$EC$11,0)),MATCH(ROW(bhpc_data[sku]),ROW(bhpc_data[sku])),""),ROWS($A$15:A195)+$B$3)),INDEX(bhpc_data[sku],SMALL(IF(ISNUMBER(MATCH(bhpc_data[category],$EC$9,0)*MATCH(bhpc_data[sex],$EC$11,0)*MATCH(bhpc_data[size1],$EC$13,0)),MATCH(ROW(bhpc_data[sku]),ROW(bhpc_data[sku])),""),ROWS($A$15:A195)+$B$3))))),"")</f>
        <v/>
      </c>
      <c r="EF190" s="548" t="str" cm="1">
        <f t="array" ref="EF190">IFERROR(IF($EC$9="",IF($EC$11="",IF($EC$13="",INDEX(bhpc_data[description],SMALL(MATCH(ROW(bhpc_data[sku]),ROW(bhpc_data[sku])),ROWS($A$15:A195)+$B$3)),INDEX(bhpc_data[description],SMALL(IF(ISNUMBER(MATCH(bhpc_data[size1],$EC$13,0)),MATCH(ROW(bhpc_data[sku]),ROW(bhpc_data[sku])),""),ROWS($A$15:A195)+$B$3))),IF($EC$13="",INDEX(bhpc_data[description],SMALL(IF(ISNUMBER(MATCH(bhpc_data[sex],$EC$11,0)),MATCH(ROW(bhpc_data[sku]),ROW(bhpc_data[sku])),""),ROWS($A$15:A195)+$B$3)),INDEX(bhpc_data[description],SMALL(IF(ISNUMBER(MATCH(bhpc_data[sex],$EC$11,0)*MATCH(bhpc_data[size1],$EC$13,0)),MATCH(ROW(bhpc_data[sku]),ROW(bhpc_data[sku])),""),ROWS($A$15:A195)+$B$3)))),IF($EC$11="",IF($EC$13="",INDEX(bhpc_data[description],SMALL(IF(ISNUMBER(MATCH(bhpc_data[category],$EC$9,0)),MATCH(ROW(bhpc_data[sku]),ROW(bhpc_data[sku])),""),ROWS($A$15:A195)+$B$3)),INDEX(bhpc_data[description],SMALL(IF(ISNUMBER(MATCH(bhpc_data[category],$EC$9,0)*MATCH(bhpc_data[size1],$EC$13,0)),MATCH(ROW(bhpc_data[sku]),ROW(bhpc_data[sku])),""),ROWS($A$15:A195)+$B$3))),IF($EC$13="",INDEX(bhpc_data[description],SMALL(IF(ISNUMBER(MATCH(bhpc_data[category],$EC$9,0)*MATCH(bhpc_data[sex],$EC$11,0)),MATCH(ROW(bhpc_data[sku]),ROW(bhpc_data[sku])),""),ROWS($A$15:A195)+$B$3)),INDEX(bhpc_data[description],SMALL(IF(ISNUMBER(MATCH(bhpc_data[category],$EC$9,0)*MATCH(bhpc_data[sex],$EC$11,0)*MATCH(bhpc_data[size1],$EC$13,0)),MATCH(ROW(bhpc_data[sku]),ROW(bhpc_data[sku])),""),ROWS($A$15:A195)+$B$3))))),"")</f>
        <v/>
      </c>
      <c r="EG190" s="549" t="str">
        <f>IFERROR(IF('BHPC MANAGER'!$EE190="","",INDEX(inventory[ESISTENZA],MATCH('BHPC MANAGER'!$EE190,inventory[ARTICOLO],0))),0)</f>
        <v/>
      </c>
      <c r="EH190" s="550"/>
      <c r="EI190" s="550" t="str">
        <f t="shared" si="14"/>
        <v/>
      </c>
      <c r="EJ190" s="551"/>
      <c r="EK190" s="552" t="str">
        <f t="shared" si="15"/>
        <v/>
      </c>
    </row>
    <row r="191" spans="63:141" x14ac:dyDescent="0.35">
      <c r="BK191" s="366"/>
      <c r="BL191" s="367"/>
      <c r="BM191" s="368"/>
      <c r="BN191" s="367"/>
      <c r="BO191" s="368"/>
      <c r="EE191" s="541" t="str" cm="1">
        <f t="array" ref="EE191">IFERROR(IF($EC$9="",IF($EC$11="",IF($EC$13="",INDEX(bhpc_data[sku],SMALL(MATCH(ROW(bhpc_data[sku]),ROW(bhpc_data[sku])),ROWS($A$15:A196)+$B$3)),INDEX(bhpc_data[sku],SMALL(IF(ISNUMBER(MATCH(bhpc_data[size1],$EC$13,0)),MATCH(ROW(bhpc_data[sku]),ROW(bhpc_data[sku])),""),ROWS($A$15:A196)+$B$3))),IF($EC$13="",INDEX(bhpc_data[sku],SMALL(IF(ISNUMBER(MATCH(bhpc_data[sex],$EC$11,0)),MATCH(ROW(bhpc_data[sku]),ROW(bhpc_data[sku])),""),ROWS($A$15:A196)+$B$3)),INDEX(bhpc_data[sku],SMALL(IF(ISNUMBER(MATCH(bhpc_data[sex],$EC$11,0)*MATCH(bhpc_data[size1],$EC$13,0)),MATCH(ROW(bhpc_data[sku]),ROW(bhpc_data[sku])),""),ROWS($A$15:A196)+$B$3)))),IF($EC$11="",IF($EC$13="",INDEX(bhpc_data[sku],SMALL(IF(ISNUMBER(MATCH(bhpc_data[category],$EC$9,0)),MATCH(ROW(bhpc_data[sku]),ROW(bhpc_data[sku])),""),ROWS($A$15:A196)+$B$3)),INDEX(bhpc_data[sku],SMALL(IF(ISNUMBER(MATCH(bhpc_data[category],$EC$9,0)*MATCH(bhpc_data[size1],$EC$13,0)),MATCH(ROW(bhpc_data[sku]),ROW(bhpc_data[sku])),""),ROWS($A$15:A196)+$B$3))),IF($EC$13="",INDEX(bhpc_data[sku],SMALL(IF(ISNUMBER(MATCH(bhpc_data[category],$EC$9,0)*MATCH(bhpc_data[sex],$EC$11,0)),MATCH(ROW(bhpc_data[sku]),ROW(bhpc_data[sku])),""),ROWS($A$15:A196)+$B$3)),INDEX(bhpc_data[sku],SMALL(IF(ISNUMBER(MATCH(bhpc_data[category],$EC$9,0)*MATCH(bhpc_data[sex],$EC$11,0)*MATCH(bhpc_data[size1],$EC$13,0)),MATCH(ROW(bhpc_data[sku]),ROW(bhpc_data[sku])),""),ROWS($A$15:A196)+$B$3))))),"")</f>
        <v/>
      </c>
      <c r="EF191" s="542" t="str" cm="1">
        <f t="array" ref="EF191">IFERROR(IF($EC$9="",IF($EC$11="",IF($EC$13="",INDEX(bhpc_data[description],SMALL(MATCH(ROW(bhpc_data[sku]),ROW(bhpc_data[sku])),ROWS($A$15:A196)+$B$3)),INDEX(bhpc_data[description],SMALL(IF(ISNUMBER(MATCH(bhpc_data[size1],$EC$13,0)),MATCH(ROW(bhpc_data[sku]),ROW(bhpc_data[sku])),""),ROWS($A$15:A196)+$B$3))),IF($EC$13="",INDEX(bhpc_data[description],SMALL(IF(ISNUMBER(MATCH(bhpc_data[sex],$EC$11,0)),MATCH(ROW(bhpc_data[sku]),ROW(bhpc_data[sku])),""),ROWS($A$15:A196)+$B$3)),INDEX(bhpc_data[description],SMALL(IF(ISNUMBER(MATCH(bhpc_data[sex],$EC$11,0)*MATCH(bhpc_data[size1],$EC$13,0)),MATCH(ROW(bhpc_data[sku]),ROW(bhpc_data[sku])),""),ROWS($A$15:A196)+$B$3)))),IF($EC$11="",IF($EC$13="",INDEX(bhpc_data[description],SMALL(IF(ISNUMBER(MATCH(bhpc_data[category],$EC$9,0)),MATCH(ROW(bhpc_data[sku]),ROW(bhpc_data[sku])),""),ROWS($A$15:A196)+$B$3)),INDEX(bhpc_data[description],SMALL(IF(ISNUMBER(MATCH(bhpc_data[category],$EC$9,0)*MATCH(bhpc_data[size1],$EC$13,0)),MATCH(ROW(bhpc_data[sku]),ROW(bhpc_data[sku])),""),ROWS($A$15:A196)+$B$3))),IF($EC$13="",INDEX(bhpc_data[description],SMALL(IF(ISNUMBER(MATCH(bhpc_data[category],$EC$9,0)*MATCH(bhpc_data[sex],$EC$11,0)),MATCH(ROW(bhpc_data[sku]),ROW(bhpc_data[sku])),""),ROWS($A$15:A196)+$B$3)),INDEX(bhpc_data[description],SMALL(IF(ISNUMBER(MATCH(bhpc_data[category],$EC$9,0)*MATCH(bhpc_data[sex],$EC$11,0)*MATCH(bhpc_data[size1],$EC$13,0)),MATCH(ROW(bhpc_data[sku]),ROW(bhpc_data[sku])),""),ROWS($A$15:A196)+$B$3))))),"")</f>
        <v/>
      </c>
      <c r="EG191" s="543" t="str">
        <f>IFERROR(IF('BHPC MANAGER'!$EE191="","",INDEX(inventory[ESISTENZA],MATCH('BHPC MANAGER'!$EE191,inventory[ARTICOLO],0))),0)</f>
        <v/>
      </c>
      <c r="EH191" s="544"/>
      <c r="EI191" s="544" t="str">
        <f t="shared" si="14"/>
        <v/>
      </c>
      <c r="EJ191" s="545"/>
      <c r="EK191" s="546" t="str">
        <f t="shared" si="15"/>
        <v/>
      </c>
    </row>
    <row r="192" spans="63:141" x14ac:dyDescent="0.35">
      <c r="BK192" s="366"/>
      <c r="BL192" s="367"/>
      <c r="BM192" s="368"/>
      <c r="BN192" s="367"/>
      <c r="BO192" s="368"/>
      <c r="EE192" s="547" t="str" cm="1">
        <f t="array" ref="EE192">IFERROR(IF($EC$9="",IF($EC$11="",IF($EC$13="",INDEX(bhpc_data[sku],SMALL(MATCH(ROW(bhpc_data[sku]),ROW(bhpc_data[sku])),ROWS($A$15:A197)+$B$3)),INDEX(bhpc_data[sku],SMALL(IF(ISNUMBER(MATCH(bhpc_data[size1],$EC$13,0)),MATCH(ROW(bhpc_data[sku]),ROW(bhpc_data[sku])),""),ROWS($A$15:A197)+$B$3))),IF($EC$13="",INDEX(bhpc_data[sku],SMALL(IF(ISNUMBER(MATCH(bhpc_data[sex],$EC$11,0)),MATCH(ROW(bhpc_data[sku]),ROW(bhpc_data[sku])),""),ROWS($A$15:A197)+$B$3)),INDEX(bhpc_data[sku],SMALL(IF(ISNUMBER(MATCH(bhpc_data[sex],$EC$11,0)*MATCH(bhpc_data[size1],$EC$13,0)),MATCH(ROW(bhpc_data[sku]),ROW(bhpc_data[sku])),""),ROWS($A$15:A197)+$B$3)))),IF($EC$11="",IF($EC$13="",INDEX(bhpc_data[sku],SMALL(IF(ISNUMBER(MATCH(bhpc_data[category],$EC$9,0)),MATCH(ROW(bhpc_data[sku]),ROW(bhpc_data[sku])),""),ROWS($A$15:A197)+$B$3)),INDEX(bhpc_data[sku],SMALL(IF(ISNUMBER(MATCH(bhpc_data[category],$EC$9,0)*MATCH(bhpc_data[size1],$EC$13,0)),MATCH(ROW(bhpc_data[sku]),ROW(bhpc_data[sku])),""),ROWS($A$15:A197)+$B$3))),IF($EC$13="",INDEX(bhpc_data[sku],SMALL(IF(ISNUMBER(MATCH(bhpc_data[category],$EC$9,0)*MATCH(bhpc_data[sex],$EC$11,0)),MATCH(ROW(bhpc_data[sku]),ROW(bhpc_data[sku])),""),ROWS($A$15:A197)+$B$3)),INDEX(bhpc_data[sku],SMALL(IF(ISNUMBER(MATCH(bhpc_data[category],$EC$9,0)*MATCH(bhpc_data[sex],$EC$11,0)*MATCH(bhpc_data[size1],$EC$13,0)),MATCH(ROW(bhpc_data[sku]),ROW(bhpc_data[sku])),""),ROWS($A$15:A197)+$B$3))))),"")</f>
        <v/>
      </c>
      <c r="EF192" s="548" t="str" cm="1">
        <f t="array" ref="EF192">IFERROR(IF($EC$9="",IF($EC$11="",IF($EC$13="",INDEX(bhpc_data[description],SMALL(MATCH(ROW(bhpc_data[sku]),ROW(bhpc_data[sku])),ROWS($A$15:A197)+$B$3)),INDEX(bhpc_data[description],SMALL(IF(ISNUMBER(MATCH(bhpc_data[size1],$EC$13,0)),MATCH(ROW(bhpc_data[sku]),ROW(bhpc_data[sku])),""),ROWS($A$15:A197)+$B$3))),IF($EC$13="",INDEX(bhpc_data[description],SMALL(IF(ISNUMBER(MATCH(bhpc_data[sex],$EC$11,0)),MATCH(ROW(bhpc_data[sku]),ROW(bhpc_data[sku])),""),ROWS($A$15:A197)+$B$3)),INDEX(bhpc_data[description],SMALL(IF(ISNUMBER(MATCH(bhpc_data[sex],$EC$11,0)*MATCH(bhpc_data[size1],$EC$13,0)),MATCH(ROW(bhpc_data[sku]),ROW(bhpc_data[sku])),""),ROWS($A$15:A197)+$B$3)))),IF($EC$11="",IF($EC$13="",INDEX(bhpc_data[description],SMALL(IF(ISNUMBER(MATCH(bhpc_data[category],$EC$9,0)),MATCH(ROW(bhpc_data[sku]),ROW(bhpc_data[sku])),""),ROWS($A$15:A197)+$B$3)),INDEX(bhpc_data[description],SMALL(IF(ISNUMBER(MATCH(bhpc_data[category],$EC$9,0)*MATCH(bhpc_data[size1],$EC$13,0)),MATCH(ROW(bhpc_data[sku]),ROW(bhpc_data[sku])),""),ROWS($A$15:A197)+$B$3))),IF($EC$13="",INDEX(bhpc_data[description],SMALL(IF(ISNUMBER(MATCH(bhpc_data[category],$EC$9,0)*MATCH(bhpc_data[sex],$EC$11,0)),MATCH(ROW(bhpc_data[sku]),ROW(bhpc_data[sku])),""),ROWS($A$15:A197)+$B$3)),INDEX(bhpc_data[description],SMALL(IF(ISNUMBER(MATCH(bhpc_data[category],$EC$9,0)*MATCH(bhpc_data[sex],$EC$11,0)*MATCH(bhpc_data[size1],$EC$13,0)),MATCH(ROW(bhpc_data[sku]),ROW(bhpc_data[sku])),""),ROWS($A$15:A197)+$B$3))))),"")</f>
        <v/>
      </c>
      <c r="EG192" s="549" t="str">
        <f>IFERROR(IF('BHPC MANAGER'!$EE192="","",INDEX(inventory[ESISTENZA],MATCH('BHPC MANAGER'!$EE192,inventory[ARTICOLO],0))),0)</f>
        <v/>
      </c>
      <c r="EH192" s="550"/>
      <c r="EI192" s="550" t="str">
        <f t="shared" si="14"/>
        <v/>
      </c>
      <c r="EJ192" s="551"/>
      <c r="EK192" s="552" t="str">
        <f t="shared" si="15"/>
        <v/>
      </c>
    </row>
    <row r="193" spans="63:141" x14ac:dyDescent="0.35">
      <c r="BK193" s="366"/>
      <c r="BL193" s="367"/>
      <c r="BM193" s="368"/>
      <c r="BN193" s="367"/>
      <c r="BO193" s="368"/>
      <c r="EE193" s="541" t="str" cm="1">
        <f t="array" ref="EE193">IFERROR(IF($EC$9="",IF($EC$11="",IF($EC$13="",INDEX(bhpc_data[sku],SMALL(MATCH(ROW(bhpc_data[sku]),ROW(bhpc_data[sku])),ROWS($A$15:A198)+$B$3)),INDEX(bhpc_data[sku],SMALL(IF(ISNUMBER(MATCH(bhpc_data[size1],$EC$13,0)),MATCH(ROW(bhpc_data[sku]),ROW(bhpc_data[sku])),""),ROWS($A$15:A198)+$B$3))),IF($EC$13="",INDEX(bhpc_data[sku],SMALL(IF(ISNUMBER(MATCH(bhpc_data[sex],$EC$11,0)),MATCH(ROW(bhpc_data[sku]),ROW(bhpc_data[sku])),""),ROWS($A$15:A198)+$B$3)),INDEX(bhpc_data[sku],SMALL(IF(ISNUMBER(MATCH(bhpc_data[sex],$EC$11,0)*MATCH(bhpc_data[size1],$EC$13,0)),MATCH(ROW(bhpc_data[sku]),ROW(bhpc_data[sku])),""),ROWS($A$15:A198)+$B$3)))),IF($EC$11="",IF($EC$13="",INDEX(bhpc_data[sku],SMALL(IF(ISNUMBER(MATCH(bhpc_data[category],$EC$9,0)),MATCH(ROW(bhpc_data[sku]),ROW(bhpc_data[sku])),""),ROWS($A$15:A198)+$B$3)),INDEX(bhpc_data[sku],SMALL(IF(ISNUMBER(MATCH(bhpc_data[category],$EC$9,0)*MATCH(bhpc_data[size1],$EC$13,0)),MATCH(ROW(bhpc_data[sku]),ROW(bhpc_data[sku])),""),ROWS($A$15:A198)+$B$3))),IF($EC$13="",INDEX(bhpc_data[sku],SMALL(IF(ISNUMBER(MATCH(bhpc_data[category],$EC$9,0)*MATCH(bhpc_data[sex],$EC$11,0)),MATCH(ROW(bhpc_data[sku]),ROW(bhpc_data[sku])),""),ROWS($A$15:A198)+$B$3)),INDEX(bhpc_data[sku],SMALL(IF(ISNUMBER(MATCH(bhpc_data[category],$EC$9,0)*MATCH(bhpc_data[sex],$EC$11,0)*MATCH(bhpc_data[size1],$EC$13,0)),MATCH(ROW(bhpc_data[sku]),ROW(bhpc_data[sku])),""),ROWS($A$15:A198)+$B$3))))),"")</f>
        <v/>
      </c>
      <c r="EF193" s="542" t="str" cm="1">
        <f t="array" ref="EF193">IFERROR(IF($EC$9="",IF($EC$11="",IF($EC$13="",INDEX(bhpc_data[description],SMALL(MATCH(ROW(bhpc_data[sku]),ROW(bhpc_data[sku])),ROWS($A$15:A198)+$B$3)),INDEX(bhpc_data[description],SMALL(IF(ISNUMBER(MATCH(bhpc_data[size1],$EC$13,0)),MATCH(ROW(bhpc_data[sku]),ROW(bhpc_data[sku])),""),ROWS($A$15:A198)+$B$3))),IF($EC$13="",INDEX(bhpc_data[description],SMALL(IF(ISNUMBER(MATCH(bhpc_data[sex],$EC$11,0)),MATCH(ROW(bhpc_data[sku]),ROW(bhpc_data[sku])),""),ROWS($A$15:A198)+$B$3)),INDEX(bhpc_data[description],SMALL(IF(ISNUMBER(MATCH(bhpc_data[sex],$EC$11,0)*MATCH(bhpc_data[size1],$EC$13,0)),MATCH(ROW(bhpc_data[sku]),ROW(bhpc_data[sku])),""),ROWS($A$15:A198)+$B$3)))),IF($EC$11="",IF($EC$13="",INDEX(bhpc_data[description],SMALL(IF(ISNUMBER(MATCH(bhpc_data[category],$EC$9,0)),MATCH(ROW(bhpc_data[sku]),ROW(bhpc_data[sku])),""),ROWS($A$15:A198)+$B$3)),INDEX(bhpc_data[description],SMALL(IF(ISNUMBER(MATCH(bhpc_data[category],$EC$9,0)*MATCH(bhpc_data[size1],$EC$13,0)),MATCH(ROW(bhpc_data[sku]),ROW(bhpc_data[sku])),""),ROWS($A$15:A198)+$B$3))),IF($EC$13="",INDEX(bhpc_data[description],SMALL(IF(ISNUMBER(MATCH(bhpc_data[category],$EC$9,0)*MATCH(bhpc_data[sex],$EC$11,0)),MATCH(ROW(bhpc_data[sku]),ROW(bhpc_data[sku])),""),ROWS($A$15:A198)+$B$3)),INDEX(bhpc_data[description],SMALL(IF(ISNUMBER(MATCH(bhpc_data[category],$EC$9,0)*MATCH(bhpc_data[sex],$EC$11,0)*MATCH(bhpc_data[size1],$EC$13,0)),MATCH(ROW(bhpc_data[sku]),ROW(bhpc_data[sku])),""),ROWS($A$15:A198)+$B$3))))),"")</f>
        <v/>
      </c>
      <c r="EG193" s="543" t="str">
        <f>IFERROR(IF('BHPC MANAGER'!$EE193="","",INDEX(inventory[ESISTENZA],MATCH('BHPC MANAGER'!$EE193,inventory[ARTICOLO],0))),0)</f>
        <v/>
      </c>
      <c r="EH193" s="544"/>
      <c r="EI193" s="544" t="str">
        <f t="shared" si="14"/>
        <v/>
      </c>
      <c r="EJ193" s="545"/>
      <c r="EK193" s="546" t="str">
        <f t="shared" si="15"/>
        <v/>
      </c>
    </row>
    <row r="194" spans="63:141" x14ac:dyDescent="0.35">
      <c r="BK194" s="366"/>
      <c r="BL194" s="367"/>
      <c r="BM194" s="368"/>
      <c r="BN194" s="367"/>
      <c r="BO194" s="368"/>
      <c r="EE194" s="547" t="str" cm="1">
        <f t="array" ref="EE194">IFERROR(IF($EC$9="",IF($EC$11="",IF($EC$13="",INDEX(bhpc_data[sku],SMALL(MATCH(ROW(bhpc_data[sku]),ROW(bhpc_data[sku])),ROWS($A$15:A199)+$B$3)),INDEX(bhpc_data[sku],SMALL(IF(ISNUMBER(MATCH(bhpc_data[size1],$EC$13,0)),MATCH(ROW(bhpc_data[sku]),ROW(bhpc_data[sku])),""),ROWS($A$15:A199)+$B$3))),IF($EC$13="",INDEX(bhpc_data[sku],SMALL(IF(ISNUMBER(MATCH(bhpc_data[sex],$EC$11,0)),MATCH(ROW(bhpc_data[sku]),ROW(bhpc_data[sku])),""),ROWS($A$15:A199)+$B$3)),INDEX(bhpc_data[sku],SMALL(IF(ISNUMBER(MATCH(bhpc_data[sex],$EC$11,0)*MATCH(bhpc_data[size1],$EC$13,0)),MATCH(ROW(bhpc_data[sku]),ROW(bhpc_data[sku])),""),ROWS($A$15:A199)+$B$3)))),IF($EC$11="",IF($EC$13="",INDEX(bhpc_data[sku],SMALL(IF(ISNUMBER(MATCH(bhpc_data[category],$EC$9,0)),MATCH(ROW(bhpc_data[sku]),ROW(bhpc_data[sku])),""),ROWS($A$15:A199)+$B$3)),INDEX(bhpc_data[sku],SMALL(IF(ISNUMBER(MATCH(bhpc_data[category],$EC$9,0)*MATCH(bhpc_data[size1],$EC$13,0)),MATCH(ROW(bhpc_data[sku]),ROW(bhpc_data[sku])),""),ROWS($A$15:A199)+$B$3))),IF($EC$13="",INDEX(bhpc_data[sku],SMALL(IF(ISNUMBER(MATCH(bhpc_data[category],$EC$9,0)*MATCH(bhpc_data[sex],$EC$11,0)),MATCH(ROW(bhpc_data[sku]),ROW(bhpc_data[sku])),""),ROWS($A$15:A199)+$B$3)),INDEX(bhpc_data[sku],SMALL(IF(ISNUMBER(MATCH(bhpc_data[category],$EC$9,0)*MATCH(bhpc_data[sex],$EC$11,0)*MATCH(bhpc_data[size1],$EC$13,0)),MATCH(ROW(bhpc_data[sku]),ROW(bhpc_data[sku])),""),ROWS($A$15:A199)+$B$3))))),"")</f>
        <v/>
      </c>
      <c r="EF194" s="548" t="str" cm="1">
        <f t="array" ref="EF194">IFERROR(IF($EC$9="",IF($EC$11="",IF($EC$13="",INDEX(bhpc_data[description],SMALL(MATCH(ROW(bhpc_data[sku]),ROW(bhpc_data[sku])),ROWS($A$15:A199)+$B$3)),INDEX(bhpc_data[description],SMALL(IF(ISNUMBER(MATCH(bhpc_data[size1],$EC$13,0)),MATCH(ROW(bhpc_data[sku]),ROW(bhpc_data[sku])),""),ROWS($A$15:A199)+$B$3))),IF($EC$13="",INDEX(bhpc_data[description],SMALL(IF(ISNUMBER(MATCH(bhpc_data[sex],$EC$11,0)),MATCH(ROW(bhpc_data[sku]),ROW(bhpc_data[sku])),""),ROWS($A$15:A199)+$B$3)),INDEX(bhpc_data[description],SMALL(IF(ISNUMBER(MATCH(bhpc_data[sex],$EC$11,0)*MATCH(bhpc_data[size1],$EC$13,0)),MATCH(ROW(bhpc_data[sku]),ROW(bhpc_data[sku])),""),ROWS($A$15:A199)+$B$3)))),IF($EC$11="",IF($EC$13="",INDEX(bhpc_data[description],SMALL(IF(ISNUMBER(MATCH(bhpc_data[category],$EC$9,0)),MATCH(ROW(bhpc_data[sku]),ROW(bhpc_data[sku])),""),ROWS($A$15:A199)+$B$3)),INDEX(bhpc_data[description],SMALL(IF(ISNUMBER(MATCH(bhpc_data[category],$EC$9,0)*MATCH(bhpc_data[size1],$EC$13,0)),MATCH(ROW(bhpc_data[sku]),ROW(bhpc_data[sku])),""),ROWS($A$15:A199)+$B$3))),IF($EC$13="",INDEX(bhpc_data[description],SMALL(IF(ISNUMBER(MATCH(bhpc_data[category],$EC$9,0)*MATCH(bhpc_data[sex],$EC$11,0)),MATCH(ROW(bhpc_data[sku]),ROW(bhpc_data[sku])),""),ROWS($A$15:A199)+$B$3)),INDEX(bhpc_data[description],SMALL(IF(ISNUMBER(MATCH(bhpc_data[category],$EC$9,0)*MATCH(bhpc_data[sex],$EC$11,0)*MATCH(bhpc_data[size1],$EC$13,0)),MATCH(ROW(bhpc_data[sku]),ROW(bhpc_data[sku])),""),ROWS($A$15:A199)+$B$3))))),"")</f>
        <v/>
      </c>
      <c r="EG194" s="549" t="str">
        <f>IFERROR(IF('BHPC MANAGER'!$EE194="","",INDEX(inventory[ESISTENZA],MATCH('BHPC MANAGER'!$EE194,inventory[ARTICOLO],0))),0)</f>
        <v/>
      </c>
      <c r="EH194" s="550"/>
      <c r="EI194" s="550" t="str">
        <f t="shared" si="14"/>
        <v/>
      </c>
      <c r="EJ194" s="551"/>
      <c r="EK194" s="552" t="str">
        <f t="shared" si="15"/>
        <v/>
      </c>
    </row>
    <row r="195" spans="63:141" x14ac:dyDescent="0.35">
      <c r="BK195" s="366"/>
      <c r="BL195" s="367"/>
      <c r="BM195" s="368"/>
      <c r="BN195" s="367"/>
      <c r="BO195" s="368"/>
      <c r="EE195" s="541" t="str" cm="1">
        <f t="array" ref="EE195">IFERROR(IF($EC$9="",IF($EC$11="",IF($EC$13="",INDEX(bhpc_data[sku],SMALL(MATCH(ROW(bhpc_data[sku]),ROW(bhpc_data[sku])),ROWS($A$15:A200)+$B$3)),INDEX(bhpc_data[sku],SMALL(IF(ISNUMBER(MATCH(bhpc_data[size1],$EC$13,0)),MATCH(ROW(bhpc_data[sku]),ROW(bhpc_data[sku])),""),ROWS($A$15:A200)+$B$3))),IF($EC$13="",INDEX(bhpc_data[sku],SMALL(IF(ISNUMBER(MATCH(bhpc_data[sex],$EC$11,0)),MATCH(ROW(bhpc_data[sku]),ROW(bhpc_data[sku])),""),ROWS($A$15:A200)+$B$3)),INDEX(bhpc_data[sku],SMALL(IF(ISNUMBER(MATCH(bhpc_data[sex],$EC$11,0)*MATCH(bhpc_data[size1],$EC$13,0)),MATCH(ROW(bhpc_data[sku]),ROW(bhpc_data[sku])),""),ROWS($A$15:A200)+$B$3)))),IF($EC$11="",IF($EC$13="",INDEX(bhpc_data[sku],SMALL(IF(ISNUMBER(MATCH(bhpc_data[category],$EC$9,0)),MATCH(ROW(bhpc_data[sku]),ROW(bhpc_data[sku])),""),ROWS($A$15:A200)+$B$3)),INDEX(bhpc_data[sku],SMALL(IF(ISNUMBER(MATCH(bhpc_data[category],$EC$9,0)*MATCH(bhpc_data[size1],$EC$13,0)),MATCH(ROW(bhpc_data[sku]),ROW(bhpc_data[sku])),""),ROWS($A$15:A200)+$B$3))),IF($EC$13="",INDEX(bhpc_data[sku],SMALL(IF(ISNUMBER(MATCH(bhpc_data[category],$EC$9,0)*MATCH(bhpc_data[sex],$EC$11,0)),MATCH(ROW(bhpc_data[sku]),ROW(bhpc_data[sku])),""),ROWS($A$15:A200)+$B$3)),INDEX(bhpc_data[sku],SMALL(IF(ISNUMBER(MATCH(bhpc_data[category],$EC$9,0)*MATCH(bhpc_data[sex],$EC$11,0)*MATCH(bhpc_data[size1],$EC$13,0)),MATCH(ROW(bhpc_data[sku]),ROW(bhpc_data[sku])),""),ROWS($A$15:A200)+$B$3))))),"")</f>
        <v/>
      </c>
      <c r="EF195" s="542" t="str" cm="1">
        <f t="array" ref="EF195">IFERROR(IF($EC$9="",IF($EC$11="",IF($EC$13="",INDEX(bhpc_data[description],SMALL(MATCH(ROW(bhpc_data[sku]),ROW(bhpc_data[sku])),ROWS($A$15:A200)+$B$3)),INDEX(bhpc_data[description],SMALL(IF(ISNUMBER(MATCH(bhpc_data[size1],$EC$13,0)),MATCH(ROW(bhpc_data[sku]),ROW(bhpc_data[sku])),""),ROWS($A$15:A200)+$B$3))),IF($EC$13="",INDEX(bhpc_data[description],SMALL(IF(ISNUMBER(MATCH(bhpc_data[sex],$EC$11,0)),MATCH(ROW(bhpc_data[sku]),ROW(bhpc_data[sku])),""),ROWS($A$15:A200)+$B$3)),INDEX(bhpc_data[description],SMALL(IF(ISNUMBER(MATCH(bhpc_data[sex],$EC$11,0)*MATCH(bhpc_data[size1],$EC$13,0)),MATCH(ROW(bhpc_data[sku]),ROW(bhpc_data[sku])),""),ROWS($A$15:A200)+$B$3)))),IF($EC$11="",IF($EC$13="",INDEX(bhpc_data[description],SMALL(IF(ISNUMBER(MATCH(bhpc_data[category],$EC$9,0)),MATCH(ROW(bhpc_data[sku]),ROW(bhpc_data[sku])),""),ROWS($A$15:A200)+$B$3)),INDEX(bhpc_data[description],SMALL(IF(ISNUMBER(MATCH(bhpc_data[category],$EC$9,0)*MATCH(bhpc_data[size1],$EC$13,0)),MATCH(ROW(bhpc_data[sku]),ROW(bhpc_data[sku])),""),ROWS($A$15:A200)+$B$3))),IF($EC$13="",INDEX(bhpc_data[description],SMALL(IF(ISNUMBER(MATCH(bhpc_data[category],$EC$9,0)*MATCH(bhpc_data[sex],$EC$11,0)),MATCH(ROW(bhpc_data[sku]),ROW(bhpc_data[sku])),""),ROWS($A$15:A200)+$B$3)),INDEX(bhpc_data[description],SMALL(IF(ISNUMBER(MATCH(bhpc_data[category],$EC$9,0)*MATCH(bhpc_data[sex],$EC$11,0)*MATCH(bhpc_data[size1],$EC$13,0)),MATCH(ROW(bhpc_data[sku]),ROW(bhpc_data[sku])),""),ROWS($A$15:A200)+$B$3))))),"")</f>
        <v/>
      </c>
      <c r="EG195" s="543" t="str">
        <f>IFERROR(IF('BHPC MANAGER'!$EE195="","",INDEX(inventory[ESISTENZA],MATCH('BHPC MANAGER'!$EE195,inventory[ARTICOLO],0))),0)</f>
        <v/>
      </c>
      <c r="EH195" s="544"/>
      <c r="EI195" s="544" t="str">
        <f t="shared" si="14"/>
        <v/>
      </c>
      <c r="EJ195" s="545"/>
      <c r="EK195" s="546" t="str">
        <f t="shared" si="15"/>
        <v/>
      </c>
    </row>
    <row r="196" spans="63:141" x14ac:dyDescent="0.35">
      <c r="BK196" s="366"/>
      <c r="BL196" s="367"/>
      <c r="BM196" s="368"/>
      <c r="BN196" s="367"/>
      <c r="BO196" s="368"/>
      <c r="EE196" s="547" t="str" cm="1">
        <f t="array" ref="EE196">IFERROR(IF($EC$9="",IF($EC$11="",IF($EC$13="",INDEX(bhpc_data[sku],SMALL(MATCH(ROW(bhpc_data[sku]),ROW(bhpc_data[sku])),ROWS($A$15:A201)+$B$3)),INDEX(bhpc_data[sku],SMALL(IF(ISNUMBER(MATCH(bhpc_data[size1],$EC$13,0)),MATCH(ROW(bhpc_data[sku]),ROW(bhpc_data[sku])),""),ROWS($A$15:A201)+$B$3))),IF($EC$13="",INDEX(bhpc_data[sku],SMALL(IF(ISNUMBER(MATCH(bhpc_data[sex],$EC$11,0)),MATCH(ROW(bhpc_data[sku]),ROW(bhpc_data[sku])),""),ROWS($A$15:A201)+$B$3)),INDEX(bhpc_data[sku],SMALL(IF(ISNUMBER(MATCH(bhpc_data[sex],$EC$11,0)*MATCH(bhpc_data[size1],$EC$13,0)),MATCH(ROW(bhpc_data[sku]),ROW(bhpc_data[sku])),""),ROWS($A$15:A201)+$B$3)))),IF($EC$11="",IF($EC$13="",INDEX(bhpc_data[sku],SMALL(IF(ISNUMBER(MATCH(bhpc_data[category],$EC$9,0)),MATCH(ROW(bhpc_data[sku]),ROW(bhpc_data[sku])),""),ROWS($A$15:A201)+$B$3)),INDEX(bhpc_data[sku],SMALL(IF(ISNUMBER(MATCH(bhpc_data[category],$EC$9,0)*MATCH(bhpc_data[size1],$EC$13,0)),MATCH(ROW(bhpc_data[sku]),ROW(bhpc_data[sku])),""),ROWS($A$15:A201)+$B$3))),IF($EC$13="",INDEX(bhpc_data[sku],SMALL(IF(ISNUMBER(MATCH(bhpc_data[category],$EC$9,0)*MATCH(bhpc_data[sex],$EC$11,0)),MATCH(ROW(bhpc_data[sku]),ROW(bhpc_data[sku])),""),ROWS($A$15:A201)+$B$3)),INDEX(bhpc_data[sku],SMALL(IF(ISNUMBER(MATCH(bhpc_data[category],$EC$9,0)*MATCH(bhpc_data[sex],$EC$11,0)*MATCH(bhpc_data[size1],$EC$13,0)),MATCH(ROW(bhpc_data[sku]),ROW(bhpc_data[sku])),""),ROWS($A$15:A201)+$B$3))))),"")</f>
        <v/>
      </c>
      <c r="EF196" s="548" t="str" cm="1">
        <f t="array" ref="EF196">IFERROR(IF($EC$9="",IF($EC$11="",IF($EC$13="",INDEX(bhpc_data[description],SMALL(MATCH(ROW(bhpc_data[sku]),ROW(bhpc_data[sku])),ROWS($A$15:A201)+$B$3)),INDEX(bhpc_data[description],SMALL(IF(ISNUMBER(MATCH(bhpc_data[size1],$EC$13,0)),MATCH(ROW(bhpc_data[sku]),ROW(bhpc_data[sku])),""),ROWS($A$15:A201)+$B$3))),IF($EC$13="",INDEX(bhpc_data[description],SMALL(IF(ISNUMBER(MATCH(bhpc_data[sex],$EC$11,0)),MATCH(ROW(bhpc_data[sku]),ROW(bhpc_data[sku])),""),ROWS($A$15:A201)+$B$3)),INDEX(bhpc_data[description],SMALL(IF(ISNUMBER(MATCH(bhpc_data[sex],$EC$11,0)*MATCH(bhpc_data[size1],$EC$13,0)),MATCH(ROW(bhpc_data[sku]),ROW(bhpc_data[sku])),""),ROWS($A$15:A201)+$B$3)))),IF($EC$11="",IF($EC$13="",INDEX(bhpc_data[description],SMALL(IF(ISNUMBER(MATCH(bhpc_data[category],$EC$9,0)),MATCH(ROW(bhpc_data[sku]),ROW(bhpc_data[sku])),""),ROWS($A$15:A201)+$B$3)),INDEX(bhpc_data[description],SMALL(IF(ISNUMBER(MATCH(bhpc_data[category],$EC$9,0)*MATCH(bhpc_data[size1],$EC$13,0)),MATCH(ROW(bhpc_data[sku]),ROW(bhpc_data[sku])),""),ROWS($A$15:A201)+$B$3))),IF($EC$13="",INDEX(bhpc_data[description],SMALL(IF(ISNUMBER(MATCH(bhpc_data[category],$EC$9,0)*MATCH(bhpc_data[sex],$EC$11,0)),MATCH(ROW(bhpc_data[sku]),ROW(bhpc_data[sku])),""),ROWS($A$15:A201)+$B$3)),INDEX(bhpc_data[description],SMALL(IF(ISNUMBER(MATCH(bhpc_data[category],$EC$9,0)*MATCH(bhpc_data[sex],$EC$11,0)*MATCH(bhpc_data[size1],$EC$13,0)),MATCH(ROW(bhpc_data[sku]),ROW(bhpc_data[sku])),""),ROWS($A$15:A201)+$B$3))))),"")</f>
        <v/>
      </c>
      <c r="EG196" s="549" t="str">
        <f>IFERROR(IF('BHPC MANAGER'!$EE196="","",INDEX(inventory[ESISTENZA],MATCH('BHPC MANAGER'!$EE196,inventory[ARTICOLO],0))),0)</f>
        <v/>
      </c>
      <c r="EH196" s="550"/>
      <c r="EI196" s="550" t="str">
        <f t="shared" si="14"/>
        <v/>
      </c>
      <c r="EJ196" s="551"/>
      <c r="EK196" s="552" t="str">
        <f t="shared" si="15"/>
        <v/>
      </c>
    </row>
    <row r="197" spans="63:141" x14ac:dyDescent="0.35">
      <c r="BK197" s="366"/>
      <c r="BL197" s="367"/>
      <c r="BM197" s="368"/>
      <c r="BN197" s="367"/>
      <c r="BO197" s="368"/>
      <c r="EE197" s="541" t="str" cm="1">
        <f t="array" ref="EE197">IFERROR(IF($EC$9="",IF($EC$11="",IF($EC$13="",INDEX(bhpc_data[sku],SMALL(MATCH(ROW(bhpc_data[sku]),ROW(bhpc_data[sku])),ROWS($A$15:A202)+$B$3)),INDEX(bhpc_data[sku],SMALL(IF(ISNUMBER(MATCH(bhpc_data[size1],$EC$13,0)),MATCH(ROW(bhpc_data[sku]),ROW(bhpc_data[sku])),""),ROWS($A$15:A202)+$B$3))),IF($EC$13="",INDEX(bhpc_data[sku],SMALL(IF(ISNUMBER(MATCH(bhpc_data[sex],$EC$11,0)),MATCH(ROW(bhpc_data[sku]),ROW(bhpc_data[sku])),""),ROWS($A$15:A202)+$B$3)),INDEX(bhpc_data[sku],SMALL(IF(ISNUMBER(MATCH(bhpc_data[sex],$EC$11,0)*MATCH(bhpc_data[size1],$EC$13,0)),MATCH(ROW(bhpc_data[sku]),ROW(bhpc_data[sku])),""),ROWS($A$15:A202)+$B$3)))),IF($EC$11="",IF($EC$13="",INDEX(bhpc_data[sku],SMALL(IF(ISNUMBER(MATCH(bhpc_data[category],$EC$9,0)),MATCH(ROW(bhpc_data[sku]),ROW(bhpc_data[sku])),""),ROWS($A$15:A202)+$B$3)),INDEX(bhpc_data[sku],SMALL(IF(ISNUMBER(MATCH(bhpc_data[category],$EC$9,0)*MATCH(bhpc_data[size1],$EC$13,0)),MATCH(ROW(bhpc_data[sku]),ROW(bhpc_data[sku])),""),ROWS($A$15:A202)+$B$3))),IF($EC$13="",INDEX(bhpc_data[sku],SMALL(IF(ISNUMBER(MATCH(bhpc_data[category],$EC$9,0)*MATCH(bhpc_data[sex],$EC$11,0)),MATCH(ROW(bhpc_data[sku]),ROW(bhpc_data[sku])),""),ROWS($A$15:A202)+$B$3)),INDEX(bhpc_data[sku],SMALL(IF(ISNUMBER(MATCH(bhpc_data[category],$EC$9,0)*MATCH(bhpc_data[sex],$EC$11,0)*MATCH(bhpc_data[size1],$EC$13,0)),MATCH(ROW(bhpc_data[sku]),ROW(bhpc_data[sku])),""),ROWS($A$15:A202)+$B$3))))),"")</f>
        <v/>
      </c>
      <c r="EF197" s="542" t="str" cm="1">
        <f t="array" ref="EF197">IFERROR(IF($EC$9="",IF($EC$11="",IF($EC$13="",INDEX(bhpc_data[description],SMALL(MATCH(ROW(bhpc_data[sku]),ROW(bhpc_data[sku])),ROWS($A$15:A202)+$B$3)),INDEX(bhpc_data[description],SMALL(IF(ISNUMBER(MATCH(bhpc_data[size1],$EC$13,0)),MATCH(ROW(bhpc_data[sku]),ROW(bhpc_data[sku])),""),ROWS($A$15:A202)+$B$3))),IF($EC$13="",INDEX(bhpc_data[description],SMALL(IF(ISNUMBER(MATCH(bhpc_data[sex],$EC$11,0)),MATCH(ROW(bhpc_data[sku]),ROW(bhpc_data[sku])),""),ROWS($A$15:A202)+$B$3)),INDEX(bhpc_data[description],SMALL(IF(ISNUMBER(MATCH(bhpc_data[sex],$EC$11,0)*MATCH(bhpc_data[size1],$EC$13,0)),MATCH(ROW(bhpc_data[sku]),ROW(bhpc_data[sku])),""),ROWS($A$15:A202)+$B$3)))),IF($EC$11="",IF($EC$13="",INDEX(bhpc_data[description],SMALL(IF(ISNUMBER(MATCH(bhpc_data[category],$EC$9,0)),MATCH(ROW(bhpc_data[sku]),ROW(bhpc_data[sku])),""),ROWS($A$15:A202)+$B$3)),INDEX(bhpc_data[description],SMALL(IF(ISNUMBER(MATCH(bhpc_data[category],$EC$9,0)*MATCH(bhpc_data[size1],$EC$13,0)),MATCH(ROW(bhpc_data[sku]),ROW(bhpc_data[sku])),""),ROWS($A$15:A202)+$B$3))),IF($EC$13="",INDEX(bhpc_data[description],SMALL(IF(ISNUMBER(MATCH(bhpc_data[category],$EC$9,0)*MATCH(bhpc_data[sex],$EC$11,0)),MATCH(ROW(bhpc_data[sku]),ROW(bhpc_data[sku])),""),ROWS($A$15:A202)+$B$3)),INDEX(bhpc_data[description],SMALL(IF(ISNUMBER(MATCH(bhpc_data[category],$EC$9,0)*MATCH(bhpc_data[sex],$EC$11,0)*MATCH(bhpc_data[size1],$EC$13,0)),MATCH(ROW(bhpc_data[sku]),ROW(bhpc_data[sku])),""),ROWS($A$15:A202)+$B$3))))),"")</f>
        <v/>
      </c>
      <c r="EG197" s="543" t="str">
        <f>IFERROR(IF('BHPC MANAGER'!$EE197="","",INDEX(inventory[ESISTENZA],MATCH('BHPC MANAGER'!$EE197,inventory[ARTICOLO],0))),0)</f>
        <v/>
      </c>
      <c r="EH197" s="544"/>
      <c r="EI197" s="544" t="str">
        <f t="shared" si="14"/>
        <v/>
      </c>
      <c r="EJ197" s="545"/>
      <c r="EK197" s="546" t="str">
        <f t="shared" si="15"/>
        <v/>
      </c>
    </row>
    <row r="198" spans="63:141" x14ac:dyDescent="0.35">
      <c r="BK198" s="366"/>
      <c r="BL198" s="367"/>
      <c r="BM198" s="368"/>
      <c r="BN198" s="367"/>
      <c r="BO198" s="368"/>
      <c r="EE198" s="547" t="str" cm="1">
        <f t="array" ref="EE198">IFERROR(IF($EC$9="",IF($EC$11="",IF($EC$13="",INDEX(bhpc_data[sku],SMALL(MATCH(ROW(bhpc_data[sku]),ROW(bhpc_data[sku])),ROWS($A$15:A203)+$B$3)),INDEX(bhpc_data[sku],SMALL(IF(ISNUMBER(MATCH(bhpc_data[size1],$EC$13,0)),MATCH(ROW(bhpc_data[sku]),ROW(bhpc_data[sku])),""),ROWS($A$15:A203)+$B$3))),IF($EC$13="",INDEX(bhpc_data[sku],SMALL(IF(ISNUMBER(MATCH(bhpc_data[sex],$EC$11,0)),MATCH(ROW(bhpc_data[sku]),ROW(bhpc_data[sku])),""),ROWS($A$15:A203)+$B$3)),INDEX(bhpc_data[sku],SMALL(IF(ISNUMBER(MATCH(bhpc_data[sex],$EC$11,0)*MATCH(bhpc_data[size1],$EC$13,0)),MATCH(ROW(bhpc_data[sku]),ROW(bhpc_data[sku])),""),ROWS($A$15:A203)+$B$3)))),IF($EC$11="",IF($EC$13="",INDEX(bhpc_data[sku],SMALL(IF(ISNUMBER(MATCH(bhpc_data[category],$EC$9,0)),MATCH(ROW(bhpc_data[sku]),ROW(bhpc_data[sku])),""),ROWS($A$15:A203)+$B$3)),INDEX(bhpc_data[sku],SMALL(IF(ISNUMBER(MATCH(bhpc_data[category],$EC$9,0)*MATCH(bhpc_data[size1],$EC$13,0)),MATCH(ROW(bhpc_data[sku]),ROW(bhpc_data[sku])),""),ROWS($A$15:A203)+$B$3))),IF($EC$13="",INDEX(bhpc_data[sku],SMALL(IF(ISNUMBER(MATCH(bhpc_data[category],$EC$9,0)*MATCH(bhpc_data[sex],$EC$11,0)),MATCH(ROW(bhpc_data[sku]),ROW(bhpc_data[sku])),""),ROWS($A$15:A203)+$B$3)),INDEX(bhpc_data[sku],SMALL(IF(ISNUMBER(MATCH(bhpc_data[category],$EC$9,0)*MATCH(bhpc_data[sex],$EC$11,0)*MATCH(bhpc_data[size1],$EC$13,0)),MATCH(ROW(bhpc_data[sku]),ROW(bhpc_data[sku])),""),ROWS($A$15:A203)+$B$3))))),"")</f>
        <v/>
      </c>
      <c r="EF198" s="548" t="str" cm="1">
        <f t="array" ref="EF198">IFERROR(IF($EC$9="",IF($EC$11="",IF($EC$13="",INDEX(bhpc_data[description],SMALL(MATCH(ROW(bhpc_data[sku]),ROW(bhpc_data[sku])),ROWS($A$15:A203)+$B$3)),INDEX(bhpc_data[description],SMALL(IF(ISNUMBER(MATCH(bhpc_data[size1],$EC$13,0)),MATCH(ROW(bhpc_data[sku]),ROW(bhpc_data[sku])),""),ROWS($A$15:A203)+$B$3))),IF($EC$13="",INDEX(bhpc_data[description],SMALL(IF(ISNUMBER(MATCH(bhpc_data[sex],$EC$11,0)),MATCH(ROW(bhpc_data[sku]),ROW(bhpc_data[sku])),""),ROWS($A$15:A203)+$B$3)),INDEX(bhpc_data[description],SMALL(IF(ISNUMBER(MATCH(bhpc_data[sex],$EC$11,0)*MATCH(bhpc_data[size1],$EC$13,0)),MATCH(ROW(bhpc_data[sku]),ROW(bhpc_data[sku])),""),ROWS($A$15:A203)+$B$3)))),IF($EC$11="",IF($EC$13="",INDEX(bhpc_data[description],SMALL(IF(ISNUMBER(MATCH(bhpc_data[category],$EC$9,0)),MATCH(ROW(bhpc_data[sku]),ROW(bhpc_data[sku])),""),ROWS($A$15:A203)+$B$3)),INDEX(bhpc_data[description],SMALL(IF(ISNUMBER(MATCH(bhpc_data[category],$EC$9,0)*MATCH(bhpc_data[size1],$EC$13,0)),MATCH(ROW(bhpc_data[sku]),ROW(bhpc_data[sku])),""),ROWS($A$15:A203)+$B$3))),IF($EC$13="",INDEX(bhpc_data[description],SMALL(IF(ISNUMBER(MATCH(bhpc_data[category],$EC$9,0)*MATCH(bhpc_data[sex],$EC$11,0)),MATCH(ROW(bhpc_data[sku]),ROW(bhpc_data[sku])),""),ROWS($A$15:A203)+$B$3)),INDEX(bhpc_data[description],SMALL(IF(ISNUMBER(MATCH(bhpc_data[category],$EC$9,0)*MATCH(bhpc_data[sex],$EC$11,0)*MATCH(bhpc_data[size1],$EC$13,0)),MATCH(ROW(bhpc_data[sku]),ROW(bhpc_data[sku])),""),ROWS($A$15:A203)+$B$3))))),"")</f>
        <v/>
      </c>
      <c r="EG198" s="549" t="str">
        <f>IFERROR(IF('BHPC MANAGER'!$EE198="","",INDEX(inventory[ESISTENZA],MATCH('BHPC MANAGER'!$EE198,inventory[ARTICOLO],0))),0)</f>
        <v/>
      </c>
      <c r="EH198" s="550"/>
      <c r="EI198" s="550" t="str">
        <f t="shared" si="14"/>
        <v/>
      </c>
      <c r="EJ198" s="551"/>
      <c r="EK198" s="552" t="str">
        <f t="shared" si="15"/>
        <v/>
      </c>
    </row>
    <row r="199" spans="63:141" x14ac:dyDescent="0.35">
      <c r="BK199" s="366"/>
      <c r="BL199" s="367"/>
      <c r="BM199" s="368"/>
      <c r="BN199" s="367"/>
      <c r="BO199" s="368"/>
      <c r="EE199" s="541" t="str" cm="1">
        <f t="array" ref="EE199">IFERROR(IF($EC$9="",IF($EC$11="",IF($EC$13="",INDEX(bhpc_data[sku],SMALL(MATCH(ROW(bhpc_data[sku]),ROW(bhpc_data[sku])),ROWS($A$15:A204)+$B$3)),INDEX(bhpc_data[sku],SMALL(IF(ISNUMBER(MATCH(bhpc_data[size1],$EC$13,0)),MATCH(ROW(bhpc_data[sku]),ROW(bhpc_data[sku])),""),ROWS($A$15:A204)+$B$3))),IF($EC$13="",INDEX(bhpc_data[sku],SMALL(IF(ISNUMBER(MATCH(bhpc_data[sex],$EC$11,0)),MATCH(ROW(bhpc_data[sku]),ROW(bhpc_data[sku])),""),ROWS($A$15:A204)+$B$3)),INDEX(bhpc_data[sku],SMALL(IF(ISNUMBER(MATCH(bhpc_data[sex],$EC$11,0)*MATCH(bhpc_data[size1],$EC$13,0)),MATCH(ROW(bhpc_data[sku]),ROW(bhpc_data[sku])),""),ROWS($A$15:A204)+$B$3)))),IF($EC$11="",IF($EC$13="",INDEX(bhpc_data[sku],SMALL(IF(ISNUMBER(MATCH(bhpc_data[category],$EC$9,0)),MATCH(ROW(bhpc_data[sku]),ROW(bhpc_data[sku])),""),ROWS($A$15:A204)+$B$3)),INDEX(bhpc_data[sku],SMALL(IF(ISNUMBER(MATCH(bhpc_data[category],$EC$9,0)*MATCH(bhpc_data[size1],$EC$13,0)),MATCH(ROW(bhpc_data[sku]),ROW(bhpc_data[sku])),""),ROWS($A$15:A204)+$B$3))),IF($EC$13="",INDEX(bhpc_data[sku],SMALL(IF(ISNUMBER(MATCH(bhpc_data[category],$EC$9,0)*MATCH(bhpc_data[sex],$EC$11,0)),MATCH(ROW(bhpc_data[sku]),ROW(bhpc_data[sku])),""),ROWS($A$15:A204)+$B$3)),INDEX(bhpc_data[sku],SMALL(IF(ISNUMBER(MATCH(bhpc_data[category],$EC$9,0)*MATCH(bhpc_data[sex],$EC$11,0)*MATCH(bhpc_data[size1],$EC$13,0)),MATCH(ROW(bhpc_data[sku]),ROW(bhpc_data[sku])),""),ROWS($A$15:A204)+$B$3))))),"")</f>
        <v/>
      </c>
      <c r="EF199" s="542" t="str" cm="1">
        <f t="array" ref="EF199">IFERROR(IF($EC$9="",IF($EC$11="",IF($EC$13="",INDEX(bhpc_data[description],SMALL(MATCH(ROW(bhpc_data[sku]),ROW(bhpc_data[sku])),ROWS($A$15:A204)+$B$3)),INDEX(bhpc_data[description],SMALL(IF(ISNUMBER(MATCH(bhpc_data[size1],$EC$13,0)),MATCH(ROW(bhpc_data[sku]),ROW(bhpc_data[sku])),""),ROWS($A$15:A204)+$B$3))),IF($EC$13="",INDEX(bhpc_data[description],SMALL(IF(ISNUMBER(MATCH(bhpc_data[sex],$EC$11,0)),MATCH(ROW(bhpc_data[sku]),ROW(bhpc_data[sku])),""),ROWS($A$15:A204)+$B$3)),INDEX(bhpc_data[description],SMALL(IF(ISNUMBER(MATCH(bhpc_data[sex],$EC$11,0)*MATCH(bhpc_data[size1],$EC$13,0)),MATCH(ROW(bhpc_data[sku]),ROW(bhpc_data[sku])),""),ROWS($A$15:A204)+$B$3)))),IF($EC$11="",IF($EC$13="",INDEX(bhpc_data[description],SMALL(IF(ISNUMBER(MATCH(bhpc_data[category],$EC$9,0)),MATCH(ROW(bhpc_data[sku]),ROW(bhpc_data[sku])),""),ROWS($A$15:A204)+$B$3)),INDEX(bhpc_data[description],SMALL(IF(ISNUMBER(MATCH(bhpc_data[category],$EC$9,0)*MATCH(bhpc_data[size1],$EC$13,0)),MATCH(ROW(bhpc_data[sku]),ROW(bhpc_data[sku])),""),ROWS($A$15:A204)+$B$3))),IF($EC$13="",INDEX(bhpc_data[description],SMALL(IF(ISNUMBER(MATCH(bhpc_data[category],$EC$9,0)*MATCH(bhpc_data[sex],$EC$11,0)),MATCH(ROW(bhpc_data[sku]),ROW(bhpc_data[sku])),""),ROWS($A$15:A204)+$B$3)),INDEX(bhpc_data[description],SMALL(IF(ISNUMBER(MATCH(bhpc_data[category],$EC$9,0)*MATCH(bhpc_data[sex],$EC$11,0)*MATCH(bhpc_data[size1],$EC$13,0)),MATCH(ROW(bhpc_data[sku]),ROW(bhpc_data[sku])),""),ROWS($A$15:A204)+$B$3))))),"")</f>
        <v/>
      </c>
      <c r="EG199" s="543" t="str">
        <f>IFERROR(IF('BHPC MANAGER'!$EE199="","",INDEX(inventory[ESISTENZA],MATCH('BHPC MANAGER'!$EE199,inventory[ARTICOLO],0))),0)</f>
        <v/>
      </c>
      <c r="EH199" s="544"/>
      <c r="EI199" s="544" t="str">
        <f t="shared" si="14"/>
        <v/>
      </c>
      <c r="EJ199" s="545"/>
      <c r="EK199" s="546" t="str">
        <f t="shared" si="15"/>
        <v/>
      </c>
    </row>
    <row r="200" spans="63:141" x14ac:dyDescent="0.35">
      <c r="BK200" s="366"/>
      <c r="BL200" s="367"/>
      <c r="BM200" s="368"/>
      <c r="BN200" s="367"/>
      <c r="BO200" s="368"/>
      <c r="EE200" s="547" t="str" cm="1">
        <f t="array" ref="EE200">IFERROR(IF($EC$9="",IF($EC$11="",IF($EC$13="",INDEX(bhpc_data[sku],SMALL(MATCH(ROW(bhpc_data[sku]),ROW(bhpc_data[sku])),ROWS($A$15:A205)+$B$3)),INDEX(bhpc_data[sku],SMALL(IF(ISNUMBER(MATCH(bhpc_data[size1],$EC$13,0)),MATCH(ROW(bhpc_data[sku]),ROW(bhpc_data[sku])),""),ROWS($A$15:A205)+$B$3))),IF($EC$13="",INDEX(bhpc_data[sku],SMALL(IF(ISNUMBER(MATCH(bhpc_data[sex],$EC$11,0)),MATCH(ROW(bhpc_data[sku]),ROW(bhpc_data[sku])),""),ROWS($A$15:A205)+$B$3)),INDEX(bhpc_data[sku],SMALL(IF(ISNUMBER(MATCH(bhpc_data[sex],$EC$11,0)*MATCH(bhpc_data[size1],$EC$13,0)),MATCH(ROW(bhpc_data[sku]),ROW(bhpc_data[sku])),""),ROWS($A$15:A205)+$B$3)))),IF($EC$11="",IF($EC$13="",INDEX(bhpc_data[sku],SMALL(IF(ISNUMBER(MATCH(bhpc_data[category],$EC$9,0)),MATCH(ROW(bhpc_data[sku]),ROW(bhpc_data[sku])),""),ROWS($A$15:A205)+$B$3)),INDEX(bhpc_data[sku],SMALL(IF(ISNUMBER(MATCH(bhpc_data[category],$EC$9,0)*MATCH(bhpc_data[size1],$EC$13,0)),MATCH(ROW(bhpc_data[sku]),ROW(bhpc_data[sku])),""),ROWS($A$15:A205)+$B$3))),IF($EC$13="",INDEX(bhpc_data[sku],SMALL(IF(ISNUMBER(MATCH(bhpc_data[category],$EC$9,0)*MATCH(bhpc_data[sex],$EC$11,0)),MATCH(ROW(bhpc_data[sku]),ROW(bhpc_data[sku])),""),ROWS($A$15:A205)+$B$3)),INDEX(bhpc_data[sku],SMALL(IF(ISNUMBER(MATCH(bhpc_data[category],$EC$9,0)*MATCH(bhpc_data[sex],$EC$11,0)*MATCH(bhpc_data[size1],$EC$13,0)),MATCH(ROW(bhpc_data[sku]),ROW(bhpc_data[sku])),""),ROWS($A$15:A205)+$B$3))))),"")</f>
        <v/>
      </c>
      <c r="EF200" s="548" t="str" cm="1">
        <f t="array" ref="EF200">IFERROR(IF($EC$9="",IF($EC$11="",IF($EC$13="",INDEX(bhpc_data[description],SMALL(MATCH(ROW(bhpc_data[sku]),ROW(bhpc_data[sku])),ROWS($A$15:A205)+$B$3)),INDEX(bhpc_data[description],SMALL(IF(ISNUMBER(MATCH(bhpc_data[size1],$EC$13,0)),MATCH(ROW(bhpc_data[sku]),ROW(bhpc_data[sku])),""),ROWS($A$15:A205)+$B$3))),IF($EC$13="",INDEX(bhpc_data[description],SMALL(IF(ISNUMBER(MATCH(bhpc_data[sex],$EC$11,0)),MATCH(ROW(bhpc_data[sku]),ROW(bhpc_data[sku])),""),ROWS($A$15:A205)+$B$3)),INDEX(bhpc_data[description],SMALL(IF(ISNUMBER(MATCH(bhpc_data[sex],$EC$11,0)*MATCH(bhpc_data[size1],$EC$13,0)),MATCH(ROW(bhpc_data[sku]),ROW(bhpc_data[sku])),""),ROWS($A$15:A205)+$B$3)))),IF($EC$11="",IF($EC$13="",INDEX(bhpc_data[description],SMALL(IF(ISNUMBER(MATCH(bhpc_data[category],$EC$9,0)),MATCH(ROW(bhpc_data[sku]),ROW(bhpc_data[sku])),""),ROWS($A$15:A205)+$B$3)),INDEX(bhpc_data[description],SMALL(IF(ISNUMBER(MATCH(bhpc_data[category],$EC$9,0)*MATCH(bhpc_data[size1],$EC$13,0)),MATCH(ROW(bhpc_data[sku]),ROW(bhpc_data[sku])),""),ROWS($A$15:A205)+$B$3))),IF($EC$13="",INDEX(bhpc_data[description],SMALL(IF(ISNUMBER(MATCH(bhpc_data[category],$EC$9,0)*MATCH(bhpc_data[sex],$EC$11,0)),MATCH(ROW(bhpc_data[sku]),ROW(bhpc_data[sku])),""),ROWS($A$15:A205)+$B$3)),INDEX(bhpc_data[description],SMALL(IF(ISNUMBER(MATCH(bhpc_data[category],$EC$9,0)*MATCH(bhpc_data[sex],$EC$11,0)*MATCH(bhpc_data[size1],$EC$13,0)),MATCH(ROW(bhpc_data[sku]),ROW(bhpc_data[sku])),""),ROWS($A$15:A205)+$B$3))))),"")</f>
        <v/>
      </c>
      <c r="EG200" s="549" t="str">
        <f>IFERROR(IF('BHPC MANAGER'!$EE200="","",INDEX(inventory[ESISTENZA],MATCH('BHPC MANAGER'!$EE200,inventory[ARTICOLO],0))),0)</f>
        <v/>
      </c>
      <c r="EH200" s="550"/>
      <c r="EI200" s="550" t="str">
        <f t="shared" si="14"/>
        <v/>
      </c>
      <c r="EJ200" s="551"/>
      <c r="EK200" s="552" t="str">
        <f t="shared" si="15"/>
        <v/>
      </c>
    </row>
    <row r="201" spans="63:141" x14ac:dyDescent="0.35">
      <c r="BK201" s="366"/>
      <c r="BL201" s="367"/>
      <c r="BM201" s="368"/>
      <c r="BN201" s="367"/>
      <c r="BO201" s="368"/>
      <c r="EE201" s="541" t="str" cm="1">
        <f t="array" ref="EE201">IFERROR(IF($EC$9="",IF($EC$11="",IF($EC$13="",INDEX(bhpc_data[sku],SMALL(MATCH(ROW(bhpc_data[sku]),ROW(bhpc_data[sku])),ROWS($A$15:A206)+$B$3)),INDEX(bhpc_data[sku],SMALL(IF(ISNUMBER(MATCH(bhpc_data[size1],$EC$13,0)),MATCH(ROW(bhpc_data[sku]),ROW(bhpc_data[sku])),""),ROWS($A$15:A206)+$B$3))),IF($EC$13="",INDEX(bhpc_data[sku],SMALL(IF(ISNUMBER(MATCH(bhpc_data[sex],$EC$11,0)),MATCH(ROW(bhpc_data[sku]),ROW(bhpc_data[sku])),""),ROWS($A$15:A206)+$B$3)),INDEX(bhpc_data[sku],SMALL(IF(ISNUMBER(MATCH(bhpc_data[sex],$EC$11,0)*MATCH(bhpc_data[size1],$EC$13,0)),MATCH(ROW(bhpc_data[sku]),ROW(bhpc_data[sku])),""),ROWS($A$15:A206)+$B$3)))),IF($EC$11="",IF($EC$13="",INDEX(bhpc_data[sku],SMALL(IF(ISNUMBER(MATCH(bhpc_data[category],$EC$9,0)),MATCH(ROW(bhpc_data[sku]),ROW(bhpc_data[sku])),""),ROWS($A$15:A206)+$B$3)),INDEX(bhpc_data[sku],SMALL(IF(ISNUMBER(MATCH(bhpc_data[category],$EC$9,0)*MATCH(bhpc_data[size1],$EC$13,0)),MATCH(ROW(bhpc_data[sku]),ROW(bhpc_data[sku])),""),ROWS($A$15:A206)+$B$3))),IF($EC$13="",INDEX(bhpc_data[sku],SMALL(IF(ISNUMBER(MATCH(bhpc_data[category],$EC$9,0)*MATCH(bhpc_data[sex],$EC$11,0)),MATCH(ROW(bhpc_data[sku]),ROW(bhpc_data[sku])),""),ROWS($A$15:A206)+$B$3)),INDEX(bhpc_data[sku],SMALL(IF(ISNUMBER(MATCH(bhpc_data[category],$EC$9,0)*MATCH(bhpc_data[sex],$EC$11,0)*MATCH(bhpc_data[size1],$EC$13,0)),MATCH(ROW(bhpc_data[sku]),ROW(bhpc_data[sku])),""),ROWS($A$15:A206)+$B$3))))),"")</f>
        <v/>
      </c>
      <c r="EF201" s="542" t="str" cm="1">
        <f t="array" ref="EF201">IFERROR(IF($EC$9="",IF($EC$11="",IF($EC$13="",INDEX(bhpc_data[description],SMALL(MATCH(ROW(bhpc_data[sku]),ROW(bhpc_data[sku])),ROWS($A$15:A206)+$B$3)),INDEX(bhpc_data[description],SMALL(IF(ISNUMBER(MATCH(bhpc_data[size1],$EC$13,0)),MATCH(ROW(bhpc_data[sku]),ROW(bhpc_data[sku])),""),ROWS($A$15:A206)+$B$3))),IF($EC$13="",INDEX(bhpc_data[description],SMALL(IF(ISNUMBER(MATCH(bhpc_data[sex],$EC$11,0)),MATCH(ROW(bhpc_data[sku]),ROW(bhpc_data[sku])),""),ROWS($A$15:A206)+$B$3)),INDEX(bhpc_data[description],SMALL(IF(ISNUMBER(MATCH(bhpc_data[sex],$EC$11,0)*MATCH(bhpc_data[size1],$EC$13,0)),MATCH(ROW(bhpc_data[sku]),ROW(bhpc_data[sku])),""),ROWS($A$15:A206)+$B$3)))),IF($EC$11="",IF($EC$13="",INDEX(bhpc_data[description],SMALL(IF(ISNUMBER(MATCH(bhpc_data[category],$EC$9,0)),MATCH(ROW(bhpc_data[sku]),ROW(bhpc_data[sku])),""),ROWS($A$15:A206)+$B$3)),INDEX(bhpc_data[description],SMALL(IF(ISNUMBER(MATCH(bhpc_data[category],$EC$9,0)*MATCH(bhpc_data[size1],$EC$13,0)),MATCH(ROW(bhpc_data[sku]),ROW(bhpc_data[sku])),""),ROWS($A$15:A206)+$B$3))),IF($EC$13="",INDEX(bhpc_data[description],SMALL(IF(ISNUMBER(MATCH(bhpc_data[category],$EC$9,0)*MATCH(bhpc_data[sex],$EC$11,0)),MATCH(ROW(bhpc_data[sku]),ROW(bhpc_data[sku])),""),ROWS($A$15:A206)+$B$3)),INDEX(bhpc_data[description],SMALL(IF(ISNUMBER(MATCH(bhpc_data[category],$EC$9,0)*MATCH(bhpc_data[sex],$EC$11,0)*MATCH(bhpc_data[size1],$EC$13,0)),MATCH(ROW(bhpc_data[sku]),ROW(bhpc_data[sku])),""),ROWS($A$15:A206)+$B$3))))),"")</f>
        <v/>
      </c>
      <c r="EG201" s="543" t="str">
        <f>IFERROR(IF('BHPC MANAGER'!$EE201="","",INDEX(inventory[ESISTENZA],MATCH('BHPC MANAGER'!$EE201,inventory[ARTICOLO],0))),0)</f>
        <v/>
      </c>
      <c r="EH201" s="544"/>
      <c r="EI201" s="544" t="str">
        <f t="shared" si="14"/>
        <v/>
      </c>
      <c r="EJ201" s="545"/>
      <c r="EK201" s="546" t="str">
        <f t="shared" si="15"/>
        <v/>
      </c>
    </row>
    <row r="202" spans="63:141" x14ac:dyDescent="0.35">
      <c r="BK202" s="366"/>
      <c r="BL202" s="367"/>
      <c r="BM202" s="368"/>
      <c r="BN202" s="367"/>
      <c r="BO202" s="368"/>
      <c r="EE202" s="547" t="str" cm="1">
        <f t="array" ref="EE202">IFERROR(IF($EC$9="",IF($EC$11="",IF($EC$13="",INDEX(bhpc_data[sku],SMALL(MATCH(ROW(bhpc_data[sku]),ROW(bhpc_data[sku])),ROWS($A$15:A207)+$B$3)),INDEX(bhpc_data[sku],SMALL(IF(ISNUMBER(MATCH(bhpc_data[size1],$EC$13,0)),MATCH(ROW(bhpc_data[sku]),ROW(bhpc_data[sku])),""),ROWS($A$15:A207)+$B$3))),IF($EC$13="",INDEX(bhpc_data[sku],SMALL(IF(ISNUMBER(MATCH(bhpc_data[sex],$EC$11,0)),MATCH(ROW(bhpc_data[sku]),ROW(bhpc_data[sku])),""),ROWS($A$15:A207)+$B$3)),INDEX(bhpc_data[sku],SMALL(IF(ISNUMBER(MATCH(bhpc_data[sex],$EC$11,0)*MATCH(bhpc_data[size1],$EC$13,0)),MATCH(ROW(bhpc_data[sku]),ROW(bhpc_data[sku])),""),ROWS($A$15:A207)+$B$3)))),IF($EC$11="",IF($EC$13="",INDEX(bhpc_data[sku],SMALL(IF(ISNUMBER(MATCH(bhpc_data[category],$EC$9,0)),MATCH(ROW(bhpc_data[sku]),ROW(bhpc_data[sku])),""),ROWS($A$15:A207)+$B$3)),INDEX(bhpc_data[sku],SMALL(IF(ISNUMBER(MATCH(bhpc_data[category],$EC$9,0)*MATCH(bhpc_data[size1],$EC$13,0)),MATCH(ROW(bhpc_data[sku]),ROW(bhpc_data[sku])),""),ROWS($A$15:A207)+$B$3))),IF($EC$13="",INDEX(bhpc_data[sku],SMALL(IF(ISNUMBER(MATCH(bhpc_data[category],$EC$9,0)*MATCH(bhpc_data[sex],$EC$11,0)),MATCH(ROW(bhpc_data[sku]),ROW(bhpc_data[sku])),""),ROWS($A$15:A207)+$B$3)),INDEX(bhpc_data[sku],SMALL(IF(ISNUMBER(MATCH(bhpc_data[category],$EC$9,0)*MATCH(bhpc_data[sex],$EC$11,0)*MATCH(bhpc_data[size1],$EC$13,0)),MATCH(ROW(bhpc_data[sku]),ROW(bhpc_data[sku])),""),ROWS($A$15:A207)+$B$3))))),"")</f>
        <v/>
      </c>
      <c r="EF202" s="548" t="str" cm="1">
        <f t="array" ref="EF202">IFERROR(IF($EC$9="",IF($EC$11="",IF($EC$13="",INDEX(bhpc_data[description],SMALL(MATCH(ROW(bhpc_data[sku]),ROW(bhpc_data[sku])),ROWS($A$15:A207)+$B$3)),INDEX(bhpc_data[description],SMALL(IF(ISNUMBER(MATCH(bhpc_data[size1],$EC$13,0)),MATCH(ROW(bhpc_data[sku]),ROW(bhpc_data[sku])),""),ROWS($A$15:A207)+$B$3))),IF($EC$13="",INDEX(bhpc_data[description],SMALL(IF(ISNUMBER(MATCH(bhpc_data[sex],$EC$11,0)),MATCH(ROW(bhpc_data[sku]),ROW(bhpc_data[sku])),""),ROWS($A$15:A207)+$B$3)),INDEX(bhpc_data[description],SMALL(IF(ISNUMBER(MATCH(bhpc_data[sex],$EC$11,0)*MATCH(bhpc_data[size1],$EC$13,0)),MATCH(ROW(bhpc_data[sku]),ROW(bhpc_data[sku])),""),ROWS($A$15:A207)+$B$3)))),IF($EC$11="",IF($EC$13="",INDEX(bhpc_data[description],SMALL(IF(ISNUMBER(MATCH(bhpc_data[category],$EC$9,0)),MATCH(ROW(bhpc_data[sku]),ROW(bhpc_data[sku])),""),ROWS($A$15:A207)+$B$3)),INDEX(bhpc_data[description],SMALL(IF(ISNUMBER(MATCH(bhpc_data[category],$EC$9,0)*MATCH(bhpc_data[size1],$EC$13,0)),MATCH(ROW(bhpc_data[sku]),ROW(bhpc_data[sku])),""),ROWS($A$15:A207)+$B$3))),IF($EC$13="",INDEX(bhpc_data[description],SMALL(IF(ISNUMBER(MATCH(bhpc_data[category],$EC$9,0)*MATCH(bhpc_data[sex],$EC$11,0)),MATCH(ROW(bhpc_data[sku]),ROW(bhpc_data[sku])),""),ROWS($A$15:A207)+$B$3)),INDEX(bhpc_data[description],SMALL(IF(ISNUMBER(MATCH(bhpc_data[category],$EC$9,0)*MATCH(bhpc_data[sex],$EC$11,0)*MATCH(bhpc_data[size1],$EC$13,0)),MATCH(ROW(bhpc_data[sku]),ROW(bhpc_data[sku])),""),ROWS($A$15:A207)+$B$3))))),"")</f>
        <v/>
      </c>
      <c r="EG202" s="549" t="str">
        <f>IFERROR(IF('BHPC MANAGER'!$EE202="","",INDEX(inventory[ESISTENZA],MATCH('BHPC MANAGER'!$EE202,inventory[ARTICOLO],0))),0)</f>
        <v/>
      </c>
      <c r="EH202" s="550"/>
      <c r="EI202" s="550" t="str">
        <f t="shared" si="14"/>
        <v/>
      </c>
      <c r="EJ202" s="551"/>
      <c r="EK202" s="552" t="str">
        <f t="shared" si="15"/>
        <v/>
      </c>
    </row>
    <row r="203" spans="63:141" x14ac:dyDescent="0.35">
      <c r="BK203" s="366"/>
      <c r="BL203" s="367"/>
      <c r="BM203" s="368"/>
      <c r="BN203" s="367"/>
      <c r="BO203" s="368"/>
      <c r="EE203" s="541" t="str" cm="1">
        <f t="array" ref="EE203">IFERROR(IF($EC$9="",IF($EC$11="",IF($EC$13="",INDEX(bhpc_data[sku],SMALL(MATCH(ROW(bhpc_data[sku]),ROW(bhpc_data[sku])),ROWS($A$15:A208)+$B$3)),INDEX(bhpc_data[sku],SMALL(IF(ISNUMBER(MATCH(bhpc_data[size1],$EC$13,0)),MATCH(ROW(bhpc_data[sku]),ROW(bhpc_data[sku])),""),ROWS($A$15:A208)+$B$3))),IF($EC$13="",INDEX(bhpc_data[sku],SMALL(IF(ISNUMBER(MATCH(bhpc_data[sex],$EC$11,0)),MATCH(ROW(bhpc_data[sku]),ROW(bhpc_data[sku])),""),ROWS($A$15:A208)+$B$3)),INDEX(bhpc_data[sku],SMALL(IF(ISNUMBER(MATCH(bhpc_data[sex],$EC$11,0)*MATCH(bhpc_data[size1],$EC$13,0)),MATCH(ROW(bhpc_data[sku]),ROW(bhpc_data[sku])),""),ROWS($A$15:A208)+$B$3)))),IF($EC$11="",IF($EC$13="",INDEX(bhpc_data[sku],SMALL(IF(ISNUMBER(MATCH(bhpc_data[category],$EC$9,0)),MATCH(ROW(bhpc_data[sku]),ROW(bhpc_data[sku])),""),ROWS($A$15:A208)+$B$3)),INDEX(bhpc_data[sku],SMALL(IF(ISNUMBER(MATCH(bhpc_data[category],$EC$9,0)*MATCH(bhpc_data[size1],$EC$13,0)),MATCH(ROW(bhpc_data[sku]),ROW(bhpc_data[sku])),""),ROWS($A$15:A208)+$B$3))),IF($EC$13="",INDEX(bhpc_data[sku],SMALL(IF(ISNUMBER(MATCH(bhpc_data[category],$EC$9,0)*MATCH(bhpc_data[sex],$EC$11,0)),MATCH(ROW(bhpc_data[sku]),ROW(bhpc_data[sku])),""),ROWS($A$15:A208)+$B$3)),INDEX(bhpc_data[sku],SMALL(IF(ISNUMBER(MATCH(bhpc_data[category],$EC$9,0)*MATCH(bhpc_data[sex],$EC$11,0)*MATCH(bhpc_data[size1],$EC$13,0)),MATCH(ROW(bhpc_data[sku]),ROW(bhpc_data[sku])),""),ROWS($A$15:A208)+$B$3))))),"")</f>
        <v/>
      </c>
      <c r="EF203" s="542" t="str" cm="1">
        <f t="array" ref="EF203">IFERROR(IF($EC$9="",IF($EC$11="",IF($EC$13="",INDEX(bhpc_data[description],SMALL(MATCH(ROW(bhpc_data[sku]),ROW(bhpc_data[sku])),ROWS($A$15:A208)+$B$3)),INDEX(bhpc_data[description],SMALL(IF(ISNUMBER(MATCH(bhpc_data[size1],$EC$13,0)),MATCH(ROW(bhpc_data[sku]),ROW(bhpc_data[sku])),""),ROWS($A$15:A208)+$B$3))),IF($EC$13="",INDEX(bhpc_data[description],SMALL(IF(ISNUMBER(MATCH(bhpc_data[sex],$EC$11,0)),MATCH(ROW(bhpc_data[sku]),ROW(bhpc_data[sku])),""),ROWS($A$15:A208)+$B$3)),INDEX(bhpc_data[description],SMALL(IF(ISNUMBER(MATCH(bhpc_data[sex],$EC$11,0)*MATCH(bhpc_data[size1],$EC$13,0)),MATCH(ROW(bhpc_data[sku]),ROW(bhpc_data[sku])),""),ROWS($A$15:A208)+$B$3)))),IF($EC$11="",IF($EC$13="",INDEX(bhpc_data[description],SMALL(IF(ISNUMBER(MATCH(bhpc_data[category],$EC$9,0)),MATCH(ROW(bhpc_data[sku]),ROW(bhpc_data[sku])),""),ROWS($A$15:A208)+$B$3)),INDEX(bhpc_data[description],SMALL(IF(ISNUMBER(MATCH(bhpc_data[category],$EC$9,0)*MATCH(bhpc_data[size1],$EC$13,0)),MATCH(ROW(bhpc_data[sku]),ROW(bhpc_data[sku])),""),ROWS($A$15:A208)+$B$3))),IF($EC$13="",INDEX(bhpc_data[description],SMALL(IF(ISNUMBER(MATCH(bhpc_data[category],$EC$9,0)*MATCH(bhpc_data[sex],$EC$11,0)),MATCH(ROW(bhpc_data[sku]),ROW(bhpc_data[sku])),""),ROWS($A$15:A208)+$B$3)),INDEX(bhpc_data[description],SMALL(IF(ISNUMBER(MATCH(bhpc_data[category],$EC$9,0)*MATCH(bhpc_data[sex],$EC$11,0)*MATCH(bhpc_data[size1],$EC$13,0)),MATCH(ROW(bhpc_data[sku]),ROW(bhpc_data[sku])),""),ROWS($A$15:A208)+$B$3))))),"")</f>
        <v/>
      </c>
      <c r="EG203" s="543" t="str">
        <f>IFERROR(IF('BHPC MANAGER'!$EE203="","",INDEX(inventory[ESISTENZA],MATCH('BHPC MANAGER'!$EE203,inventory[ARTICOLO],0))),0)</f>
        <v/>
      </c>
      <c r="EH203" s="544"/>
      <c r="EI203" s="544" t="str">
        <f t="shared" ref="EI203:EI250" si="16">IF(EE203="","",IFERROR(EG203+EH203,EG203))</f>
        <v/>
      </c>
      <c r="EJ203" s="545"/>
      <c r="EK203" s="546" t="str">
        <f t="shared" ref="EK203:EK250" si="17">IF(EE203="","",IFERROR(EI203+EJ203,EI203))</f>
        <v/>
      </c>
    </row>
    <row r="204" spans="63:141" x14ac:dyDescent="0.35">
      <c r="BK204" s="366"/>
      <c r="BL204" s="367"/>
      <c r="BM204" s="368"/>
      <c r="BN204" s="367"/>
      <c r="BO204" s="368"/>
      <c r="EE204" s="547" t="str" cm="1">
        <f t="array" ref="EE204">IFERROR(IF($EC$9="",IF($EC$11="",IF($EC$13="",INDEX(bhpc_data[sku],SMALL(MATCH(ROW(bhpc_data[sku]),ROW(bhpc_data[sku])),ROWS($A$15:A209)+$B$3)),INDEX(bhpc_data[sku],SMALL(IF(ISNUMBER(MATCH(bhpc_data[size1],$EC$13,0)),MATCH(ROW(bhpc_data[sku]),ROW(bhpc_data[sku])),""),ROWS($A$15:A209)+$B$3))),IF($EC$13="",INDEX(bhpc_data[sku],SMALL(IF(ISNUMBER(MATCH(bhpc_data[sex],$EC$11,0)),MATCH(ROW(bhpc_data[sku]),ROW(bhpc_data[sku])),""),ROWS($A$15:A209)+$B$3)),INDEX(bhpc_data[sku],SMALL(IF(ISNUMBER(MATCH(bhpc_data[sex],$EC$11,0)*MATCH(bhpc_data[size1],$EC$13,0)),MATCH(ROW(bhpc_data[sku]),ROW(bhpc_data[sku])),""),ROWS($A$15:A209)+$B$3)))),IF($EC$11="",IF($EC$13="",INDEX(bhpc_data[sku],SMALL(IF(ISNUMBER(MATCH(bhpc_data[category],$EC$9,0)),MATCH(ROW(bhpc_data[sku]),ROW(bhpc_data[sku])),""),ROWS($A$15:A209)+$B$3)),INDEX(bhpc_data[sku],SMALL(IF(ISNUMBER(MATCH(bhpc_data[category],$EC$9,0)*MATCH(bhpc_data[size1],$EC$13,0)),MATCH(ROW(bhpc_data[sku]),ROW(bhpc_data[sku])),""),ROWS($A$15:A209)+$B$3))),IF($EC$13="",INDEX(bhpc_data[sku],SMALL(IF(ISNUMBER(MATCH(bhpc_data[category],$EC$9,0)*MATCH(bhpc_data[sex],$EC$11,0)),MATCH(ROW(bhpc_data[sku]),ROW(bhpc_data[sku])),""),ROWS($A$15:A209)+$B$3)),INDEX(bhpc_data[sku],SMALL(IF(ISNUMBER(MATCH(bhpc_data[category],$EC$9,0)*MATCH(bhpc_data[sex],$EC$11,0)*MATCH(bhpc_data[size1],$EC$13,0)),MATCH(ROW(bhpc_data[sku]),ROW(bhpc_data[sku])),""),ROWS($A$15:A209)+$B$3))))),"")</f>
        <v/>
      </c>
      <c r="EF204" s="548" t="str" cm="1">
        <f t="array" ref="EF204">IFERROR(IF($EC$9="",IF($EC$11="",IF($EC$13="",INDEX(bhpc_data[description],SMALL(MATCH(ROW(bhpc_data[sku]),ROW(bhpc_data[sku])),ROWS($A$15:A209)+$B$3)),INDEX(bhpc_data[description],SMALL(IF(ISNUMBER(MATCH(bhpc_data[size1],$EC$13,0)),MATCH(ROW(bhpc_data[sku]),ROW(bhpc_data[sku])),""),ROWS($A$15:A209)+$B$3))),IF($EC$13="",INDEX(bhpc_data[description],SMALL(IF(ISNUMBER(MATCH(bhpc_data[sex],$EC$11,0)),MATCH(ROW(bhpc_data[sku]),ROW(bhpc_data[sku])),""),ROWS($A$15:A209)+$B$3)),INDEX(bhpc_data[description],SMALL(IF(ISNUMBER(MATCH(bhpc_data[sex],$EC$11,0)*MATCH(bhpc_data[size1],$EC$13,0)),MATCH(ROW(bhpc_data[sku]),ROW(bhpc_data[sku])),""),ROWS($A$15:A209)+$B$3)))),IF($EC$11="",IF($EC$13="",INDEX(bhpc_data[description],SMALL(IF(ISNUMBER(MATCH(bhpc_data[category],$EC$9,0)),MATCH(ROW(bhpc_data[sku]),ROW(bhpc_data[sku])),""),ROWS($A$15:A209)+$B$3)),INDEX(bhpc_data[description],SMALL(IF(ISNUMBER(MATCH(bhpc_data[category],$EC$9,0)*MATCH(bhpc_data[size1],$EC$13,0)),MATCH(ROW(bhpc_data[sku]),ROW(bhpc_data[sku])),""),ROWS($A$15:A209)+$B$3))),IF($EC$13="",INDEX(bhpc_data[description],SMALL(IF(ISNUMBER(MATCH(bhpc_data[category],$EC$9,0)*MATCH(bhpc_data[sex],$EC$11,0)),MATCH(ROW(bhpc_data[sku]),ROW(bhpc_data[sku])),""),ROWS($A$15:A209)+$B$3)),INDEX(bhpc_data[description],SMALL(IF(ISNUMBER(MATCH(bhpc_data[category],$EC$9,0)*MATCH(bhpc_data[sex],$EC$11,0)*MATCH(bhpc_data[size1],$EC$13,0)),MATCH(ROW(bhpc_data[sku]),ROW(bhpc_data[sku])),""),ROWS($A$15:A209)+$B$3))))),"")</f>
        <v/>
      </c>
      <c r="EG204" s="549" t="str">
        <f>IFERROR(IF('BHPC MANAGER'!$EE204="","",INDEX(inventory[ESISTENZA],MATCH('BHPC MANAGER'!$EE204,inventory[ARTICOLO],0))),0)</f>
        <v/>
      </c>
      <c r="EH204" s="550"/>
      <c r="EI204" s="550" t="str">
        <f t="shared" si="16"/>
        <v/>
      </c>
      <c r="EJ204" s="551"/>
      <c r="EK204" s="552" t="str">
        <f t="shared" si="17"/>
        <v/>
      </c>
    </row>
    <row r="205" spans="63:141" x14ac:dyDescent="0.35">
      <c r="BK205" s="366"/>
      <c r="BL205" s="367"/>
      <c r="BM205" s="368"/>
      <c r="BN205" s="367"/>
      <c r="BO205" s="368"/>
      <c r="EE205" s="541" t="str" cm="1">
        <f t="array" ref="EE205">IFERROR(IF($EC$9="",IF($EC$11="",IF($EC$13="",INDEX(bhpc_data[sku],SMALL(MATCH(ROW(bhpc_data[sku]),ROW(bhpc_data[sku])),ROWS($A$15:A210)+$B$3)),INDEX(bhpc_data[sku],SMALL(IF(ISNUMBER(MATCH(bhpc_data[size1],$EC$13,0)),MATCH(ROW(bhpc_data[sku]),ROW(bhpc_data[sku])),""),ROWS($A$15:A210)+$B$3))),IF($EC$13="",INDEX(bhpc_data[sku],SMALL(IF(ISNUMBER(MATCH(bhpc_data[sex],$EC$11,0)),MATCH(ROW(bhpc_data[sku]),ROW(bhpc_data[sku])),""),ROWS($A$15:A210)+$B$3)),INDEX(bhpc_data[sku],SMALL(IF(ISNUMBER(MATCH(bhpc_data[sex],$EC$11,0)*MATCH(bhpc_data[size1],$EC$13,0)),MATCH(ROW(bhpc_data[sku]),ROW(bhpc_data[sku])),""),ROWS($A$15:A210)+$B$3)))),IF($EC$11="",IF($EC$13="",INDEX(bhpc_data[sku],SMALL(IF(ISNUMBER(MATCH(bhpc_data[category],$EC$9,0)),MATCH(ROW(bhpc_data[sku]),ROW(bhpc_data[sku])),""),ROWS($A$15:A210)+$B$3)),INDEX(bhpc_data[sku],SMALL(IF(ISNUMBER(MATCH(bhpc_data[category],$EC$9,0)*MATCH(bhpc_data[size1],$EC$13,0)),MATCH(ROW(bhpc_data[sku]),ROW(bhpc_data[sku])),""),ROWS($A$15:A210)+$B$3))),IF($EC$13="",INDEX(bhpc_data[sku],SMALL(IF(ISNUMBER(MATCH(bhpc_data[category],$EC$9,0)*MATCH(bhpc_data[sex],$EC$11,0)),MATCH(ROW(bhpc_data[sku]),ROW(bhpc_data[sku])),""),ROWS($A$15:A210)+$B$3)),INDEX(bhpc_data[sku],SMALL(IF(ISNUMBER(MATCH(bhpc_data[category],$EC$9,0)*MATCH(bhpc_data[sex],$EC$11,0)*MATCH(bhpc_data[size1],$EC$13,0)),MATCH(ROW(bhpc_data[sku]),ROW(bhpc_data[sku])),""),ROWS($A$15:A210)+$B$3))))),"")</f>
        <v/>
      </c>
      <c r="EF205" s="542" t="str" cm="1">
        <f t="array" ref="EF205">IFERROR(IF($EC$9="",IF($EC$11="",IF($EC$13="",INDEX(bhpc_data[description],SMALL(MATCH(ROW(bhpc_data[sku]),ROW(bhpc_data[sku])),ROWS($A$15:A210)+$B$3)),INDEX(bhpc_data[description],SMALL(IF(ISNUMBER(MATCH(bhpc_data[size1],$EC$13,0)),MATCH(ROW(bhpc_data[sku]),ROW(bhpc_data[sku])),""),ROWS($A$15:A210)+$B$3))),IF($EC$13="",INDEX(bhpc_data[description],SMALL(IF(ISNUMBER(MATCH(bhpc_data[sex],$EC$11,0)),MATCH(ROW(bhpc_data[sku]),ROW(bhpc_data[sku])),""),ROWS($A$15:A210)+$B$3)),INDEX(bhpc_data[description],SMALL(IF(ISNUMBER(MATCH(bhpc_data[sex],$EC$11,0)*MATCH(bhpc_data[size1],$EC$13,0)),MATCH(ROW(bhpc_data[sku]),ROW(bhpc_data[sku])),""),ROWS($A$15:A210)+$B$3)))),IF($EC$11="",IF($EC$13="",INDEX(bhpc_data[description],SMALL(IF(ISNUMBER(MATCH(bhpc_data[category],$EC$9,0)),MATCH(ROW(bhpc_data[sku]),ROW(bhpc_data[sku])),""),ROWS($A$15:A210)+$B$3)),INDEX(bhpc_data[description],SMALL(IF(ISNUMBER(MATCH(bhpc_data[category],$EC$9,0)*MATCH(bhpc_data[size1],$EC$13,0)),MATCH(ROW(bhpc_data[sku]),ROW(bhpc_data[sku])),""),ROWS($A$15:A210)+$B$3))),IF($EC$13="",INDEX(bhpc_data[description],SMALL(IF(ISNUMBER(MATCH(bhpc_data[category],$EC$9,0)*MATCH(bhpc_data[sex],$EC$11,0)),MATCH(ROW(bhpc_data[sku]),ROW(bhpc_data[sku])),""),ROWS($A$15:A210)+$B$3)),INDEX(bhpc_data[description],SMALL(IF(ISNUMBER(MATCH(bhpc_data[category],$EC$9,0)*MATCH(bhpc_data[sex],$EC$11,0)*MATCH(bhpc_data[size1],$EC$13,0)),MATCH(ROW(bhpc_data[sku]),ROW(bhpc_data[sku])),""),ROWS($A$15:A210)+$B$3))))),"")</f>
        <v/>
      </c>
      <c r="EG205" s="543" t="str">
        <f>IFERROR(IF('BHPC MANAGER'!$EE205="","",INDEX(inventory[ESISTENZA],MATCH('BHPC MANAGER'!$EE205,inventory[ARTICOLO],0))),0)</f>
        <v/>
      </c>
      <c r="EH205" s="544"/>
      <c r="EI205" s="544" t="str">
        <f t="shared" si="16"/>
        <v/>
      </c>
      <c r="EJ205" s="545"/>
      <c r="EK205" s="546" t="str">
        <f t="shared" si="17"/>
        <v/>
      </c>
    </row>
    <row r="206" spans="63:141" x14ac:dyDescent="0.35">
      <c r="BK206" s="366"/>
      <c r="BL206" s="367"/>
      <c r="BM206" s="368"/>
      <c r="BN206" s="367"/>
      <c r="BO206" s="368"/>
      <c r="EE206" s="547" t="str" cm="1">
        <f t="array" ref="EE206">IFERROR(IF($EC$9="",IF($EC$11="",IF($EC$13="",INDEX(bhpc_data[sku],SMALL(MATCH(ROW(bhpc_data[sku]),ROW(bhpc_data[sku])),ROWS($A$15:A211)+$B$3)),INDEX(bhpc_data[sku],SMALL(IF(ISNUMBER(MATCH(bhpc_data[size1],$EC$13,0)),MATCH(ROW(bhpc_data[sku]),ROW(bhpc_data[sku])),""),ROWS($A$15:A211)+$B$3))),IF($EC$13="",INDEX(bhpc_data[sku],SMALL(IF(ISNUMBER(MATCH(bhpc_data[sex],$EC$11,0)),MATCH(ROW(bhpc_data[sku]),ROW(bhpc_data[sku])),""),ROWS($A$15:A211)+$B$3)),INDEX(bhpc_data[sku],SMALL(IF(ISNUMBER(MATCH(bhpc_data[sex],$EC$11,0)*MATCH(bhpc_data[size1],$EC$13,0)),MATCH(ROW(bhpc_data[sku]),ROW(bhpc_data[sku])),""),ROWS($A$15:A211)+$B$3)))),IF($EC$11="",IF($EC$13="",INDEX(bhpc_data[sku],SMALL(IF(ISNUMBER(MATCH(bhpc_data[category],$EC$9,0)),MATCH(ROW(bhpc_data[sku]),ROW(bhpc_data[sku])),""),ROWS($A$15:A211)+$B$3)),INDEX(bhpc_data[sku],SMALL(IF(ISNUMBER(MATCH(bhpc_data[category],$EC$9,0)*MATCH(bhpc_data[size1],$EC$13,0)),MATCH(ROW(bhpc_data[sku]),ROW(bhpc_data[sku])),""),ROWS($A$15:A211)+$B$3))),IF($EC$13="",INDEX(bhpc_data[sku],SMALL(IF(ISNUMBER(MATCH(bhpc_data[category],$EC$9,0)*MATCH(bhpc_data[sex],$EC$11,0)),MATCH(ROW(bhpc_data[sku]),ROW(bhpc_data[sku])),""),ROWS($A$15:A211)+$B$3)),INDEX(bhpc_data[sku],SMALL(IF(ISNUMBER(MATCH(bhpc_data[category],$EC$9,0)*MATCH(bhpc_data[sex],$EC$11,0)*MATCH(bhpc_data[size1],$EC$13,0)),MATCH(ROW(bhpc_data[sku]),ROW(bhpc_data[sku])),""),ROWS($A$15:A211)+$B$3))))),"")</f>
        <v/>
      </c>
      <c r="EF206" s="548" t="str" cm="1">
        <f t="array" ref="EF206">IFERROR(IF($EC$9="",IF($EC$11="",IF($EC$13="",INDEX(bhpc_data[description],SMALL(MATCH(ROW(bhpc_data[sku]),ROW(bhpc_data[sku])),ROWS($A$15:A211)+$B$3)),INDEX(bhpc_data[description],SMALL(IF(ISNUMBER(MATCH(bhpc_data[size1],$EC$13,0)),MATCH(ROW(bhpc_data[sku]),ROW(bhpc_data[sku])),""),ROWS($A$15:A211)+$B$3))),IF($EC$13="",INDEX(bhpc_data[description],SMALL(IF(ISNUMBER(MATCH(bhpc_data[sex],$EC$11,0)),MATCH(ROW(bhpc_data[sku]),ROW(bhpc_data[sku])),""),ROWS($A$15:A211)+$B$3)),INDEX(bhpc_data[description],SMALL(IF(ISNUMBER(MATCH(bhpc_data[sex],$EC$11,0)*MATCH(bhpc_data[size1],$EC$13,0)),MATCH(ROW(bhpc_data[sku]),ROW(bhpc_data[sku])),""),ROWS($A$15:A211)+$B$3)))),IF($EC$11="",IF($EC$13="",INDEX(bhpc_data[description],SMALL(IF(ISNUMBER(MATCH(bhpc_data[category],$EC$9,0)),MATCH(ROW(bhpc_data[sku]),ROW(bhpc_data[sku])),""),ROWS($A$15:A211)+$B$3)),INDEX(bhpc_data[description],SMALL(IF(ISNUMBER(MATCH(bhpc_data[category],$EC$9,0)*MATCH(bhpc_data[size1],$EC$13,0)),MATCH(ROW(bhpc_data[sku]),ROW(bhpc_data[sku])),""),ROWS($A$15:A211)+$B$3))),IF($EC$13="",INDEX(bhpc_data[description],SMALL(IF(ISNUMBER(MATCH(bhpc_data[category],$EC$9,0)*MATCH(bhpc_data[sex],$EC$11,0)),MATCH(ROW(bhpc_data[sku]),ROW(bhpc_data[sku])),""),ROWS($A$15:A211)+$B$3)),INDEX(bhpc_data[description],SMALL(IF(ISNUMBER(MATCH(bhpc_data[category],$EC$9,0)*MATCH(bhpc_data[sex],$EC$11,0)*MATCH(bhpc_data[size1],$EC$13,0)),MATCH(ROW(bhpc_data[sku]),ROW(bhpc_data[sku])),""),ROWS($A$15:A211)+$B$3))))),"")</f>
        <v/>
      </c>
      <c r="EG206" s="549" t="str">
        <f>IFERROR(IF('BHPC MANAGER'!$EE206="","",INDEX(inventory[ESISTENZA],MATCH('BHPC MANAGER'!$EE206,inventory[ARTICOLO],0))),0)</f>
        <v/>
      </c>
      <c r="EH206" s="550"/>
      <c r="EI206" s="550" t="str">
        <f t="shared" si="16"/>
        <v/>
      </c>
      <c r="EJ206" s="551"/>
      <c r="EK206" s="552" t="str">
        <f t="shared" si="17"/>
        <v/>
      </c>
    </row>
    <row r="207" spans="63:141" x14ac:dyDescent="0.35">
      <c r="BK207" s="366"/>
      <c r="BL207" s="367"/>
      <c r="BM207" s="368"/>
      <c r="BN207" s="367"/>
      <c r="BO207" s="368"/>
      <c r="EE207" s="541" t="str" cm="1">
        <f t="array" ref="EE207">IFERROR(IF($EC$9="",IF($EC$11="",IF($EC$13="",INDEX(bhpc_data[sku],SMALL(MATCH(ROW(bhpc_data[sku]),ROW(bhpc_data[sku])),ROWS($A$15:A212)+$B$3)),INDEX(bhpc_data[sku],SMALL(IF(ISNUMBER(MATCH(bhpc_data[size1],$EC$13,0)),MATCH(ROW(bhpc_data[sku]),ROW(bhpc_data[sku])),""),ROWS($A$15:A212)+$B$3))),IF($EC$13="",INDEX(bhpc_data[sku],SMALL(IF(ISNUMBER(MATCH(bhpc_data[sex],$EC$11,0)),MATCH(ROW(bhpc_data[sku]),ROW(bhpc_data[sku])),""),ROWS($A$15:A212)+$B$3)),INDEX(bhpc_data[sku],SMALL(IF(ISNUMBER(MATCH(bhpc_data[sex],$EC$11,0)*MATCH(bhpc_data[size1],$EC$13,0)),MATCH(ROW(bhpc_data[sku]),ROW(bhpc_data[sku])),""),ROWS($A$15:A212)+$B$3)))),IF($EC$11="",IF($EC$13="",INDEX(bhpc_data[sku],SMALL(IF(ISNUMBER(MATCH(bhpc_data[category],$EC$9,0)),MATCH(ROW(bhpc_data[sku]),ROW(bhpc_data[sku])),""),ROWS($A$15:A212)+$B$3)),INDEX(bhpc_data[sku],SMALL(IF(ISNUMBER(MATCH(bhpc_data[category],$EC$9,0)*MATCH(bhpc_data[size1],$EC$13,0)),MATCH(ROW(bhpc_data[sku]),ROW(bhpc_data[sku])),""),ROWS($A$15:A212)+$B$3))),IF($EC$13="",INDEX(bhpc_data[sku],SMALL(IF(ISNUMBER(MATCH(bhpc_data[category],$EC$9,0)*MATCH(bhpc_data[sex],$EC$11,0)),MATCH(ROW(bhpc_data[sku]),ROW(bhpc_data[sku])),""),ROWS($A$15:A212)+$B$3)),INDEX(bhpc_data[sku],SMALL(IF(ISNUMBER(MATCH(bhpc_data[category],$EC$9,0)*MATCH(bhpc_data[sex],$EC$11,0)*MATCH(bhpc_data[size1],$EC$13,0)),MATCH(ROW(bhpc_data[sku]),ROW(bhpc_data[sku])),""),ROWS($A$15:A212)+$B$3))))),"")</f>
        <v/>
      </c>
      <c r="EF207" s="542" t="str" cm="1">
        <f t="array" ref="EF207">IFERROR(IF($EC$9="",IF($EC$11="",IF($EC$13="",INDEX(bhpc_data[description],SMALL(MATCH(ROW(bhpc_data[sku]),ROW(bhpc_data[sku])),ROWS($A$15:A212)+$B$3)),INDEX(bhpc_data[description],SMALL(IF(ISNUMBER(MATCH(bhpc_data[size1],$EC$13,0)),MATCH(ROW(bhpc_data[sku]),ROW(bhpc_data[sku])),""),ROWS($A$15:A212)+$B$3))),IF($EC$13="",INDEX(bhpc_data[description],SMALL(IF(ISNUMBER(MATCH(bhpc_data[sex],$EC$11,0)),MATCH(ROW(bhpc_data[sku]),ROW(bhpc_data[sku])),""),ROWS($A$15:A212)+$B$3)),INDEX(bhpc_data[description],SMALL(IF(ISNUMBER(MATCH(bhpc_data[sex],$EC$11,0)*MATCH(bhpc_data[size1],$EC$13,0)),MATCH(ROW(bhpc_data[sku]),ROW(bhpc_data[sku])),""),ROWS($A$15:A212)+$B$3)))),IF($EC$11="",IF($EC$13="",INDEX(bhpc_data[description],SMALL(IF(ISNUMBER(MATCH(bhpc_data[category],$EC$9,0)),MATCH(ROW(bhpc_data[sku]),ROW(bhpc_data[sku])),""),ROWS($A$15:A212)+$B$3)),INDEX(bhpc_data[description],SMALL(IF(ISNUMBER(MATCH(bhpc_data[category],$EC$9,0)*MATCH(bhpc_data[size1],$EC$13,0)),MATCH(ROW(bhpc_data[sku]),ROW(bhpc_data[sku])),""),ROWS($A$15:A212)+$B$3))),IF($EC$13="",INDEX(bhpc_data[description],SMALL(IF(ISNUMBER(MATCH(bhpc_data[category],$EC$9,0)*MATCH(bhpc_data[sex],$EC$11,0)),MATCH(ROW(bhpc_data[sku]),ROW(bhpc_data[sku])),""),ROWS($A$15:A212)+$B$3)),INDEX(bhpc_data[description],SMALL(IF(ISNUMBER(MATCH(bhpc_data[category],$EC$9,0)*MATCH(bhpc_data[sex],$EC$11,0)*MATCH(bhpc_data[size1],$EC$13,0)),MATCH(ROW(bhpc_data[sku]),ROW(bhpc_data[sku])),""),ROWS($A$15:A212)+$B$3))))),"")</f>
        <v/>
      </c>
      <c r="EG207" s="543" t="str">
        <f>IFERROR(IF('BHPC MANAGER'!$EE207="","",INDEX(inventory[ESISTENZA],MATCH('BHPC MANAGER'!$EE207,inventory[ARTICOLO],0))),0)</f>
        <v/>
      </c>
      <c r="EH207" s="544"/>
      <c r="EI207" s="544" t="str">
        <f t="shared" si="16"/>
        <v/>
      </c>
      <c r="EJ207" s="545"/>
      <c r="EK207" s="546" t="str">
        <f t="shared" si="17"/>
        <v/>
      </c>
    </row>
    <row r="208" spans="63:141" x14ac:dyDescent="0.35">
      <c r="BK208" s="366"/>
      <c r="BL208" s="367"/>
      <c r="BM208" s="368"/>
      <c r="BN208" s="367"/>
      <c r="BO208" s="368"/>
      <c r="EE208" s="547" t="str" cm="1">
        <f t="array" ref="EE208">IFERROR(IF($EC$9="",IF($EC$11="",IF($EC$13="",INDEX(bhpc_data[sku],SMALL(MATCH(ROW(bhpc_data[sku]),ROW(bhpc_data[sku])),ROWS($A$15:A213)+$B$3)),INDEX(bhpc_data[sku],SMALL(IF(ISNUMBER(MATCH(bhpc_data[size1],$EC$13,0)),MATCH(ROW(bhpc_data[sku]),ROW(bhpc_data[sku])),""),ROWS($A$15:A213)+$B$3))),IF($EC$13="",INDEX(bhpc_data[sku],SMALL(IF(ISNUMBER(MATCH(bhpc_data[sex],$EC$11,0)),MATCH(ROW(bhpc_data[sku]),ROW(bhpc_data[sku])),""),ROWS($A$15:A213)+$B$3)),INDEX(bhpc_data[sku],SMALL(IF(ISNUMBER(MATCH(bhpc_data[sex],$EC$11,0)*MATCH(bhpc_data[size1],$EC$13,0)),MATCH(ROW(bhpc_data[sku]),ROW(bhpc_data[sku])),""),ROWS($A$15:A213)+$B$3)))),IF($EC$11="",IF($EC$13="",INDEX(bhpc_data[sku],SMALL(IF(ISNUMBER(MATCH(bhpc_data[category],$EC$9,0)),MATCH(ROW(bhpc_data[sku]),ROW(bhpc_data[sku])),""),ROWS($A$15:A213)+$B$3)),INDEX(bhpc_data[sku],SMALL(IF(ISNUMBER(MATCH(bhpc_data[category],$EC$9,0)*MATCH(bhpc_data[size1],$EC$13,0)),MATCH(ROW(bhpc_data[sku]),ROW(bhpc_data[sku])),""),ROWS($A$15:A213)+$B$3))),IF($EC$13="",INDEX(bhpc_data[sku],SMALL(IF(ISNUMBER(MATCH(bhpc_data[category],$EC$9,0)*MATCH(bhpc_data[sex],$EC$11,0)),MATCH(ROW(bhpc_data[sku]),ROW(bhpc_data[sku])),""),ROWS($A$15:A213)+$B$3)),INDEX(bhpc_data[sku],SMALL(IF(ISNUMBER(MATCH(bhpc_data[category],$EC$9,0)*MATCH(bhpc_data[sex],$EC$11,0)*MATCH(bhpc_data[size1],$EC$13,0)),MATCH(ROW(bhpc_data[sku]),ROW(bhpc_data[sku])),""),ROWS($A$15:A213)+$B$3))))),"")</f>
        <v/>
      </c>
      <c r="EF208" s="548" t="str" cm="1">
        <f t="array" ref="EF208">IFERROR(IF($EC$9="",IF($EC$11="",IF($EC$13="",INDEX(bhpc_data[description],SMALL(MATCH(ROW(bhpc_data[sku]),ROW(bhpc_data[sku])),ROWS($A$15:A213)+$B$3)),INDEX(bhpc_data[description],SMALL(IF(ISNUMBER(MATCH(bhpc_data[size1],$EC$13,0)),MATCH(ROW(bhpc_data[sku]),ROW(bhpc_data[sku])),""),ROWS($A$15:A213)+$B$3))),IF($EC$13="",INDEX(bhpc_data[description],SMALL(IF(ISNUMBER(MATCH(bhpc_data[sex],$EC$11,0)),MATCH(ROW(bhpc_data[sku]),ROW(bhpc_data[sku])),""),ROWS($A$15:A213)+$B$3)),INDEX(bhpc_data[description],SMALL(IF(ISNUMBER(MATCH(bhpc_data[sex],$EC$11,0)*MATCH(bhpc_data[size1],$EC$13,0)),MATCH(ROW(bhpc_data[sku]),ROW(bhpc_data[sku])),""),ROWS($A$15:A213)+$B$3)))),IF($EC$11="",IF($EC$13="",INDEX(bhpc_data[description],SMALL(IF(ISNUMBER(MATCH(bhpc_data[category],$EC$9,0)),MATCH(ROW(bhpc_data[sku]),ROW(bhpc_data[sku])),""),ROWS($A$15:A213)+$B$3)),INDEX(bhpc_data[description],SMALL(IF(ISNUMBER(MATCH(bhpc_data[category],$EC$9,0)*MATCH(bhpc_data[size1],$EC$13,0)),MATCH(ROW(bhpc_data[sku]),ROW(bhpc_data[sku])),""),ROWS($A$15:A213)+$B$3))),IF($EC$13="",INDEX(bhpc_data[description],SMALL(IF(ISNUMBER(MATCH(bhpc_data[category],$EC$9,0)*MATCH(bhpc_data[sex],$EC$11,0)),MATCH(ROW(bhpc_data[sku]),ROW(bhpc_data[sku])),""),ROWS($A$15:A213)+$B$3)),INDEX(bhpc_data[description],SMALL(IF(ISNUMBER(MATCH(bhpc_data[category],$EC$9,0)*MATCH(bhpc_data[sex],$EC$11,0)*MATCH(bhpc_data[size1],$EC$13,0)),MATCH(ROW(bhpc_data[sku]),ROW(bhpc_data[sku])),""),ROWS($A$15:A213)+$B$3))))),"")</f>
        <v/>
      </c>
      <c r="EG208" s="549" t="str">
        <f>IFERROR(IF('BHPC MANAGER'!$EE208="","",INDEX(inventory[ESISTENZA],MATCH('BHPC MANAGER'!$EE208,inventory[ARTICOLO],0))),0)</f>
        <v/>
      </c>
      <c r="EH208" s="550"/>
      <c r="EI208" s="550" t="str">
        <f t="shared" si="16"/>
        <v/>
      </c>
      <c r="EJ208" s="551"/>
      <c r="EK208" s="552" t="str">
        <f t="shared" si="17"/>
        <v/>
      </c>
    </row>
    <row r="209" spans="63:141" x14ac:dyDescent="0.35">
      <c r="BK209" s="366"/>
      <c r="BL209" s="367"/>
      <c r="BM209" s="368"/>
      <c r="BN209" s="367"/>
      <c r="BO209" s="368"/>
      <c r="EE209" s="541" t="str" cm="1">
        <f t="array" ref="EE209">IFERROR(IF($EC$9="",IF($EC$11="",IF($EC$13="",INDEX(bhpc_data[sku],SMALL(MATCH(ROW(bhpc_data[sku]),ROW(bhpc_data[sku])),ROWS($A$15:A214)+$B$3)),INDEX(bhpc_data[sku],SMALL(IF(ISNUMBER(MATCH(bhpc_data[size1],$EC$13,0)),MATCH(ROW(bhpc_data[sku]),ROW(bhpc_data[sku])),""),ROWS($A$15:A214)+$B$3))),IF($EC$13="",INDEX(bhpc_data[sku],SMALL(IF(ISNUMBER(MATCH(bhpc_data[sex],$EC$11,0)),MATCH(ROW(bhpc_data[sku]),ROW(bhpc_data[sku])),""),ROWS($A$15:A214)+$B$3)),INDEX(bhpc_data[sku],SMALL(IF(ISNUMBER(MATCH(bhpc_data[sex],$EC$11,0)*MATCH(bhpc_data[size1],$EC$13,0)),MATCH(ROW(bhpc_data[sku]),ROW(bhpc_data[sku])),""),ROWS($A$15:A214)+$B$3)))),IF($EC$11="",IF($EC$13="",INDEX(bhpc_data[sku],SMALL(IF(ISNUMBER(MATCH(bhpc_data[category],$EC$9,0)),MATCH(ROW(bhpc_data[sku]),ROW(bhpc_data[sku])),""),ROWS($A$15:A214)+$B$3)),INDEX(bhpc_data[sku],SMALL(IF(ISNUMBER(MATCH(bhpc_data[category],$EC$9,0)*MATCH(bhpc_data[size1],$EC$13,0)),MATCH(ROW(bhpc_data[sku]),ROW(bhpc_data[sku])),""),ROWS($A$15:A214)+$B$3))),IF($EC$13="",INDEX(bhpc_data[sku],SMALL(IF(ISNUMBER(MATCH(bhpc_data[category],$EC$9,0)*MATCH(bhpc_data[sex],$EC$11,0)),MATCH(ROW(bhpc_data[sku]),ROW(bhpc_data[sku])),""),ROWS($A$15:A214)+$B$3)),INDEX(bhpc_data[sku],SMALL(IF(ISNUMBER(MATCH(bhpc_data[category],$EC$9,0)*MATCH(bhpc_data[sex],$EC$11,0)*MATCH(bhpc_data[size1],$EC$13,0)),MATCH(ROW(bhpc_data[sku]),ROW(bhpc_data[sku])),""),ROWS($A$15:A214)+$B$3))))),"")</f>
        <v/>
      </c>
      <c r="EF209" s="542" t="str" cm="1">
        <f t="array" ref="EF209">IFERROR(IF($EC$9="",IF($EC$11="",IF($EC$13="",INDEX(bhpc_data[description],SMALL(MATCH(ROW(bhpc_data[sku]),ROW(bhpc_data[sku])),ROWS($A$15:A214)+$B$3)),INDEX(bhpc_data[description],SMALL(IF(ISNUMBER(MATCH(bhpc_data[size1],$EC$13,0)),MATCH(ROW(bhpc_data[sku]),ROW(bhpc_data[sku])),""),ROWS($A$15:A214)+$B$3))),IF($EC$13="",INDEX(bhpc_data[description],SMALL(IF(ISNUMBER(MATCH(bhpc_data[sex],$EC$11,0)),MATCH(ROW(bhpc_data[sku]),ROW(bhpc_data[sku])),""),ROWS($A$15:A214)+$B$3)),INDEX(bhpc_data[description],SMALL(IF(ISNUMBER(MATCH(bhpc_data[sex],$EC$11,0)*MATCH(bhpc_data[size1],$EC$13,0)),MATCH(ROW(bhpc_data[sku]),ROW(bhpc_data[sku])),""),ROWS($A$15:A214)+$B$3)))),IF($EC$11="",IF($EC$13="",INDEX(bhpc_data[description],SMALL(IF(ISNUMBER(MATCH(bhpc_data[category],$EC$9,0)),MATCH(ROW(bhpc_data[sku]),ROW(bhpc_data[sku])),""),ROWS($A$15:A214)+$B$3)),INDEX(bhpc_data[description],SMALL(IF(ISNUMBER(MATCH(bhpc_data[category],$EC$9,0)*MATCH(bhpc_data[size1],$EC$13,0)),MATCH(ROW(bhpc_data[sku]),ROW(bhpc_data[sku])),""),ROWS($A$15:A214)+$B$3))),IF($EC$13="",INDEX(bhpc_data[description],SMALL(IF(ISNUMBER(MATCH(bhpc_data[category],$EC$9,0)*MATCH(bhpc_data[sex],$EC$11,0)),MATCH(ROW(bhpc_data[sku]),ROW(bhpc_data[sku])),""),ROWS($A$15:A214)+$B$3)),INDEX(bhpc_data[description],SMALL(IF(ISNUMBER(MATCH(bhpc_data[category],$EC$9,0)*MATCH(bhpc_data[sex],$EC$11,0)*MATCH(bhpc_data[size1],$EC$13,0)),MATCH(ROW(bhpc_data[sku]),ROW(bhpc_data[sku])),""),ROWS($A$15:A214)+$B$3))))),"")</f>
        <v/>
      </c>
      <c r="EG209" s="543" t="str">
        <f>IFERROR(IF('BHPC MANAGER'!$EE209="","",INDEX(inventory[ESISTENZA],MATCH('BHPC MANAGER'!$EE209,inventory[ARTICOLO],0))),0)</f>
        <v/>
      </c>
      <c r="EH209" s="544"/>
      <c r="EI209" s="544" t="str">
        <f t="shared" si="16"/>
        <v/>
      </c>
      <c r="EJ209" s="545"/>
      <c r="EK209" s="546" t="str">
        <f t="shared" si="17"/>
        <v/>
      </c>
    </row>
    <row r="210" spans="63:141" x14ac:dyDescent="0.35">
      <c r="BK210" s="366"/>
      <c r="BL210" s="367"/>
      <c r="BM210" s="368"/>
      <c r="BN210" s="367"/>
      <c r="BO210" s="368"/>
      <c r="EE210" s="547" t="str" cm="1">
        <f t="array" ref="EE210">IFERROR(IF($EC$9="",IF($EC$11="",IF($EC$13="",INDEX(bhpc_data[sku],SMALL(MATCH(ROW(bhpc_data[sku]),ROW(bhpc_data[sku])),ROWS($A$15:A215)+$B$3)),INDEX(bhpc_data[sku],SMALL(IF(ISNUMBER(MATCH(bhpc_data[size1],$EC$13,0)),MATCH(ROW(bhpc_data[sku]),ROW(bhpc_data[sku])),""),ROWS($A$15:A215)+$B$3))),IF($EC$13="",INDEX(bhpc_data[sku],SMALL(IF(ISNUMBER(MATCH(bhpc_data[sex],$EC$11,0)),MATCH(ROW(bhpc_data[sku]),ROW(bhpc_data[sku])),""),ROWS($A$15:A215)+$B$3)),INDEX(bhpc_data[sku],SMALL(IF(ISNUMBER(MATCH(bhpc_data[sex],$EC$11,0)*MATCH(bhpc_data[size1],$EC$13,0)),MATCH(ROW(bhpc_data[sku]),ROW(bhpc_data[sku])),""),ROWS($A$15:A215)+$B$3)))),IF($EC$11="",IF($EC$13="",INDEX(bhpc_data[sku],SMALL(IF(ISNUMBER(MATCH(bhpc_data[category],$EC$9,0)),MATCH(ROW(bhpc_data[sku]),ROW(bhpc_data[sku])),""),ROWS($A$15:A215)+$B$3)),INDEX(bhpc_data[sku],SMALL(IF(ISNUMBER(MATCH(bhpc_data[category],$EC$9,0)*MATCH(bhpc_data[size1],$EC$13,0)),MATCH(ROW(bhpc_data[sku]),ROW(bhpc_data[sku])),""),ROWS($A$15:A215)+$B$3))),IF($EC$13="",INDEX(bhpc_data[sku],SMALL(IF(ISNUMBER(MATCH(bhpc_data[category],$EC$9,0)*MATCH(bhpc_data[sex],$EC$11,0)),MATCH(ROW(bhpc_data[sku]),ROW(bhpc_data[sku])),""),ROWS($A$15:A215)+$B$3)),INDEX(bhpc_data[sku],SMALL(IF(ISNUMBER(MATCH(bhpc_data[category],$EC$9,0)*MATCH(bhpc_data[sex],$EC$11,0)*MATCH(bhpc_data[size1],$EC$13,0)),MATCH(ROW(bhpc_data[sku]),ROW(bhpc_data[sku])),""),ROWS($A$15:A215)+$B$3))))),"")</f>
        <v/>
      </c>
      <c r="EF210" s="548" t="str" cm="1">
        <f t="array" ref="EF210">IFERROR(IF($EC$9="",IF($EC$11="",IF($EC$13="",INDEX(bhpc_data[description],SMALL(MATCH(ROW(bhpc_data[sku]),ROW(bhpc_data[sku])),ROWS($A$15:A215)+$B$3)),INDEX(bhpc_data[description],SMALL(IF(ISNUMBER(MATCH(bhpc_data[size1],$EC$13,0)),MATCH(ROW(bhpc_data[sku]),ROW(bhpc_data[sku])),""),ROWS($A$15:A215)+$B$3))),IF($EC$13="",INDEX(bhpc_data[description],SMALL(IF(ISNUMBER(MATCH(bhpc_data[sex],$EC$11,0)),MATCH(ROW(bhpc_data[sku]),ROW(bhpc_data[sku])),""),ROWS($A$15:A215)+$B$3)),INDEX(bhpc_data[description],SMALL(IF(ISNUMBER(MATCH(bhpc_data[sex],$EC$11,0)*MATCH(bhpc_data[size1],$EC$13,0)),MATCH(ROW(bhpc_data[sku]),ROW(bhpc_data[sku])),""),ROWS($A$15:A215)+$B$3)))),IF($EC$11="",IF($EC$13="",INDEX(bhpc_data[description],SMALL(IF(ISNUMBER(MATCH(bhpc_data[category],$EC$9,0)),MATCH(ROW(bhpc_data[sku]),ROW(bhpc_data[sku])),""),ROWS($A$15:A215)+$B$3)),INDEX(bhpc_data[description],SMALL(IF(ISNUMBER(MATCH(bhpc_data[category],$EC$9,0)*MATCH(bhpc_data[size1],$EC$13,0)),MATCH(ROW(bhpc_data[sku]),ROW(bhpc_data[sku])),""),ROWS($A$15:A215)+$B$3))),IF($EC$13="",INDEX(bhpc_data[description],SMALL(IF(ISNUMBER(MATCH(bhpc_data[category],$EC$9,0)*MATCH(bhpc_data[sex],$EC$11,0)),MATCH(ROW(bhpc_data[sku]),ROW(bhpc_data[sku])),""),ROWS($A$15:A215)+$B$3)),INDEX(bhpc_data[description],SMALL(IF(ISNUMBER(MATCH(bhpc_data[category],$EC$9,0)*MATCH(bhpc_data[sex],$EC$11,0)*MATCH(bhpc_data[size1],$EC$13,0)),MATCH(ROW(bhpc_data[sku]),ROW(bhpc_data[sku])),""),ROWS($A$15:A215)+$B$3))))),"")</f>
        <v/>
      </c>
      <c r="EG210" s="549" t="str">
        <f>IFERROR(IF('BHPC MANAGER'!$EE210="","",INDEX(inventory[ESISTENZA],MATCH('BHPC MANAGER'!$EE210,inventory[ARTICOLO],0))),0)</f>
        <v/>
      </c>
      <c r="EH210" s="550"/>
      <c r="EI210" s="550" t="str">
        <f t="shared" si="16"/>
        <v/>
      </c>
      <c r="EJ210" s="551"/>
      <c r="EK210" s="552" t="str">
        <f t="shared" si="17"/>
        <v/>
      </c>
    </row>
    <row r="211" spans="63:141" x14ac:dyDescent="0.35">
      <c r="BK211" s="366"/>
      <c r="BL211" s="367"/>
      <c r="BM211" s="368"/>
      <c r="BN211" s="367"/>
      <c r="BO211" s="368"/>
      <c r="EE211" s="541" t="str" cm="1">
        <f t="array" ref="EE211">IFERROR(IF($EC$9="",IF($EC$11="",IF($EC$13="",INDEX(bhpc_data[sku],SMALL(MATCH(ROW(bhpc_data[sku]),ROW(bhpc_data[sku])),ROWS($A$15:A216)+$B$3)),INDEX(bhpc_data[sku],SMALL(IF(ISNUMBER(MATCH(bhpc_data[size1],$EC$13,0)),MATCH(ROW(bhpc_data[sku]),ROW(bhpc_data[sku])),""),ROWS($A$15:A216)+$B$3))),IF($EC$13="",INDEX(bhpc_data[sku],SMALL(IF(ISNUMBER(MATCH(bhpc_data[sex],$EC$11,0)),MATCH(ROW(bhpc_data[sku]),ROW(bhpc_data[sku])),""),ROWS($A$15:A216)+$B$3)),INDEX(bhpc_data[sku],SMALL(IF(ISNUMBER(MATCH(bhpc_data[sex],$EC$11,0)*MATCH(bhpc_data[size1],$EC$13,0)),MATCH(ROW(bhpc_data[sku]),ROW(bhpc_data[sku])),""),ROWS($A$15:A216)+$B$3)))),IF($EC$11="",IF($EC$13="",INDEX(bhpc_data[sku],SMALL(IF(ISNUMBER(MATCH(bhpc_data[category],$EC$9,0)),MATCH(ROW(bhpc_data[sku]),ROW(bhpc_data[sku])),""),ROWS($A$15:A216)+$B$3)),INDEX(bhpc_data[sku],SMALL(IF(ISNUMBER(MATCH(bhpc_data[category],$EC$9,0)*MATCH(bhpc_data[size1],$EC$13,0)),MATCH(ROW(bhpc_data[sku]),ROW(bhpc_data[sku])),""),ROWS($A$15:A216)+$B$3))),IF($EC$13="",INDEX(bhpc_data[sku],SMALL(IF(ISNUMBER(MATCH(bhpc_data[category],$EC$9,0)*MATCH(bhpc_data[sex],$EC$11,0)),MATCH(ROW(bhpc_data[sku]),ROW(bhpc_data[sku])),""),ROWS($A$15:A216)+$B$3)),INDEX(bhpc_data[sku],SMALL(IF(ISNUMBER(MATCH(bhpc_data[category],$EC$9,0)*MATCH(bhpc_data[sex],$EC$11,0)*MATCH(bhpc_data[size1],$EC$13,0)),MATCH(ROW(bhpc_data[sku]),ROW(bhpc_data[sku])),""),ROWS($A$15:A216)+$B$3))))),"")</f>
        <v/>
      </c>
      <c r="EF211" s="542" t="str" cm="1">
        <f t="array" ref="EF211">IFERROR(IF($EC$9="",IF($EC$11="",IF($EC$13="",INDEX(bhpc_data[description],SMALL(MATCH(ROW(bhpc_data[sku]),ROW(bhpc_data[sku])),ROWS($A$15:A216)+$B$3)),INDEX(bhpc_data[description],SMALL(IF(ISNUMBER(MATCH(bhpc_data[size1],$EC$13,0)),MATCH(ROW(bhpc_data[sku]),ROW(bhpc_data[sku])),""),ROWS($A$15:A216)+$B$3))),IF($EC$13="",INDEX(bhpc_data[description],SMALL(IF(ISNUMBER(MATCH(bhpc_data[sex],$EC$11,0)),MATCH(ROW(bhpc_data[sku]),ROW(bhpc_data[sku])),""),ROWS($A$15:A216)+$B$3)),INDEX(bhpc_data[description],SMALL(IF(ISNUMBER(MATCH(bhpc_data[sex],$EC$11,0)*MATCH(bhpc_data[size1],$EC$13,0)),MATCH(ROW(bhpc_data[sku]),ROW(bhpc_data[sku])),""),ROWS($A$15:A216)+$B$3)))),IF($EC$11="",IF($EC$13="",INDEX(bhpc_data[description],SMALL(IF(ISNUMBER(MATCH(bhpc_data[category],$EC$9,0)),MATCH(ROW(bhpc_data[sku]),ROW(bhpc_data[sku])),""),ROWS($A$15:A216)+$B$3)),INDEX(bhpc_data[description],SMALL(IF(ISNUMBER(MATCH(bhpc_data[category],$EC$9,0)*MATCH(bhpc_data[size1],$EC$13,0)),MATCH(ROW(bhpc_data[sku]),ROW(bhpc_data[sku])),""),ROWS($A$15:A216)+$B$3))),IF($EC$13="",INDEX(bhpc_data[description],SMALL(IF(ISNUMBER(MATCH(bhpc_data[category],$EC$9,0)*MATCH(bhpc_data[sex],$EC$11,0)),MATCH(ROW(bhpc_data[sku]),ROW(bhpc_data[sku])),""),ROWS($A$15:A216)+$B$3)),INDEX(bhpc_data[description],SMALL(IF(ISNUMBER(MATCH(bhpc_data[category],$EC$9,0)*MATCH(bhpc_data[sex],$EC$11,0)*MATCH(bhpc_data[size1],$EC$13,0)),MATCH(ROW(bhpc_data[sku]),ROW(bhpc_data[sku])),""),ROWS($A$15:A216)+$B$3))))),"")</f>
        <v/>
      </c>
      <c r="EG211" s="543" t="str">
        <f>IFERROR(IF('BHPC MANAGER'!$EE211="","",INDEX(inventory[ESISTENZA],MATCH('BHPC MANAGER'!$EE211,inventory[ARTICOLO],0))),0)</f>
        <v/>
      </c>
      <c r="EH211" s="544"/>
      <c r="EI211" s="544" t="str">
        <f t="shared" si="16"/>
        <v/>
      </c>
      <c r="EJ211" s="545"/>
      <c r="EK211" s="546" t="str">
        <f t="shared" si="17"/>
        <v/>
      </c>
    </row>
    <row r="212" spans="63:141" x14ac:dyDescent="0.35">
      <c r="BK212" s="366"/>
      <c r="BL212" s="367"/>
      <c r="BM212" s="368"/>
      <c r="BN212" s="367"/>
      <c r="BO212" s="368"/>
      <c r="EE212" s="547" t="str" cm="1">
        <f t="array" ref="EE212">IFERROR(IF($EC$9="",IF($EC$11="",IF($EC$13="",INDEX(bhpc_data[sku],SMALL(MATCH(ROW(bhpc_data[sku]),ROW(bhpc_data[sku])),ROWS($A$15:A217)+$B$3)),INDEX(bhpc_data[sku],SMALL(IF(ISNUMBER(MATCH(bhpc_data[size1],$EC$13,0)),MATCH(ROW(bhpc_data[sku]),ROW(bhpc_data[sku])),""),ROWS($A$15:A217)+$B$3))),IF($EC$13="",INDEX(bhpc_data[sku],SMALL(IF(ISNUMBER(MATCH(bhpc_data[sex],$EC$11,0)),MATCH(ROW(bhpc_data[sku]),ROW(bhpc_data[sku])),""),ROWS($A$15:A217)+$B$3)),INDEX(bhpc_data[sku],SMALL(IF(ISNUMBER(MATCH(bhpc_data[sex],$EC$11,0)*MATCH(bhpc_data[size1],$EC$13,0)),MATCH(ROW(bhpc_data[sku]),ROW(bhpc_data[sku])),""),ROWS($A$15:A217)+$B$3)))),IF($EC$11="",IF($EC$13="",INDEX(bhpc_data[sku],SMALL(IF(ISNUMBER(MATCH(bhpc_data[category],$EC$9,0)),MATCH(ROW(bhpc_data[sku]),ROW(bhpc_data[sku])),""),ROWS($A$15:A217)+$B$3)),INDEX(bhpc_data[sku],SMALL(IF(ISNUMBER(MATCH(bhpc_data[category],$EC$9,0)*MATCH(bhpc_data[size1],$EC$13,0)),MATCH(ROW(bhpc_data[sku]),ROW(bhpc_data[sku])),""),ROWS($A$15:A217)+$B$3))),IF($EC$13="",INDEX(bhpc_data[sku],SMALL(IF(ISNUMBER(MATCH(bhpc_data[category],$EC$9,0)*MATCH(bhpc_data[sex],$EC$11,0)),MATCH(ROW(bhpc_data[sku]),ROW(bhpc_data[sku])),""),ROWS($A$15:A217)+$B$3)),INDEX(bhpc_data[sku],SMALL(IF(ISNUMBER(MATCH(bhpc_data[category],$EC$9,0)*MATCH(bhpc_data[sex],$EC$11,0)*MATCH(bhpc_data[size1],$EC$13,0)),MATCH(ROW(bhpc_data[sku]),ROW(bhpc_data[sku])),""),ROWS($A$15:A217)+$B$3))))),"")</f>
        <v/>
      </c>
      <c r="EF212" s="548" t="str" cm="1">
        <f t="array" ref="EF212">IFERROR(IF($EC$9="",IF($EC$11="",IF($EC$13="",INDEX(bhpc_data[description],SMALL(MATCH(ROW(bhpc_data[sku]),ROW(bhpc_data[sku])),ROWS($A$15:A217)+$B$3)),INDEX(bhpc_data[description],SMALL(IF(ISNUMBER(MATCH(bhpc_data[size1],$EC$13,0)),MATCH(ROW(bhpc_data[sku]),ROW(bhpc_data[sku])),""),ROWS($A$15:A217)+$B$3))),IF($EC$13="",INDEX(bhpc_data[description],SMALL(IF(ISNUMBER(MATCH(bhpc_data[sex],$EC$11,0)),MATCH(ROW(bhpc_data[sku]),ROW(bhpc_data[sku])),""),ROWS($A$15:A217)+$B$3)),INDEX(bhpc_data[description],SMALL(IF(ISNUMBER(MATCH(bhpc_data[sex],$EC$11,0)*MATCH(bhpc_data[size1],$EC$13,0)),MATCH(ROW(bhpc_data[sku]),ROW(bhpc_data[sku])),""),ROWS($A$15:A217)+$B$3)))),IF($EC$11="",IF($EC$13="",INDEX(bhpc_data[description],SMALL(IF(ISNUMBER(MATCH(bhpc_data[category],$EC$9,0)),MATCH(ROW(bhpc_data[sku]),ROW(bhpc_data[sku])),""),ROWS($A$15:A217)+$B$3)),INDEX(bhpc_data[description],SMALL(IF(ISNUMBER(MATCH(bhpc_data[category],$EC$9,0)*MATCH(bhpc_data[size1],$EC$13,0)),MATCH(ROW(bhpc_data[sku]),ROW(bhpc_data[sku])),""),ROWS($A$15:A217)+$B$3))),IF($EC$13="",INDEX(bhpc_data[description],SMALL(IF(ISNUMBER(MATCH(bhpc_data[category],$EC$9,0)*MATCH(bhpc_data[sex],$EC$11,0)),MATCH(ROW(bhpc_data[sku]),ROW(bhpc_data[sku])),""),ROWS($A$15:A217)+$B$3)),INDEX(bhpc_data[description],SMALL(IF(ISNUMBER(MATCH(bhpc_data[category],$EC$9,0)*MATCH(bhpc_data[sex],$EC$11,0)*MATCH(bhpc_data[size1],$EC$13,0)),MATCH(ROW(bhpc_data[sku]),ROW(bhpc_data[sku])),""),ROWS($A$15:A217)+$B$3))))),"")</f>
        <v/>
      </c>
      <c r="EG212" s="549" t="str">
        <f>IFERROR(IF('BHPC MANAGER'!$EE212="","",INDEX(inventory[ESISTENZA],MATCH('BHPC MANAGER'!$EE212,inventory[ARTICOLO],0))),0)</f>
        <v/>
      </c>
      <c r="EH212" s="550"/>
      <c r="EI212" s="550" t="str">
        <f t="shared" si="16"/>
        <v/>
      </c>
      <c r="EJ212" s="551"/>
      <c r="EK212" s="552" t="str">
        <f t="shared" si="17"/>
        <v/>
      </c>
    </row>
    <row r="213" spans="63:141" x14ac:dyDescent="0.35">
      <c r="BK213" s="366"/>
      <c r="BL213" s="367"/>
      <c r="BM213" s="368"/>
      <c r="BN213" s="367"/>
      <c r="BO213" s="368"/>
      <c r="EE213" s="541" t="str" cm="1">
        <f t="array" ref="EE213">IFERROR(IF($EC$9="",IF($EC$11="",IF($EC$13="",INDEX(bhpc_data[sku],SMALL(MATCH(ROW(bhpc_data[sku]),ROW(bhpc_data[sku])),ROWS($A$15:A218)+$B$3)),INDEX(bhpc_data[sku],SMALL(IF(ISNUMBER(MATCH(bhpc_data[size1],$EC$13,0)),MATCH(ROW(bhpc_data[sku]),ROW(bhpc_data[sku])),""),ROWS($A$15:A218)+$B$3))),IF($EC$13="",INDEX(bhpc_data[sku],SMALL(IF(ISNUMBER(MATCH(bhpc_data[sex],$EC$11,0)),MATCH(ROW(bhpc_data[sku]),ROW(bhpc_data[sku])),""),ROWS($A$15:A218)+$B$3)),INDEX(bhpc_data[sku],SMALL(IF(ISNUMBER(MATCH(bhpc_data[sex],$EC$11,0)*MATCH(bhpc_data[size1],$EC$13,0)),MATCH(ROW(bhpc_data[sku]),ROW(bhpc_data[sku])),""),ROWS($A$15:A218)+$B$3)))),IF($EC$11="",IF($EC$13="",INDEX(bhpc_data[sku],SMALL(IF(ISNUMBER(MATCH(bhpc_data[category],$EC$9,0)),MATCH(ROW(bhpc_data[sku]),ROW(bhpc_data[sku])),""),ROWS($A$15:A218)+$B$3)),INDEX(bhpc_data[sku],SMALL(IF(ISNUMBER(MATCH(bhpc_data[category],$EC$9,0)*MATCH(bhpc_data[size1],$EC$13,0)),MATCH(ROW(bhpc_data[sku]),ROW(bhpc_data[sku])),""),ROWS($A$15:A218)+$B$3))),IF($EC$13="",INDEX(bhpc_data[sku],SMALL(IF(ISNUMBER(MATCH(bhpc_data[category],$EC$9,0)*MATCH(bhpc_data[sex],$EC$11,0)),MATCH(ROW(bhpc_data[sku]),ROW(bhpc_data[sku])),""),ROWS($A$15:A218)+$B$3)),INDEX(bhpc_data[sku],SMALL(IF(ISNUMBER(MATCH(bhpc_data[category],$EC$9,0)*MATCH(bhpc_data[sex],$EC$11,0)*MATCH(bhpc_data[size1],$EC$13,0)),MATCH(ROW(bhpc_data[sku]),ROW(bhpc_data[sku])),""),ROWS($A$15:A218)+$B$3))))),"")</f>
        <v/>
      </c>
      <c r="EF213" s="542" t="str" cm="1">
        <f t="array" ref="EF213">IFERROR(IF($EC$9="",IF($EC$11="",IF($EC$13="",INDEX(bhpc_data[description],SMALL(MATCH(ROW(bhpc_data[sku]),ROW(bhpc_data[sku])),ROWS($A$15:A218)+$B$3)),INDEX(bhpc_data[description],SMALL(IF(ISNUMBER(MATCH(bhpc_data[size1],$EC$13,0)),MATCH(ROW(bhpc_data[sku]),ROW(bhpc_data[sku])),""),ROWS($A$15:A218)+$B$3))),IF($EC$13="",INDEX(bhpc_data[description],SMALL(IF(ISNUMBER(MATCH(bhpc_data[sex],$EC$11,0)),MATCH(ROW(bhpc_data[sku]),ROW(bhpc_data[sku])),""),ROWS($A$15:A218)+$B$3)),INDEX(bhpc_data[description],SMALL(IF(ISNUMBER(MATCH(bhpc_data[sex],$EC$11,0)*MATCH(bhpc_data[size1],$EC$13,0)),MATCH(ROW(bhpc_data[sku]),ROW(bhpc_data[sku])),""),ROWS($A$15:A218)+$B$3)))),IF($EC$11="",IF($EC$13="",INDEX(bhpc_data[description],SMALL(IF(ISNUMBER(MATCH(bhpc_data[category],$EC$9,0)),MATCH(ROW(bhpc_data[sku]),ROW(bhpc_data[sku])),""),ROWS($A$15:A218)+$B$3)),INDEX(bhpc_data[description],SMALL(IF(ISNUMBER(MATCH(bhpc_data[category],$EC$9,0)*MATCH(bhpc_data[size1],$EC$13,0)),MATCH(ROW(bhpc_data[sku]),ROW(bhpc_data[sku])),""),ROWS($A$15:A218)+$B$3))),IF($EC$13="",INDEX(bhpc_data[description],SMALL(IF(ISNUMBER(MATCH(bhpc_data[category],$EC$9,0)*MATCH(bhpc_data[sex],$EC$11,0)),MATCH(ROW(bhpc_data[sku]),ROW(bhpc_data[sku])),""),ROWS($A$15:A218)+$B$3)),INDEX(bhpc_data[description],SMALL(IF(ISNUMBER(MATCH(bhpc_data[category],$EC$9,0)*MATCH(bhpc_data[sex],$EC$11,0)*MATCH(bhpc_data[size1],$EC$13,0)),MATCH(ROW(bhpc_data[sku]),ROW(bhpc_data[sku])),""),ROWS($A$15:A218)+$B$3))))),"")</f>
        <v/>
      </c>
      <c r="EG213" s="543" t="str">
        <f>IFERROR(IF('BHPC MANAGER'!$EE213="","",INDEX(inventory[ESISTENZA],MATCH('BHPC MANAGER'!$EE213,inventory[ARTICOLO],0))),0)</f>
        <v/>
      </c>
      <c r="EH213" s="544"/>
      <c r="EI213" s="544" t="str">
        <f t="shared" si="16"/>
        <v/>
      </c>
      <c r="EJ213" s="545"/>
      <c r="EK213" s="546" t="str">
        <f t="shared" si="17"/>
        <v/>
      </c>
    </row>
    <row r="214" spans="63:141" x14ac:dyDescent="0.35">
      <c r="BK214" s="366"/>
      <c r="BL214" s="367"/>
      <c r="BM214" s="368"/>
      <c r="BN214" s="367"/>
      <c r="BO214" s="368"/>
      <c r="EE214" s="547" t="str" cm="1">
        <f t="array" ref="EE214">IFERROR(IF($EC$9="",IF($EC$11="",IF($EC$13="",INDEX(bhpc_data[sku],SMALL(MATCH(ROW(bhpc_data[sku]),ROW(bhpc_data[sku])),ROWS($A$15:A219)+$B$3)),INDEX(bhpc_data[sku],SMALL(IF(ISNUMBER(MATCH(bhpc_data[size1],$EC$13,0)),MATCH(ROW(bhpc_data[sku]),ROW(bhpc_data[sku])),""),ROWS($A$15:A219)+$B$3))),IF($EC$13="",INDEX(bhpc_data[sku],SMALL(IF(ISNUMBER(MATCH(bhpc_data[sex],$EC$11,0)),MATCH(ROW(bhpc_data[sku]),ROW(bhpc_data[sku])),""),ROWS($A$15:A219)+$B$3)),INDEX(bhpc_data[sku],SMALL(IF(ISNUMBER(MATCH(bhpc_data[sex],$EC$11,0)*MATCH(bhpc_data[size1],$EC$13,0)),MATCH(ROW(bhpc_data[sku]),ROW(bhpc_data[sku])),""),ROWS($A$15:A219)+$B$3)))),IF($EC$11="",IF($EC$13="",INDEX(bhpc_data[sku],SMALL(IF(ISNUMBER(MATCH(bhpc_data[category],$EC$9,0)),MATCH(ROW(bhpc_data[sku]),ROW(bhpc_data[sku])),""),ROWS($A$15:A219)+$B$3)),INDEX(bhpc_data[sku],SMALL(IF(ISNUMBER(MATCH(bhpc_data[category],$EC$9,0)*MATCH(bhpc_data[size1],$EC$13,0)),MATCH(ROW(bhpc_data[sku]),ROW(bhpc_data[sku])),""),ROWS($A$15:A219)+$B$3))),IF($EC$13="",INDEX(bhpc_data[sku],SMALL(IF(ISNUMBER(MATCH(bhpc_data[category],$EC$9,0)*MATCH(bhpc_data[sex],$EC$11,0)),MATCH(ROW(bhpc_data[sku]),ROW(bhpc_data[sku])),""),ROWS($A$15:A219)+$B$3)),INDEX(bhpc_data[sku],SMALL(IF(ISNUMBER(MATCH(bhpc_data[category],$EC$9,0)*MATCH(bhpc_data[sex],$EC$11,0)*MATCH(bhpc_data[size1],$EC$13,0)),MATCH(ROW(bhpc_data[sku]),ROW(bhpc_data[sku])),""),ROWS($A$15:A219)+$B$3))))),"")</f>
        <v/>
      </c>
      <c r="EF214" s="548" t="str" cm="1">
        <f t="array" ref="EF214">IFERROR(IF($EC$9="",IF($EC$11="",IF($EC$13="",INDEX(bhpc_data[description],SMALL(MATCH(ROW(bhpc_data[sku]),ROW(bhpc_data[sku])),ROWS($A$15:A219)+$B$3)),INDEX(bhpc_data[description],SMALL(IF(ISNUMBER(MATCH(bhpc_data[size1],$EC$13,0)),MATCH(ROW(bhpc_data[sku]),ROW(bhpc_data[sku])),""),ROWS($A$15:A219)+$B$3))),IF($EC$13="",INDEX(bhpc_data[description],SMALL(IF(ISNUMBER(MATCH(bhpc_data[sex],$EC$11,0)),MATCH(ROW(bhpc_data[sku]),ROW(bhpc_data[sku])),""),ROWS($A$15:A219)+$B$3)),INDEX(bhpc_data[description],SMALL(IF(ISNUMBER(MATCH(bhpc_data[sex],$EC$11,0)*MATCH(bhpc_data[size1],$EC$13,0)),MATCH(ROW(bhpc_data[sku]),ROW(bhpc_data[sku])),""),ROWS($A$15:A219)+$B$3)))),IF($EC$11="",IF($EC$13="",INDEX(bhpc_data[description],SMALL(IF(ISNUMBER(MATCH(bhpc_data[category],$EC$9,0)),MATCH(ROW(bhpc_data[sku]),ROW(bhpc_data[sku])),""),ROWS($A$15:A219)+$B$3)),INDEX(bhpc_data[description],SMALL(IF(ISNUMBER(MATCH(bhpc_data[category],$EC$9,0)*MATCH(bhpc_data[size1],$EC$13,0)),MATCH(ROW(bhpc_data[sku]),ROW(bhpc_data[sku])),""),ROWS($A$15:A219)+$B$3))),IF($EC$13="",INDEX(bhpc_data[description],SMALL(IF(ISNUMBER(MATCH(bhpc_data[category],$EC$9,0)*MATCH(bhpc_data[sex],$EC$11,0)),MATCH(ROW(bhpc_data[sku]),ROW(bhpc_data[sku])),""),ROWS($A$15:A219)+$B$3)),INDEX(bhpc_data[description],SMALL(IF(ISNUMBER(MATCH(bhpc_data[category],$EC$9,0)*MATCH(bhpc_data[sex],$EC$11,0)*MATCH(bhpc_data[size1],$EC$13,0)),MATCH(ROW(bhpc_data[sku]),ROW(bhpc_data[sku])),""),ROWS($A$15:A219)+$B$3))))),"")</f>
        <v/>
      </c>
      <c r="EG214" s="549" t="str">
        <f>IFERROR(IF('BHPC MANAGER'!$EE214="","",INDEX(inventory[ESISTENZA],MATCH('BHPC MANAGER'!$EE214,inventory[ARTICOLO],0))),0)</f>
        <v/>
      </c>
      <c r="EH214" s="550"/>
      <c r="EI214" s="550" t="str">
        <f t="shared" si="16"/>
        <v/>
      </c>
      <c r="EJ214" s="551"/>
      <c r="EK214" s="552" t="str">
        <f t="shared" si="17"/>
        <v/>
      </c>
    </row>
    <row r="215" spans="63:141" x14ac:dyDescent="0.35">
      <c r="BK215" s="366"/>
      <c r="BL215" s="367"/>
      <c r="BM215" s="368"/>
      <c r="BN215" s="367"/>
      <c r="BO215" s="368"/>
      <c r="EE215" s="541" t="str" cm="1">
        <f t="array" ref="EE215">IFERROR(IF($EC$9="",IF($EC$11="",IF($EC$13="",INDEX(bhpc_data[sku],SMALL(MATCH(ROW(bhpc_data[sku]),ROW(bhpc_data[sku])),ROWS($A$15:A220)+$B$3)),INDEX(bhpc_data[sku],SMALL(IF(ISNUMBER(MATCH(bhpc_data[size1],$EC$13,0)),MATCH(ROW(bhpc_data[sku]),ROW(bhpc_data[sku])),""),ROWS($A$15:A220)+$B$3))),IF($EC$13="",INDEX(bhpc_data[sku],SMALL(IF(ISNUMBER(MATCH(bhpc_data[sex],$EC$11,0)),MATCH(ROW(bhpc_data[sku]),ROW(bhpc_data[sku])),""),ROWS($A$15:A220)+$B$3)),INDEX(bhpc_data[sku],SMALL(IF(ISNUMBER(MATCH(bhpc_data[sex],$EC$11,0)*MATCH(bhpc_data[size1],$EC$13,0)),MATCH(ROW(bhpc_data[sku]),ROW(bhpc_data[sku])),""),ROWS($A$15:A220)+$B$3)))),IF($EC$11="",IF($EC$13="",INDEX(bhpc_data[sku],SMALL(IF(ISNUMBER(MATCH(bhpc_data[category],$EC$9,0)),MATCH(ROW(bhpc_data[sku]),ROW(bhpc_data[sku])),""),ROWS($A$15:A220)+$B$3)),INDEX(bhpc_data[sku],SMALL(IF(ISNUMBER(MATCH(bhpc_data[category],$EC$9,0)*MATCH(bhpc_data[size1],$EC$13,0)),MATCH(ROW(bhpc_data[sku]),ROW(bhpc_data[sku])),""),ROWS($A$15:A220)+$B$3))),IF($EC$13="",INDEX(bhpc_data[sku],SMALL(IF(ISNUMBER(MATCH(bhpc_data[category],$EC$9,0)*MATCH(bhpc_data[sex],$EC$11,0)),MATCH(ROW(bhpc_data[sku]),ROW(bhpc_data[sku])),""),ROWS($A$15:A220)+$B$3)),INDEX(bhpc_data[sku],SMALL(IF(ISNUMBER(MATCH(bhpc_data[category],$EC$9,0)*MATCH(bhpc_data[sex],$EC$11,0)*MATCH(bhpc_data[size1],$EC$13,0)),MATCH(ROW(bhpc_data[sku]),ROW(bhpc_data[sku])),""),ROWS($A$15:A220)+$B$3))))),"")</f>
        <v/>
      </c>
      <c r="EF215" s="542" t="str" cm="1">
        <f t="array" ref="EF215">IFERROR(IF($EC$9="",IF($EC$11="",IF($EC$13="",INDEX(bhpc_data[description],SMALL(MATCH(ROW(bhpc_data[sku]),ROW(bhpc_data[sku])),ROWS($A$15:A220)+$B$3)),INDEX(bhpc_data[description],SMALL(IF(ISNUMBER(MATCH(bhpc_data[size1],$EC$13,0)),MATCH(ROW(bhpc_data[sku]),ROW(bhpc_data[sku])),""),ROWS($A$15:A220)+$B$3))),IF($EC$13="",INDEX(bhpc_data[description],SMALL(IF(ISNUMBER(MATCH(bhpc_data[sex],$EC$11,0)),MATCH(ROW(bhpc_data[sku]),ROW(bhpc_data[sku])),""),ROWS($A$15:A220)+$B$3)),INDEX(bhpc_data[description],SMALL(IF(ISNUMBER(MATCH(bhpc_data[sex],$EC$11,0)*MATCH(bhpc_data[size1],$EC$13,0)),MATCH(ROW(bhpc_data[sku]),ROW(bhpc_data[sku])),""),ROWS($A$15:A220)+$B$3)))),IF($EC$11="",IF($EC$13="",INDEX(bhpc_data[description],SMALL(IF(ISNUMBER(MATCH(bhpc_data[category],$EC$9,0)),MATCH(ROW(bhpc_data[sku]),ROW(bhpc_data[sku])),""),ROWS($A$15:A220)+$B$3)),INDEX(bhpc_data[description],SMALL(IF(ISNUMBER(MATCH(bhpc_data[category],$EC$9,0)*MATCH(bhpc_data[size1],$EC$13,0)),MATCH(ROW(bhpc_data[sku]),ROW(bhpc_data[sku])),""),ROWS($A$15:A220)+$B$3))),IF($EC$13="",INDEX(bhpc_data[description],SMALL(IF(ISNUMBER(MATCH(bhpc_data[category],$EC$9,0)*MATCH(bhpc_data[sex],$EC$11,0)),MATCH(ROW(bhpc_data[sku]),ROW(bhpc_data[sku])),""),ROWS($A$15:A220)+$B$3)),INDEX(bhpc_data[description],SMALL(IF(ISNUMBER(MATCH(bhpc_data[category],$EC$9,0)*MATCH(bhpc_data[sex],$EC$11,0)*MATCH(bhpc_data[size1],$EC$13,0)),MATCH(ROW(bhpc_data[sku]),ROW(bhpc_data[sku])),""),ROWS($A$15:A220)+$B$3))))),"")</f>
        <v/>
      </c>
      <c r="EG215" s="543" t="str">
        <f>IFERROR(IF('BHPC MANAGER'!$EE215="","",INDEX(inventory[ESISTENZA],MATCH('BHPC MANAGER'!$EE215,inventory[ARTICOLO],0))),0)</f>
        <v/>
      </c>
      <c r="EH215" s="544"/>
      <c r="EI215" s="544" t="str">
        <f t="shared" si="16"/>
        <v/>
      </c>
      <c r="EJ215" s="545"/>
      <c r="EK215" s="546" t="str">
        <f t="shared" si="17"/>
        <v/>
      </c>
    </row>
    <row r="216" spans="63:141" x14ac:dyDescent="0.35">
      <c r="BK216" s="366"/>
      <c r="BL216" s="367"/>
      <c r="BM216" s="368"/>
      <c r="BN216" s="367"/>
      <c r="BO216" s="368"/>
      <c r="EE216" s="547" t="str" cm="1">
        <f t="array" ref="EE216">IFERROR(IF($EC$9="",IF($EC$11="",IF($EC$13="",INDEX(bhpc_data[sku],SMALL(MATCH(ROW(bhpc_data[sku]),ROW(bhpc_data[sku])),ROWS($A$15:A221)+$B$3)),INDEX(bhpc_data[sku],SMALL(IF(ISNUMBER(MATCH(bhpc_data[size1],$EC$13,0)),MATCH(ROW(bhpc_data[sku]),ROW(bhpc_data[sku])),""),ROWS($A$15:A221)+$B$3))),IF($EC$13="",INDEX(bhpc_data[sku],SMALL(IF(ISNUMBER(MATCH(bhpc_data[sex],$EC$11,0)),MATCH(ROW(bhpc_data[sku]),ROW(bhpc_data[sku])),""),ROWS($A$15:A221)+$B$3)),INDEX(bhpc_data[sku],SMALL(IF(ISNUMBER(MATCH(bhpc_data[sex],$EC$11,0)*MATCH(bhpc_data[size1],$EC$13,0)),MATCH(ROW(bhpc_data[sku]),ROW(bhpc_data[sku])),""),ROWS($A$15:A221)+$B$3)))),IF($EC$11="",IF($EC$13="",INDEX(bhpc_data[sku],SMALL(IF(ISNUMBER(MATCH(bhpc_data[category],$EC$9,0)),MATCH(ROW(bhpc_data[sku]),ROW(bhpc_data[sku])),""),ROWS($A$15:A221)+$B$3)),INDEX(bhpc_data[sku],SMALL(IF(ISNUMBER(MATCH(bhpc_data[category],$EC$9,0)*MATCH(bhpc_data[size1],$EC$13,0)),MATCH(ROW(bhpc_data[sku]),ROW(bhpc_data[sku])),""),ROWS($A$15:A221)+$B$3))),IF($EC$13="",INDEX(bhpc_data[sku],SMALL(IF(ISNUMBER(MATCH(bhpc_data[category],$EC$9,0)*MATCH(bhpc_data[sex],$EC$11,0)),MATCH(ROW(bhpc_data[sku]),ROW(bhpc_data[sku])),""),ROWS($A$15:A221)+$B$3)),INDEX(bhpc_data[sku],SMALL(IF(ISNUMBER(MATCH(bhpc_data[category],$EC$9,0)*MATCH(bhpc_data[sex],$EC$11,0)*MATCH(bhpc_data[size1],$EC$13,0)),MATCH(ROW(bhpc_data[sku]),ROW(bhpc_data[sku])),""),ROWS($A$15:A221)+$B$3))))),"")</f>
        <v/>
      </c>
      <c r="EF216" s="548" t="str" cm="1">
        <f t="array" ref="EF216">IFERROR(IF($EC$9="",IF($EC$11="",IF($EC$13="",INDEX(bhpc_data[description],SMALL(MATCH(ROW(bhpc_data[sku]),ROW(bhpc_data[sku])),ROWS($A$15:A221)+$B$3)),INDEX(bhpc_data[description],SMALL(IF(ISNUMBER(MATCH(bhpc_data[size1],$EC$13,0)),MATCH(ROW(bhpc_data[sku]),ROW(bhpc_data[sku])),""),ROWS($A$15:A221)+$B$3))),IF($EC$13="",INDEX(bhpc_data[description],SMALL(IF(ISNUMBER(MATCH(bhpc_data[sex],$EC$11,0)),MATCH(ROW(bhpc_data[sku]),ROW(bhpc_data[sku])),""),ROWS($A$15:A221)+$B$3)),INDEX(bhpc_data[description],SMALL(IF(ISNUMBER(MATCH(bhpc_data[sex],$EC$11,0)*MATCH(bhpc_data[size1],$EC$13,0)),MATCH(ROW(bhpc_data[sku]),ROW(bhpc_data[sku])),""),ROWS($A$15:A221)+$B$3)))),IF($EC$11="",IF($EC$13="",INDEX(bhpc_data[description],SMALL(IF(ISNUMBER(MATCH(bhpc_data[category],$EC$9,0)),MATCH(ROW(bhpc_data[sku]),ROW(bhpc_data[sku])),""),ROWS($A$15:A221)+$B$3)),INDEX(bhpc_data[description],SMALL(IF(ISNUMBER(MATCH(bhpc_data[category],$EC$9,0)*MATCH(bhpc_data[size1],$EC$13,0)),MATCH(ROW(bhpc_data[sku]),ROW(bhpc_data[sku])),""),ROWS($A$15:A221)+$B$3))),IF($EC$13="",INDEX(bhpc_data[description],SMALL(IF(ISNUMBER(MATCH(bhpc_data[category],$EC$9,0)*MATCH(bhpc_data[sex],$EC$11,0)),MATCH(ROW(bhpc_data[sku]),ROW(bhpc_data[sku])),""),ROWS($A$15:A221)+$B$3)),INDEX(bhpc_data[description],SMALL(IF(ISNUMBER(MATCH(bhpc_data[category],$EC$9,0)*MATCH(bhpc_data[sex],$EC$11,0)*MATCH(bhpc_data[size1],$EC$13,0)),MATCH(ROW(bhpc_data[sku]),ROW(bhpc_data[sku])),""),ROWS($A$15:A221)+$B$3))))),"")</f>
        <v/>
      </c>
      <c r="EG216" s="549" t="str">
        <f>IFERROR(IF('BHPC MANAGER'!$EE216="","",INDEX(inventory[ESISTENZA],MATCH('BHPC MANAGER'!$EE216,inventory[ARTICOLO],0))),0)</f>
        <v/>
      </c>
      <c r="EH216" s="550"/>
      <c r="EI216" s="550" t="str">
        <f t="shared" si="16"/>
        <v/>
      </c>
      <c r="EJ216" s="551"/>
      <c r="EK216" s="552" t="str">
        <f t="shared" si="17"/>
        <v/>
      </c>
    </row>
    <row r="217" spans="63:141" x14ac:dyDescent="0.35">
      <c r="BK217" s="366"/>
      <c r="BL217" s="367"/>
      <c r="BM217" s="368"/>
      <c r="BN217" s="367"/>
      <c r="BO217" s="368"/>
      <c r="EE217" s="541" t="str" cm="1">
        <f t="array" ref="EE217">IFERROR(IF($EC$9="",IF($EC$11="",IF($EC$13="",INDEX(bhpc_data[sku],SMALL(MATCH(ROW(bhpc_data[sku]),ROW(bhpc_data[sku])),ROWS($A$15:A222)+$B$3)),INDEX(bhpc_data[sku],SMALL(IF(ISNUMBER(MATCH(bhpc_data[size1],$EC$13,0)),MATCH(ROW(bhpc_data[sku]),ROW(bhpc_data[sku])),""),ROWS($A$15:A222)+$B$3))),IF($EC$13="",INDEX(bhpc_data[sku],SMALL(IF(ISNUMBER(MATCH(bhpc_data[sex],$EC$11,0)),MATCH(ROW(bhpc_data[sku]),ROW(bhpc_data[sku])),""),ROWS($A$15:A222)+$B$3)),INDEX(bhpc_data[sku],SMALL(IF(ISNUMBER(MATCH(bhpc_data[sex],$EC$11,0)*MATCH(bhpc_data[size1],$EC$13,0)),MATCH(ROW(bhpc_data[sku]),ROW(bhpc_data[sku])),""),ROWS($A$15:A222)+$B$3)))),IF($EC$11="",IF($EC$13="",INDEX(bhpc_data[sku],SMALL(IF(ISNUMBER(MATCH(bhpc_data[category],$EC$9,0)),MATCH(ROW(bhpc_data[sku]),ROW(bhpc_data[sku])),""),ROWS($A$15:A222)+$B$3)),INDEX(bhpc_data[sku],SMALL(IF(ISNUMBER(MATCH(bhpc_data[category],$EC$9,0)*MATCH(bhpc_data[size1],$EC$13,0)),MATCH(ROW(bhpc_data[sku]),ROW(bhpc_data[sku])),""),ROWS($A$15:A222)+$B$3))),IF($EC$13="",INDEX(bhpc_data[sku],SMALL(IF(ISNUMBER(MATCH(bhpc_data[category],$EC$9,0)*MATCH(bhpc_data[sex],$EC$11,0)),MATCH(ROW(bhpc_data[sku]),ROW(bhpc_data[sku])),""),ROWS($A$15:A222)+$B$3)),INDEX(bhpc_data[sku],SMALL(IF(ISNUMBER(MATCH(bhpc_data[category],$EC$9,0)*MATCH(bhpc_data[sex],$EC$11,0)*MATCH(bhpc_data[size1],$EC$13,0)),MATCH(ROW(bhpc_data[sku]),ROW(bhpc_data[sku])),""),ROWS($A$15:A222)+$B$3))))),"")</f>
        <v/>
      </c>
      <c r="EF217" s="542" t="str" cm="1">
        <f t="array" ref="EF217">IFERROR(IF($EC$9="",IF($EC$11="",IF($EC$13="",INDEX(bhpc_data[description],SMALL(MATCH(ROW(bhpc_data[sku]),ROW(bhpc_data[sku])),ROWS($A$15:A222)+$B$3)),INDEX(bhpc_data[description],SMALL(IF(ISNUMBER(MATCH(bhpc_data[size1],$EC$13,0)),MATCH(ROW(bhpc_data[sku]),ROW(bhpc_data[sku])),""),ROWS($A$15:A222)+$B$3))),IF($EC$13="",INDEX(bhpc_data[description],SMALL(IF(ISNUMBER(MATCH(bhpc_data[sex],$EC$11,0)),MATCH(ROW(bhpc_data[sku]),ROW(bhpc_data[sku])),""),ROWS($A$15:A222)+$B$3)),INDEX(bhpc_data[description],SMALL(IF(ISNUMBER(MATCH(bhpc_data[sex],$EC$11,0)*MATCH(bhpc_data[size1],$EC$13,0)),MATCH(ROW(bhpc_data[sku]),ROW(bhpc_data[sku])),""),ROWS($A$15:A222)+$B$3)))),IF($EC$11="",IF($EC$13="",INDEX(bhpc_data[description],SMALL(IF(ISNUMBER(MATCH(bhpc_data[category],$EC$9,0)),MATCH(ROW(bhpc_data[sku]),ROW(bhpc_data[sku])),""),ROWS($A$15:A222)+$B$3)),INDEX(bhpc_data[description],SMALL(IF(ISNUMBER(MATCH(bhpc_data[category],$EC$9,0)*MATCH(bhpc_data[size1],$EC$13,0)),MATCH(ROW(bhpc_data[sku]),ROW(bhpc_data[sku])),""),ROWS($A$15:A222)+$B$3))),IF($EC$13="",INDEX(bhpc_data[description],SMALL(IF(ISNUMBER(MATCH(bhpc_data[category],$EC$9,0)*MATCH(bhpc_data[sex],$EC$11,0)),MATCH(ROW(bhpc_data[sku]),ROW(bhpc_data[sku])),""),ROWS($A$15:A222)+$B$3)),INDEX(bhpc_data[description],SMALL(IF(ISNUMBER(MATCH(bhpc_data[category],$EC$9,0)*MATCH(bhpc_data[sex],$EC$11,0)*MATCH(bhpc_data[size1],$EC$13,0)),MATCH(ROW(bhpc_data[sku]),ROW(bhpc_data[sku])),""),ROWS($A$15:A222)+$B$3))))),"")</f>
        <v/>
      </c>
      <c r="EG217" s="543" t="str">
        <f>IFERROR(IF('BHPC MANAGER'!$EE217="","",INDEX(inventory[ESISTENZA],MATCH('BHPC MANAGER'!$EE217,inventory[ARTICOLO],0))),0)</f>
        <v/>
      </c>
      <c r="EH217" s="544"/>
      <c r="EI217" s="544" t="str">
        <f t="shared" si="16"/>
        <v/>
      </c>
      <c r="EJ217" s="545"/>
      <c r="EK217" s="546" t="str">
        <f t="shared" si="17"/>
        <v/>
      </c>
    </row>
    <row r="218" spans="63:141" x14ac:dyDescent="0.35">
      <c r="BK218" s="366"/>
      <c r="BL218" s="367"/>
      <c r="BM218" s="368"/>
      <c r="BN218" s="367"/>
      <c r="BO218" s="368"/>
      <c r="EE218" s="547" t="str" cm="1">
        <f t="array" ref="EE218">IFERROR(IF($EC$9="",IF($EC$11="",IF($EC$13="",INDEX(bhpc_data[sku],SMALL(MATCH(ROW(bhpc_data[sku]),ROW(bhpc_data[sku])),ROWS($A$15:A223)+$B$3)),INDEX(bhpc_data[sku],SMALL(IF(ISNUMBER(MATCH(bhpc_data[size1],$EC$13,0)),MATCH(ROW(bhpc_data[sku]),ROW(bhpc_data[sku])),""),ROWS($A$15:A223)+$B$3))),IF($EC$13="",INDEX(bhpc_data[sku],SMALL(IF(ISNUMBER(MATCH(bhpc_data[sex],$EC$11,0)),MATCH(ROW(bhpc_data[sku]),ROW(bhpc_data[sku])),""),ROWS($A$15:A223)+$B$3)),INDEX(bhpc_data[sku],SMALL(IF(ISNUMBER(MATCH(bhpc_data[sex],$EC$11,0)*MATCH(bhpc_data[size1],$EC$13,0)),MATCH(ROW(bhpc_data[sku]),ROW(bhpc_data[sku])),""),ROWS($A$15:A223)+$B$3)))),IF($EC$11="",IF($EC$13="",INDEX(bhpc_data[sku],SMALL(IF(ISNUMBER(MATCH(bhpc_data[category],$EC$9,0)),MATCH(ROW(bhpc_data[sku]),ROW(bhpc_data[sku])),""),ROWS($A$15:A223)+$B$3)),INDEX(bhpc_data[sku],SMALL(IF(ISNUMBER(MATCH(bhpc_data[category],$EC$9,0)*MATCH(bhpc_data[size1],$EC$13,0)),MATCH(ROW(bhpc_data[sku]),ROW(bhpc_data[sku])),""),ROWS($A$15:A223)+$B$3))),IF($EC$13="",INDEX(bhpc_data[sku],SMALL(IF(ISNUMBER(MATCH(bhpc_data[category],$EC$9,0)*MATCH(bhpc_data[sex],$EC$11,0)),MATCH(ROW(bhpc_data[sku]),ROW(bhpc_data[sku])),""),ROWS($A$15:A223)+$B$3)),INDEX(bhpc_data[sku],SMALL(IF(ISNUMBER(MATCH(bhpc_data[category],$EC$9,0)*MATCH(bhpc_data[sex],$EC$11,0)*MATCH(bhpc_data[size1],$EC$13,0)),MATCH(ROW(bhpc_data[sku]),ROW(bhpc_data[sku])),""),ROWS($A$15:A223)+$B$3))))),"")</f>
        <v/>
      </c>
      <c r="EF218" s="548" t="str" cm="1">
        <f t="array" ref="EF218">IFERROR(IF($EC$9="",IF($EC$11="",IF($EC$13="",INDEX(bhpc_data[description],SMALL(MATCH(ROW(bhpc_data[sku]),ROW(bhpc_data[sku])),ROWS($A$15:A223)+$B$3)),INDEX(bhpc_data[description],SMALL(IF(ISNUMBER(MATCH(bhpc_data[size1],$EC$13,0)),MATCH(ROW(bhpc_data[sku]),ROW(bhpc_data[sku])),""),ROWS($A$15:A223)+$B$3))),IF($EC$13="",INDEX(bhpc_data[description],SMALL(IF(ISNUMBER(MATCH(bhpc_data[sex],$EC$11,0)),MATCH(ROW(bhpc_data[sku]),ROW(bhpc_data[sku])),""),ROWS($A$15:A223)+$B$3)),INDEX(bhpc_data[description],SMALL(IF(ISNUMBER(MATCH(bhpc_data[sex],$EC$11,0)*MATCH(bhpc_data[size1],$EC$13,0)),MATCH(ROW(bhpc_data[sku]),ROW(bhpc_data[sku])),""),ROWS($A$15:A223)+$B$3)))),IF($EC$11="",IF($EC$13="",INDEX(bhpc_data[description],SMALL(IF(ISNUMBER(MATCH(bhpc_data[category],$EC$9,0)),MATCH(ROW(bhpc_data[sku]),ROW(bhpc_data[sku])),""),ROWS($A$15:A223)+$B$3)),INDEX(bhpc_data[description],SMALL(IF(ISNUMBER(MATCH(bhpc_data[category],$EC$9,0)*MATCH(bhpc_data[size1],$EC$13,0)),MATCH(ROW(bhpc_data[sku]),ROW(bhpc_data[sku])),""),ROWS($A$15:A223)+$B$3))),IF($EC$13="",INDEX(bhpc_data[description],SMALL(IF(ISNUMBER(MATCH(bhpc_data[category],$EC$9,0)*MATCH(bhpc_data[sex],$EC$11,0)),MATCH(ROW(bhpc_data[sku]),ROW(bhpc_data[sku])),""),ROWS($A$15:A223)+$B$3)),INDEX(bhpc_data[description],SMALL(IF(ISNUMBER(MATCH(bhpc_data[category],$EC$9,0)*MATCH(bhpc_data[sex],$EC$11,0)*MATCH(bhpc_data[size1],$EC$13,0)),MATCH(ROW(bhpc_data[sku]),ROW(bhpc_data[sku])),""),ROWS($A$15:A223)+$B$3))))),"")</f>
        <v/>
      </c>
      <c r="EG218" s="549" t="str">
        <f>IFERROR(IF('BHPC MANAGER'!$EE218="","",INDEX(inventory[ESISTENZA],MATCH('BHPC MANAGER'!$EE218,inventory[ARTICOLO],0))),0)</f>
        <v/>
      </c>
      <c r="EH218" s="550"/>
      <c r="EI218" s="550" t="str">
        <f t="shared" si="16"/>
        <v/>
      </c>
      <c r="EJ218" s="551"/>
      <c r="EK218" s="552" t="str">
        <f t="shared" si="17"/>
        <v/>
      </c>
    </row>
    <row r="219" spans="63:141" x14ac:dyDescent="0.35">
      <c r="BK219" s="366"/>
      <c r="BL219" s="367"/>
      <c r="BM219" s="368"/>
      <c r="BN219" s="367"/>
      <c r="BO219" s="368"/>
      <c r="EE219" s="541" t="str" cm="1">
        <f t="array" ref="EE219">IFERROR(IF($EC$9="",IF($EC$11="",IF($EC$13="",INDEX(bhpc_data[sku],SMALL(MATCH(ROW(bhpc_data[sku]),ROW(bhpc_data[sku])),ROWS($A$15:A224)+$B$3)),INDEX(bhpc_data[sku],SMALL(IF(ISNUMBER(MATCH(bhpc_data[size1],$EC$13,0)),MATCH(ROW(bhpc_data[sku]),ROW(bhpc_data[sku])),""),ROWS($A$15:A224)+$B$3))),IF($EC$13="",INDEX(bhpc_data[sku],SMALL(IF(ISNUMBER(MATCH(bhpc_data[sex],$EC$11,0)),MATCH(ROW(bhpc_data[sku]),ROW(bhpc_data[sku])),""),ROWS($A$15:A224)+$B$3)),INDEX(bhpc_data[sku],SMALL(IF(ISNUMBER(MATCH(bhpc_data[sex],$EC$11,0)*MATCH(bhpc_data[size1],$EC$13,0)),MATCH(ROW(bhpc_data[sku]),ROW(bhpc_data[sku])),""),ROWS($A$15:A224)+$B$3)))),IF($EC$11="",IF($EC$13="",INDEX(bhpc_data[sku],SMALL(IF(ISNUMBER(MATCH(bhpc_data[category],$EC$9,0)),MATCH(ROW(bhpc_data[sku]),ROW(bhpc_data[sku])),""),ROWS($A$15:A224)+$B$3)),INDEX(bhpc_data[sku],SMALL(IF(ISNUMBER(MATCH(bhpc_data[category],$EC$9,0)*MATCH(bhpc_data[size1],$EC$13,0)),MATCH(ROW(bhpc_data[sku]),ROW(bhpc_data[sku])),""),ROWS($A$15:A224)+$B$3))),IF($EC$13="",INDEX(bhpc_data[sku],SMALL(IF(ISNUMBER(MATCH(bhpc_data[category],$EC$9,0)*MATCH(bhpc_data[sex],$EC$11,0)),MATCH(ROW(bhpc_data[sku]),ROW(bhpc_data[sku])),""),ROWS($A$15:A224)+$B$3)),INDEX(bhpc_data[sku],SMALL(IF(ISNUMBER(MATCH(bhpc_data[category],$EC$9,0)*MATCH(bhpc_data[sex],$EC$11,0)*MATCH(bhpc_data[size1],$EC$13,0)),MATCH(ROW(bhpc_data[sku]),ROW(bhpc_data[sku])),""),ROWS($A$15:A224)+$B$3))))),"")</f>
        <v/>
      </c>
      <c r="EF219" s="542" t="str" cm="1">
        <f t="array" ref="EF219">IFERROR(IF($EC$9="",IF($EC$11="",IF($EC$13="",INDEX(bhpc_data[description],SMALL(MATCH(ROW(bhpc_data[sku]),ROW(bhpc_data[sku])),ROWS($A$15:A224)+$B$3)),INDEX(bhpc_data[description],SMALL(IF(ISNUMBER(MATCH(bhpc_data[size1],$EC$13,0)),MATCH(ROW(bhpc_data[sku]),ROW(bhpc_data[sku])),""),ROWS($A$15:A224)+$B$3))),IF($EC$13="",INDEX(bhpc_data[description],SMALL(IF(ISNUMBER(MATCH(bhpc_data[sex],$EC$11,0)),MATCH(ROW(bhpc_data[sku]),ROW(bhpc_data[sku])),""),ROWS($A$15:A224)+$B$3)),INDEX(bhpc_data[description],SMALL(IF(ISNUMBER(MATCH(bhpc_data[sex],$EC$11,0)*MATCH(bhpc_data[size1],$EC$13,0)),MATCH(ROW(bhpc_data[sku]),ROW(bhpc_data[sku])),""),ROWS($A$15:A224)+$B$3)))),IF($EC$11="",IF($EC$13="",INDEX(bhpc_data[description],SMALL(IF(ISNUMBER(MATCH(bhpc_data[category],$EC$9,0)),MATCH(ROW(bhpc_data[sku]),ROW(bhpc_data[sku])),""),ROWS($A$15:A224)+$B$3)),INDEX(bhpc_data[description],SMALL(IF(ISNUMBER(MATCH(bhpc_data[category],$EC$9,0)*MATCH(bhpc_data[size1],$EC$13,0)),MATCH(ROW(bhpc_data[sku]),ROW(bhpc_data[sku])),""),ROWS($A$15:A224)+$B$3))),IF($EC$13="",INDEX(bhpc_data[description],SMALL(IF(ISNUMBER(MATCH(bhpc_data[category],$EC$9,0)*MATCH(bhpc_data[sex],$EC$11,0)),MATCH(ROW(bhpc_data[sku]),ROW(bhpc_data[sku])),""),ROWS($A$15:A224)+$B$3)),INDEX(bhpc_data[description],SMALL(IF(ISNUMBER(MATCH(bhpc_data[category],$EC$9,0)*MATCH(bhpc_data[sex],$EC$11,0)*MATCH(bhpc_data[size1],$EC$13,0)),MATCH(ROW(bhpc_data[sku]),ROW(bhpc_data[sku])),""),ROWS($A$15:A224)+$B$3))))),"")</f>
        <v/>
      </c>
      <c r="EG219" s="543" t="str">
        <f>IFERROR(IF('BHPC MANAGER'!$EE219="","",INDEX(inventory[ESISTENZA],MATCH('BHPC MANAGER'!$EE219,inventory[ARTICOLO],0))),0)</f>
        <v/>
      </c>
      <c r="EH219" s="544"/>
      <c r="EI219" s="544" t="str">
        <f t="shared" si="16"/>
        <v/>
      </c>
      <c r="EJ219" s="545"/>
      <c r="EK219" s="546" t="str">
        <f t="shared" si="17"/>
        <v/>
      </c>
    </row>
    <row r="220" spans="63:141" x14ac:dyDescent="0.35">
      <c r="BK220" s="366"/>
      <c r="BL220" s="367"/>
      <c r="BM220" s="368"/>
      <c r="BN220" s="367"/>
      <c r="BO220" s="368"/>
      <c r="EE220" s="547" t="str" cm="1">
        <f t="array" ref="EE220">IFERROR(IF($EC$9="",IF($EC$11="",IF($EC$13="",INDEX(bhpc_data[sku],SMALL(MATCH(ROW(bhpc_data[sku]),ROW(bhpc_data[sku])),ROWS($A$15:A225)+$B$3)),INDEX(bhpc_data[sku],SMALL(IF(ISNUMBER(MATCH(bhpc_data[size1],$EC$13,0)),MATCH(ROW(bhpc_data[sku]),ROW(bhpc_data[sku])),""),ROWS($A$15:A225)+$B$3))),IF($EC$13="",INDEX(bhpc_data[sku],SMALL(IF(ISNUMBER(MATCH(bhpc_data[sex],$EC$11,0)),MATCH(ROW(bhpc_data[sku]),ROW(bhpc_data[sku])),""),ROWS($A$15:A225)+$B$3)),INDEX(bhpc_data[sku],SMALL(IF(ISNUMBER(MATCH(bhpc_data[sex],$EC$11,0)*MATCH(bhpc_data[size1],$EC$13,0)),MATCH(ROW(bhpc_data[sku]),ROW(bhpc_data[sku])),""),ROWS($A$15:A225)+$B$3)))),IF($EC$11="",IF($EC$13="",INDEX(bhpc_data[sku],SMALL(IF(ISNUMBER(MATCH(bhpc_data[category],$EC$9,0)),MATCH(ROW(bhpc_data[sku]),ROW(bhpc_data[sku])),""),ROWS($A$15:A225)+$B$3)),INDEX(bhpc_data[sku],SMALL(IF(ISNUMBER(MATCH(bhpc_data[category],$EC$9,0)*MATCH(bhpc_data[size1],$EC$13,0)),MATCH(ROW(bhpc_data[sku]),ROW(bhpc_data[sku])),""),ROWS($A$15:A225)+$B$3))),IF($EC$13="",INDEX(bhpc_data[sku],SMALL(IF(ISNUMBER(MATCH(bhpc_data[category],$EC$9,0)*MATCH(bhpc_data[sex],$EC$11,0)),MATCH(ROW(bhpc_data[sku]),ROW(bhpc_data[sku])),""),ROWS($A$15:A225)+$B$3)),INDEX(bhpc_data[sku],SMALL(IF(ISNUMBER(MATCH(bhpc_data[category],$EC$9,0)*MATCH(bhpc_data[sex],$EC$11,0)*MATCH(bhpc_data[size1],$EC$13,0)),MATCH(ROW(bhpc_data[sku]),ROW(bhpc_data[sku])),""),ROWS($A$15:A225)+$B$3))))),"")</f>
        <v/>
      </c>
      <c r="EF220" s="548" t="str" cm="1">
        <f t="array" ref="EF220">IFERROR(IF($EC$9="",IF($EC$11="",IF($EC$13="",INDEX(bhpc_data[description],SMALL(MATCH(ROW(bhpc_data[sku]),ROW(bhpc_data[sku])),ROWS($A$15:A225)+$B$3)),INDEX(bhpc_data[description],SMALL(IF(ISNUMBER(MATCH(bhpc_data[size1],$EC$13,0)),MATCH(ROW(bhpc_data[sku]),ROW(bhpc_data[sku])),""),ROWS($A$15:A225)+$B$3))),IF($EC$13="",INDEX(bhpc_data[description],SMALL(IF(ISNUMBER(MATCH(bhpc_data[sex],$EC$11,0)),MATCH(ROW(bhpc_data[sku]),ROW(bhpc_data[sku])),""),ROWS($A$15:A225)+$B$3)),INDEX(bhpc_data[description],SMALL(IF(ISNUMBER(MATCH(bhpc_data[sex],$EC$11,0)*MATCH(bhpc_data[size1],$EC$13,0)),MATCH(ROW(bhpc_data[sku]),ROW(bhpc_data[sku])),""),ROWS($A$15:A225)+$B$3)))),IF($EC$11="",IF($EC$13="",INDEX(bhpc_data[description],SMALL(IF(ISNUMBER(MATCH(bhpc_data[category],$EC$9,0)),MATCH(ROW(bhpc_data[sku]),ROW(bhpc_data[sku])),""),ROWS($A$15:A225)+$B$3)),INDEX(bhpc_data[description],SMALL(IF(ISNUMBER(MATCH(bhpc_data[category],$EC$9,0)*MATCH(bhpc_data[size1],$EC$13,0)),MATCH(ROW(bhpc_data[sku]),ROW(bhpc_data[sku])),""),ROWS($A$15:A225)+$B$3))),IF($EC$13="",INDEX(bhpc_data[description],SMALL(IF(ISNUMBER(MATCH(bhpc_data[category],$EC$9,0)*MATCH(bhpc_data[sex],$EC$11,0)),MATCH(ROW(bhpc_data[sku]),ROW(bhpc_data[sku])),""),ROWS($A$15:A225)+$B$3)),INDEX(bhpc_data[description],SMALL(IF(ISNUMBER(MATCH(bhpc_data[category],$EC$9,0)*MATCH(bhpc_data[sex],$EC$11,0)*MATCH(bhpc_data[size1],$EC$13,0)),MATCH(ROW(bhpc_data[sku]),ROW(bhpc_data[sku])),""),ROWS($A$15:A225)+$B$3))))),"")</f>
        <v/>
      </c>
      <c r="EG220" s="549" t="str">
        <f>IFERROR(IF('BHPC MANAGER'!$EE220="","",INDEX(inventory[ESISTENZA],MATCH('BHPC MANAGER'!$EE220,inventory[ARTICOLO],0))),0)</f>
        <v/>
      </c>
      <c r="EH220" s="550"/>
      <c r="EI220" s="550" t="str">
        <f t="shared" si="16"/>
        <v/>
      </c>
      <c r="EJ220" s="551"/>
      <c r="EK220" s="552" t="str">
        <f t="shared" si="17"/>
        <v/>
      </c>
    </row>
    <row r="221" spans="63:141" x14ac:dyDescent="0.35">
      <c r="BK221" s="366"/>
      <c r="BL221" s="367"/>
      <c r="BM221" s="368"/>
      <c r="BN221" s="367"/>
      <c r="BO221" s="368"/>
      <c r="EE221" s="541" t="str" cm="1">
        <f t="array" ref="EE221">IFERROR(IF($EC$9="",IF($EC$11="",IF($EC$13="",INDEX(bhpc_data[sku],SMALL(MATCH(ROW(bhpc_data[sku]),ROW(bhpc_data[sku])),ROWS($A$15:A226)+$B$3)),INDEX(bhpc_data[sku],SMALL(IF(ISNUMBER(MATCH(bhpc_data[size1],$EC$13,0)),MATCH(ROW(bhpc_data[sku]),ROW(bhpc_data[sku])),""),ROWS($A$15:A226)+$B$3))),IF($EC$13="",INDEX(bhpc_data[sku],SMALL(IF(ISNUMBER(MATCH(bhpc_data[sex],$EC$11,0)),MATCH(ROW(bhpc_data[sku]),ROW(bhpc_data[sku])),""),ROWS($A$15:A226)+$B$3)),INDEX(bhpc_data[sku],SMALL(IF(ISNUMBER(MATCH(bhpc_data[sex],$EC$11,0)*MATCH(bhpc_data[size1],$EC$13,0)),MATCH(ROW(bhpc_data[sku]),ROW(bhpc_data[sku])),""),ROWS($A$15:A226)+$B$3)))),IF($EC$11="",IF($EC$13="",INDEX(bhpc_data[sku],SMALL(IF(ISNUMBER(MATCH(bhpc_data[category],$EC$9,0)),MATCH(ROW(bhpc_data[sku]),ROW(bhpc_data[sku])),""),ROWS($A$15:A226)+$B$3)),INDEX(bhpc_data[sku],SMALL(IF(ISNUMBER(MATCH(bhpc_data[category],$EC$9,0)*MATCH(bhpc_data[size1],$EC$13,0)),MATCH(ROW(bhpc_data[sku]),ROW(bhpc_data[sku])),""),ROWS($A$15:A226)+$B$3))),IF($EC$13="",INDEX(bhpc_data[sku],SMALL(IF(ISNUMBER(MATCH(bhpc_data[category],$EC$9,0)*MATCH(bhpc_data[sex],$EC$11,0)),MATCH(ROW(bhpc_data[sku]),ROW(bhpc_data[sku])),""),ROWS($A$15:A226)+$B$3)),INDEX(bhpc_data[sku],SMALL(IF(ISNUMBER(MATCH(bhpc_data[category],$EC$9,0)*MATCH(bhpc_data[sex],$EC$11,0)*MATCH(bhpc_data[size1],$EC$13,0)),MATCH(ROW(bhpc_data[sku]),ROW(bhpc_data[sku])),""),ROWS($A$15:A226)+$B$3))))),"")</f>
        <v/>
      </c>
      <c r="EF221" s="542" t="str" cm="1">
        <f t="array" ref="EF221">IFERROR(IF($EC$9="",IF($EC$11="",IF($EC$13="",INDEX(bhpc_data[description],SMALL(MATCH(ROW(bhpc_data[sku]),ROW(bhpc_data[sku])),ROWS($A$15:A226)+$B$3)),INDEX(bhpc_data[description],SMALL(IF(ISNUMBER(MATCH(bhpc_data[size1],$EC$13,0)),MATCH(ROW(bhpc_data[sku]),ROW(bhpc_data[sku])),""),ROWS($A$15:A226)+$B$3))),IF($EC$13="",INDEX(bhpc_data[description],SMALL(IF(ISNUMBER(MATCH(bhpc_data[sex],$EC$11,0)),MATCH(ROW(bhpc_data[sku]),ROW(bhpc_data[sku])),""),ROWS($A$15:A226)+$B$3)),INDEX(bhpc_data[description],SMALL(IF(ISNUMBER(MATCH(bhpc_data[sex],$EC$11,0)*MATCH(bhpc_data[size1],$EC$13,0)),MATCH(ROW(bhpc_data[sku]),ROW(bhpc_data[sku])),""),ROWS($A$15:A226)+$B$3)))),IF($EC$11="",IF($EC$13="",INDEX(bhpc_data[description],SMALL(IF(ISNUMBER(MATCH(bhpc_data[category],$EC$9,0)),MATCH(ROW(bhpc_data[sku]),ROW(bhpc_data[sku])),""),ROWS($A$15:A226)+$B$3)),INDEX(bhpc_data[description],SMALL(IF(ISNUMBER(MATCH(bhpc_data[category],$EC$9,0)*MATCH(bhpc_data[size1],$EC$13,0)),MATCH(ROW(bhpc_data[sku]),ROW(bhpc_data[sku])),""),ROWS($A$15:A226)+$B$3))),IF($EC$13="",INDEX(bhpc_data[description],SMALL(IF(ISNUMBER(MATCH(bhpc_data[category],$EC$9,0)*MATCH(bhpc_data[sex],$EC$11,0)),MATCH(ROW(bhpc_data[sku]),ROW(bhpc_data[sku])),""),ROWS($A$15:A226)+$B$3)),INDEX(bhpc_data[description],SMALL(IF(ISNUMBER(MATCH(bhpc_data[category],$EC$9,0)*MATCH(bhpc_data[sex],$EC$11,0)*MATCH(bhpc_data[size1],$EC$13,0)),MATCH(ROW(bhpc_data[sku]),ROW(bhpc_data[sku])),""),ROWS($A$15:A226)+$B$3))))),"")</f>
        <v/>
      </c>
      <c r="EG221" s="543" t="str">
        <f>IFERROR(IF('BHPC MANAGER'!$EE221="","",INDEX(inventory[ESISTENZA],MATCH('BHPC MANAGER'!$EE221,inventory[ARTICOLO],0))),0)</f>
        <v/>
      </c>
      <c r="EH221" s="544"/>
      <c r="EI221" s="544" t="str">
        <f t="shared" si="16"/>
        <v/>
      </c>
      <c r="EJ221" s="545"/>
      <c r="EK221" s="546" t="str">
        <f t="shared" si="17"/>
        <v/>
      </c>
    </row>
    <row r="222" spans="63:141" x14ac:dyDescent="0.35">
      <c r="BK222" s="366"/>
      <c r="BL222" s="367"/>
      <c r="BM222" s="368"/>
      <c r="BN222" s="367"/>
      <c r="BO222" s="368"/>
      <c r="EE222" s="547" t="str" cm="1">
        <f t="array" ref="EE222">IFERROR(IF($EC$9="",IF($EC$11="",IF($EC$13="",INDEX(bhpc_data[sku],SMALL(MATCH(ROW(bhpc_data[sku]),ROW(bhpc_data[sku])),ROWS($A$15:A227)+$B$3)),INDEX(bhpc_data[sku],SMALL(IF(ISNUMBER(MATCH(bhpc_data[size1],$EC$13,0)),MATCH(ROW(bhpc_data[sku]),ROW(bhpc_data[sku])),""),ROWS($A$15:A227)+$B$3))),IF($EC$13="",INDEX(bhpc_data[sku],SMALL(IF(ISNUMBER(MATCH(bhpc_data[sex],$EC$11,0)),MATCH(ROW(bhpc_data[sku]),ROW(bhpc_data[sku])),""),ROWS($A$15:A227)+$B$3)),INDEX(bhpc_data[sku],SMALL(IF(ISNUMBER(MATCH(bhpc_data[sex],$EC$11,0)*MATCH(bhpc_data[size1],$EC$13,0)),MATCH(ROW(bhpc_data[sku]),ROW(bhpc_data[sku])),""),ROWS($A$15:A227)+$B$3)))),IF($EC$11="",IF($EC$13="",INDEX(bhpc_data[sku],SMALL(IF(ISNUMBER(MATCH(bhpc_data[category],$EC$9,0)),MATCH(ROW(bhpc_data[sku]),ROW(bhpc_data[sku])),""),ROWS($A$15:A227)+$B$3)),INDEX(bhpc_data[sku],SMALL(IF(ISNUMBER(MATCH(bhpc_data[category],$EC$9,0)*MATCH(bhpc_data[size1],$EC$13,0)),MATCH(ROW(bhpc_data[sku]),ROW(bhpc_data[sku])),""),ROWS($A$15:A227)+$B$3))),IF($EC$13="",INDEX(bhpc_data[sku],SMALL(IF(ISNUMBER(MATCH(bhpc_data[category],$EC$9,0)*MATCH(bhpc_data[sex],$EC$11,0)),MATCH(ROW(bhpc_data[sku]),ROW(bhpc_data[sku])),""),ROWS($A$15:A227)+$B$3)),INDEX(bhpc_data[sku],SMALL(IF(ISNUMBER(MATCH(bhpc_data[category],$EC$9,0)*MATCH(bhpc_data[sex],$EC$11,0)*MATCH(bhpc_data[size1],$EC$13,0)),MATCH(ROW(bhpc_data[sku]),ROW(bhpc_data[sku])),""),ROWS($A$15:A227)+$B$3))))),"")</f>
        <v/>
      </c>
      <c r="EF222" s="548" t="str" cm="1">
        <f t="array" ref="EF222">IFERROR(IF($EC$9="",IF($EC$11="",IF($EC$13="",INDEX(bhpc_data[description],SMALL(MATCH(ROW(bhpc_data[sku]),ROW(bhpc_data[sku])),ROWS($A$15:A227)+$B$3)),INDEX(bhpc_data[description],SMALL(IF(ISNUMBER(MATCH(bhpc_data[size1],$EC$13,0)),MATCH(ROW(bhpc_data[sku]),ROW(bhpc_data[sku])),""),ROWS($A$15:A227)+$B$3))),IF($EC$13="",INDEX(bhpc_data[description],SMALL(IF(ISNUMBER(MATCH(bhpc_data[sex],$EC$11,0)),MATCH(ROW(bhpc_data[sku]),ROW(bhpc_data[sku])),""),ROWS($A$15:A227)+$B$3)),INDEX(bhpc_data[description],SMALL(IF(ISNUMBER(MATCH(bhpc_data[sex],$EC$11,0)*MATCH(bhpc_data[size1],$EC$13,0)),MATCH(ROW(bhpc_data[sku]),ROW(bhpc_data[sku])),""),ROWS($A$15:A227)+$B$3)))),IF($EC$11="",IF($EC$13="",INDEX(bhpc_data[description],SMALL(IF(ISNUMBER(MATCH(bhpc_data[category],$EC$9,0)),MATCH(ROW(bhpc_data[sku]),ROW(bhpc_data[sku])),""),ROWS($A$15:A227)+$B$3)),INDEX(bhpc_data[description],SMALL(IF(ISNUMBER(MATCH(bhpc_data[category],$EC$9,0)*MATCH(bhpc_data[size1],$EC$13,0)),MATCH(ROW(bhpc_data[sku]),ROW(bhpc_data[sku])),""),ROWS($A$15:A227)+$B$3))),IF($EC$13="",INDEX(bhpc_data[description],SMALL(IF(ISNUMBER(MATCH(bhpc_data[category],$EC$9,0)*MATCH(bhpc_data[sex],$EC$11,0)),MATCH(ROW(bhpc_data[sku]),ROW(bhpc_data[sku])),""),ROWS($A$15:A227)+$B$3)),INDEX(bhpc_data[description],SMALL(IF(ISNUMBER(MATCH(bhpc_data[category],$EC$9,0)*MATCH(bhpc_data[sex],$EC$11,0)*MATCH(bhpc_data[size1],$EC$13,0)),MATCH(ROW(bhpc_data[sku]),ROW(bhpc_data[sku])),""),ROWS($A$15:A227)+$B$3))))),"")</f>
        <v/>
      </c>
      <c r="EG222" s="549" t="str">
        <f>IFERROR(IF('BHPC MANAGER'!$EE222="","",INDEX(inventory[ESISTENZA],MATCH('BHPC MANAGER'!$EE222,inventory[ARTICOLO],0))),0)</f>
        <v/>
      </c>
      <c r="EH222" s="550"/>
      <c r="EI222" s="550" t="str">
        <f t="shared" si="16"/>
        <v/>
      </c>
      <c r="EJ222" s="551"/>
      <c r="EK222" s="552" t="str">
        <f t="shared" si="17"/>
        <v/>
      </c>
    </row>
    <row r="223" spans="63:141" x14ac:dyDescent="0.35">
      <c r="BK223" s="366"/>
      <c r="BL223" s="367"/>
      <c r="BM223" s="368"/>
      <c r="BN223" s="367"/>
      <c r="BO223" s="368"/>
      <c r="EE223" s="541" t="str" cm="1">
        <f t="array" ref="EE223">IFERROR(IF($EC$9="",IF($EC$11="",IF($EC$13="",INDEX(bhpc_data[sku],SMALL(MATCH(ROW(bhpc_data[sku]),ROW(bhpc_data[sku])),ROWS($A$15:A228)+$B$3)),INDEX(bhpc_data[sku],SMALL(IF(ISNUMBER(MATCH(bhpc_data[size1],$EC$13,0)),MATCH(ROW(bhpc_data[sku]),ROW(bhpc_data[sku])),""),ROWS($A$15:A228)+$B$3))),IF($EC$13="",INDEX(bhpc_data[sku],SMALL(IF(ISNUMBER(MATCH(bhpc_data[sex],$EC$11,0)),MATCH(ROW(bhpc_data[sku]),ROW(bhpc_data[sku])),""),ROWS($A$15:A228)+$B$3)),INDEX(bhpc_data[sku],SMALL(IF(ISNUMBER(MATCH(bhpc_data[sex],$EC$11,0)*MATCH(bhpc_data[size1],$EC$13,0)),MATCH(ROW(bhpc_data[sku]),ROW(bhpc_data[sku])),""),ROWS($A$15:A228)+$B$3)))),IF($EC$11="",IF($EC$13="",INDEX(bhpc_data[sku],SMALL(IF(ISNUMBER(MATCH(bhpc_data[category],$EC$9,0)),MATCH(ROW(bhpc_data[sku]),ROW(bhpc_data[sku])),""),ROWS($A$15:A228)+$B$3)),INDEX(bhpc_data[sku],SMALL(IF(ISNUMBER(MATCH(bhpc_data[category],$EC$9,0)*MATCH(bhpc_data[size1],$EC$13,0)),MATCH(ROW(bhpc_data[sku]),ROW(bhpc_data[sku])),""),ROWS($A$15:A228)+$B$3))),IF($EC$13="",INDEX(bhpc_data[sku],SMALL(IF(ISNUMBER(MATCH(bhpc_data[category],$EC$9,0)*MATCH(bhpc_data[sex],$EC$11,0)),MATCH(ROW(bhpc_data[sku]),ROW(bhpc_data[sku])),""),ROWS($A$15:A228)+$B$3)),INDEX(bhpc_data[sku],SMALL(IF(ISNUMBER(MATCH(bhpc_data[category],$EC$9,0)*MATCH(bhpc_data[sex],$EC$11,0)*MATCH(bhpc_data[size1],$EC$13,0)),MATCH(ROW(bhpc_data[sku]),ROW(bhpc_data[sku])),""),ROWS($A$15:A228)+$B$3))))),"")</f>
        <v/>
      </c>
      <c r="EF223" s="542" t="str" cm="1">
        <f t="array" ref="EF223">IFERROR(IF($EC$9="",IF($EC$11="",IF($EC$13="",INDEX(bhpc_data[description],SMALL(MATCH(ROW(bhpc_data[sku]),ROW(bhpc_data[sku])),ROWS($A$15:A228)+$B$3)),INDEX(bhpc_data[description],SMALL(IF(ISNUMBER(MATCH(bhpc_data[size1],$EC$13,0)),MATCH(ROW(bhpc_data[sku]),ROW(bhpc_data[sku])),""),ROWS($A$15:A228)+$B$3))),IF($EC$13="",INDEX(bhpc_data[description],SMALL(IF(ISNUMBER(MATCH(bhpc_data[sex],$EC$11,0)),MATCH(ROW(bhpc_data[sku]),ROW(bhpc_data[sku])),""),ROWS($A$15:A228)+$B$3)),INDEX(bhpc_data[description],SMALL(IF(ISNUMBER(MATCH(bhpc_data[sex],$EC$11,0)*MATCH(bhpc_data[size1],$EC$13,0)),MATCH(ROW(bhpc_data[sku]),ROW(bhpc_data[sku])),""),ROWS($A$15:A228)+$B$3)))),IF($EC$11="",IF($EC$13="",INDEX(bhpc_data[description],SMALL(IF(ISNUMBER(MATCH(bhpc_data[category],$EC$9,0)),MATCH(ROW(bhpc_data[sku]),ROW(bhpc_data[sku])),""),ROWS($A$15:A228)+$B$3)),INDEX(bhpc_data[description],SMALL(IF(ISNUMBER(MATCH(bhpc_data[category],$EC$9,0)*MATCH(bhpc_data[size1],$EC$13,0)),MATCH(ROW(bhpc_data[sku]),ROW(bhpc_data[sku])),""),ROWS($A$15:A228)+$B$3))),IF($EC$13="",INDEX(bhpc_data[description],SMALL(IF(ISNUMBER(MATCH(bhpc_data[category],$EC$9,0)*MATCH(bhpc_data[sex],$EC$11,0)),MATCH(ROW(bhpc_data[sku]),ROW(bhpc_data[sku])),""),ROWS($A$15:A228)+$B$3)),INDEX(bhpc_data[description],SMALL(IF(ISNUMBER(MATCH(bhpc_data[category],$EC$9,0)*MATCH(bhpc_data[sex],$EC$11,0)*MATCH(bhpc_data[size1],$EC$13,0)),MATCH(ROW(bhpc_data[sku]),ROW(bhpc_data[sku])),""),ROWS($A$15:A228)+$B$3))))),"")</f>
        <v/>
      </c>
      <c r="EG223" s="543" t="str">
        <f>IFERROR(IF('BHPC MANAGER'!$EE223="","",INDEX(inventory[ESISTENZA],MATCH('BHPC MANAGER'!$EE223,inventory[ARTICOLO],0))),0)</f>
        <v/>
      </c>
      <c r="EH223" s="544"/>
      <c r="EI223" s="544" t="str">
        <f t="shared" si="16"/>
        <v/>
      </c>
      <c r="EJ223" s="545"/>
      <c r="EK223" s="546" t="str">
        <f t="shared" si="17"/>
        <v/>
      </c>
    </row>
    <row r="224" spans="63:141" x14ac:dyDescent="0.35">
      <c r="BK224" s="366"/>
      <c r="BL224" s="367"/>
      <c r="BM224" s="368"/>
      <c r="BN224" s="367"/>
      <c r="BO224" s="368"/>
      <c r="EE224" s="547" t="str" cm="1">
        <f t="array" ref="EE224">IFERROR(IF($EC$9="",IF($EC$11="",IF($EC$13="",INDEX(bhpc_data[sku],SMALL(MATCH(ROW(bhpc_data[sku]),ROW(bhpc_data[sku])),ROWS($A$15:A229)+$B$3)),INDEX(bhpc_data[sku],SMALL(IF(ISNUMBER(MATCH(bhpc_data[size1],$EC$13,0)),MATCH(ROW(bhpc_data[sku]),ROW(bhpc_data[sku])),""),ROWS($A$15:A229)+$B$3))),IF($EC$13="",INDEX(bhpc_data[sku],SMALL(IF(ISNUMBER(MATCH(bhpc_data[sex],$EC$11,0)),MATCH(ROW(bhpc_data[sku]),ROW(bhpc_data[sku])),""),ROWS($A$15:A229)+$B$3)),INDEX(bhpc_data[sku],SMALL(IF(ISNUMBER(MATCH(bhpc_data[sex],$EC$11,0)*MATCH(bhpc_data[size1],$EC$13,0)),MATCH(ROW(bhpc_data[sku]),ROW(bhpc_data[sku])),""),ROWS($A$15:A229)+$B$3)))),IF($EC$11="",IF($EC$13="",INDEX(bhpc_data[sku],SMALL(IF(ISNUMBER(MATCH(bhpc_data[category],$EC$9,0)),MATCH(ROW(bhpc_data[sku]),ROW(bhpc_data[sku])),""),ROWS($A$15:A229)+$B$3)),INDEX(bhpc_data[sku],SMALL(IF(ISNUMBER(MATCH(bhpc_data[category],$EC$9,0)*MATCH(bhpc_data[size1],$EC$13,0)),MATCH(ROW(bhpc_data[sku]),ROW(bhpc_data[sku])),""),ROWS($A$15:A229)+$B$3))),IF($EC$13="",INDEX(bhpc_data[sku],SMALL(IF(ISNUMBER(MATCH(bhpc_data[category],$EC$9,0)*MATCH(bhpc_data[sex],$EC$11,0)),MATCH(ROW(bhpc_data[sku]),ROW(bhpc_data[sku])),""),ROWS($A$15:A229)+$B$3)),INDEX(bhpc_data[sku],SMALL(IF(ISNUMBER(MATCH(bhpc_data[category],$EC$9,0)*MATCH(bhpc_data[sex],$EC$11,0)*MATCH(bhpc_data[size1],$EC$13,0)),MATCH(ROW(bhpc_data[sku]),ROW(bhpc_data[sku])),""),ROWS($A$15:A229)+$B$3))))),"")</f>
        <v/>
      </c>
      <c r="EF224" s="548" t="str" cm="1">
        <f t="array" ref="EF224">IFERROR(IF($EC$9="",IF($EC$11="",IF($EC$13="",INDEX(bhpc_data[description],SMALL(MATCH(ROW(bhpc_data[sku]),ROW(bhpc_data[sku])),ROWS($A$15:A229)+$B$3)),INDEX(bhpc_data[description],SMALL(IF(ISNUMBER(MATCH(bhpc_data[size1],$EC$13,0)),MATCH(ROW(bhpc_data[sku]),ROW(bhpc_data[sku])),""),ROWS($A$15:A229)+$B$3))),IF($EC$13="",INDEX(bhpc_data[description],SMALL(IF(ISNUMBER(MATCH(bhpc_data[sex],$EC$11,0)),MATCH(ROW(bhpc_data[sku]),ROW(bhpc_data[sku])),""),ROWS($A$15:A229)+$B$3)),INDEX(bhpc_data[description],SMALL(IF(ISNUMBER(MATCH(bhpc_data[sex],$EC$11,0)*MATCH(bhpc_data[size1],$EC$13,0)),MATCH(ROW(bhpc_data[sku]),ROW(bhpc_data[sku])),""),ROWS($A$15:A229)+$B$3)))),IF($EC$11="",IF($EC$13="",INDEX(bhpc_data[description],SMALL(IF(ISNUMBER(MATCH(bhpc_data[category],$EC$9,0)),MATCH(ROW(bhpc_data[sku]),ROW(bhpc_data[sku])),""),ROWS($A$15:A229)+$B$3)),INDEX(bhpc_data[description],SMALL(IF(ISNUMBER(MATCH(bhpc_data[category],$EC$9,0)*MATCH(bhpc_data[size1],$EC$13,0)),MATCH(ROW(bhpc_data[sku]),ROW(bhpc_data[sku])),""),ROWS($A$15:A229)+$B$3))),IF($EC$13="",INDEX(bhpc_data[description],SMALL(IF(ISNUMBER(MATCH(bhpc_data[category],$EC$9,0)*MATCH(bhpc_data[sex],$EC$11,0)),MATCH(ROW(bhpc_data[sku]),ROW(bhpc_data[sku])),""),ROWS($A$15:A229)+$B$3)),INDEX(bhpc_data[description],SMALL(IF(ISNUMBER(MATCH(bhpc_data[category],$EC$9,0)*MATCH(bhpc_data[sex],$EC$11,0)*MATCH(bhpc_data[size1],$EC$13,0)),MATCH(ROW(bhpc_data[sku]),ROW(bhpc_data[sku])),""),ROWS($A$15:A229)+$B$3))))),"")</f>
        <v/>
      </c>
      <c r="EG224" s="549" t="str">
        <f>IFERROR(IF('BHPC MANAGER'!$EE224="","",INDEX(inventory[ESISTENZA],MATCH('BHPC MANAGER'!$EE224,inventory[ARTICOLO],0))),0)</f>
        <v/>
      </c>
      <c r="EH224" s="550"/>
      <c r="EI224" s="550" t="str">
        <f t="shared" si="16"/>
        <v/>
      </c>
      <c r="EJ224" s="551"/>
      <c r="EK224" s="552" t="str">
        <f t="shared" si="17"/>
        <v/>
      </c>
    </row>
    <row r="225" spans="63:141" x14ac:dyDescent="0.35">
      <c r="BK225" s="366"/>
      <c r="BL225" s="367"/>
      <c r="BM225" s="368"/>
      <c r="BN225" s="367"/>
      <c r="BO225" s="368"/>
      <c r="EE225" s="541" t="str" cm="1">
        <f t="array" ref="EE225">IFERROR(IF($EC$9="",IF($EC$11="",IF($EC$13="",INDEX(bhpc_data[sku],SMALL(MATCH(ROW(bhpc_data[sku]),ROW(bhpc_data[sku])),ROWS($A$15:A230)+$B$3)),INDEX(bhpc_data[sku],SMALL(IF(ISNUMBER(MATCH(bhpc_data[size1],$EC$13,0)),MATCH(ROW(bhpc_data[sku]),ROW(bhpc_data[sku])),""),ROWS($A$15:A230)+$B$3))),IF($EC$13="",INDEX(bhpc_data[sku],SMALL(IF(ISNUMBER(MATCH(bhpc_data[sex],$EC$11,0)),MATCH(ROW(bhpc_data[sku]),ROW(bhpc_data[sku])),""),ROWS($A$15:A230)+$B$3)),INDEX(bhpc_data[sku],SMALL(IF(ISNUMBER(MATCH(bhpc_data[sex],$EC$11,0)*MATCH(bhpc_data[size1],$EC$13,0)),MATCH(ROW(bhpc_data[sku]),ROW(bhpc_data[sku])),""),ROWS($A$15:A230)+$B$3)))),IF($EC$11="",IF($EC$13="",INDEX(bhpc_data[sku],SMALL(IF(ISNUMBER(MATCH(bhpc_data[category],$EC$9,0)),MATCH(ROW(bhpc_data[sku]),ROW(bhpc_data[sku])),""),ROWS($A$15:A230)+$B$3)),INDEX(bhpc_data[sku],SMALL(IF(ISNUMBER(MATCH(bhpc_data[category],$EC$9,0)*MATCH(bhpc_data[size1],$EC$13,0)),MATCH(ROW(bhpc_data[sku]),ROW(bhpc_data[sku])),""),ROWS($A$15:A230)+$B$3))),IF($EC$13="",INDEX(bhpc_data[sku],SMALL(IF(ISNUMBER(MATCH(bhpc_data[category],$EC$9,0)*MATCH(bhpc_data[sex],$EC$11,0)),MATCH(ROW(bhpc_data[sku]),ROW(bhpc_data[sku])),""),ROWS($A$15:A230)+$B$3)),INDEX(bhpc_data[sku],SMALL(IF(ISNUMBER(MATCH(bhpc_data[category],$EC$9,0)*MATCH(bhpc_data[sex],$EC$11,0)*MATCH(bhpc_data[size1],$EC$13,0)),MATCH(ROW(bhpc_data[sku]),ROW(bhpc_data[sku])),""),ROWS($A$15:A230)+$B$3))))),"")</f>
        <v/>
      </c>
      <c r="EF225" s="542" t="str" cm="1">
        <f t="array" ref="EF225">IFERROR(IF($EC$9="",IF($EC$11="",IF($EC$13="",INDEX(bhpc_data[description],SMALL(MATCH(ROW(bhpc_data[sku]),ROW(bhpc_data[sku])),ROWS($A$15:A230)+$B$3)),INDEX(bhpc_data[description],SMALL(IF(ISNUMBER(MATCH(bhpc_data[size1],$EC$13,0)),MATCH(ROW(bhpc_data[sku]),ROW(bhpc_data[sku])),""),ROWS($A$15:A230)+$B$3))),IF($EC$13="",INDEX(bhpc_data[description],SMALL(IF(ISNUMBER(MATCH(bhpc_data[sex],$EC$11,0)),MATCH(ROW(bhpc_data[sku]),ROW(bhpc_data[sku])),""),ROWS($A$15:A230)+$B$3)),INDEX(bhpc_data[description],SMALL(IF(ISNUMBER(MATCH(bhpc_data[sex],$EC$11,0)*MATCH(bhpc_data[size1],$EC$13,0)),MATCH(ROW(bhpc_data[sku]),ROW(bhpc_data[sku])),""),ROWS($A$15:A230)+$B$3)))),IF($EC$11="",IF($EC$13="",INDEX(bhpc_data[description],SMALL(IF(ISNUMBER(MATCH(bhpc_data[category],$EC$9,0)),MATCH(ROW(bhpc_data[sku]),ROW(bhpc_data[sku])),""),ROWS($A$15:A230)+$B$3)),INDEX(bhpc_data[description],SMALL(IF(ISNUMBER(MATCH(bhpc_data[category],$EC$9,0)*MATCH(bhpc_data[size1],$EC$13,0)),MATCH(ROW(bhpc_data[sku]),ROW(bhpc_data[sku])),""),ROWS($A$15:A230)+$B$3))),IF($EC$13="",INDEX(bhpc_data[description],SMALL(IF(ISNUMBER(MATCH(bhpc_data[category],$EC$9,0)*MATCH(bhpc_data[sex],$EC$11,0)),MATCH(ROW(bhpc_data[sku]),ROW(bhpc_data[sku])),""),ROWS($A$15:A230)+$B$3)),INDEX(bhpc_data[description],SMALL(IF(ISNUMBER(MATCH(bhpc_data[category],$EC$9,0)*MATCH(bhpc_data[sex],$EC$11,0)*MATCH(bhpc_data[size1],$EC$13,0)),MATCH(ROW(bhpc_data[sku]),ROW(bhpc_data[sku])),""),ROWS($A$15:A230)+$B$3))))),"")</f>
        <v/>
      </c>
      <c r="EG225" s="543" t="str">
        <f>IFERROR(IF('BHPC MANAGER'!$EE225="","",INDEX(inventory[ESISTENZA],MATCH('BHPC MANAGER'!$EE225,inventory[ARTICOLO],0))),0)</f>
        <v/>
      </c>
      <c r="EH225" s="544"/>
      <c r="EI225" s="544" t="str">
        <f t="shared" si="16"/>
        <v/>
      </c>
      <c r="EJ225" s="545"/>
      <c r="EK225" s="546" t="str">
        <f t="shared" si="17"/>
        <v/>
      </c>
    </row>
    <row r="226" spans="63:141" x14ac:dyDescent="0.35">
      <c r="BK226" s="366"/>
      <c r="BL226" s="367"/>
      <c r="BM226" s="368"/>
      <c r="BN226" s="367"/>
      <c r="BO226" s="368"/>
      <c r="EE226" s="547" t="str" cm="1">
        <f t="array" ref="EE226">IFERROR(IF($EC$9="",IF($EC$11="",IF($EC$13="",INDEX(bhpc_data[sku],SMALL(MATCH(ROW(bhpc_data[sku]),ROW(bhpc_data[sku])),ROWS($A$15:A231)+$B$3)),INDEX(bhpc_data[sku],SMALL(IF(ISNUMBER(MATCH(bhpc_data[size1],$EC$13,0)),MATCH(ROW(bhpc_data[sku]),ROW(bhpc_data[sku])),""),ROWS($A$15:A231)+$B$3))),IF($EC$13="",INDEX(bhpc_data[sku],SMALL(IF(ISNUMBER(MATCH(bhpc_data[sex],$EC$11,0)),MATCH(ROW(bhpc_data[sku]),ROW(bhpc_data[sku])),""),ROWS($A$15:A231)+$B$3)),INDEX(bhpc_data[sku],SMALL(IF(ISNUMBER(MATCH(bhpc_data[sex],$EC$11,0)*MATCH(bhpc_data[size1],$EC$13,0)),MATCH(ROW(bhpc_data[sku]),ROW(bhpc_data[sku])),""),ROWS($A$15:A231)+$B$3)))),IF($EC$11="",IF($EC$13="",INDEX(bhpc_data[sku],SMALL(IF(ISNUMBER(MATCH(bhpc_data[category],$EC$9,0)),MATCH(ROW(bhpc_data[sku]),ROW(bhpc_data[sku])),""),ROWS($A$15:A231)+$B$3)),INDEX(bhpc_data[sku],SMALL(IF(ISNUMBER(MATCH(bhpc_data[category],$EC$9,0)*MATCH(bhpc_data[size1],$EC$13,0)),MATCH(ROW(bhpc_data[sku]),ROW(bhpc_data[sku])),""),ROWS($A$15:A231)+$B$3))),IF($EC$13="",INDEX(bhpc_data[sku],SMALL(IF(ISNUMBER(MATCH(bhpc_data[category],$EC$9,0)*MATCH(bhpc_data[sex],$EC$11,0)),MATCH(ROW(bhpc_data[sku]),ROW(bhpc_data[sku])),""),ROWS($A$15:A231)+$B$3)),INDEX(bhpc_data[sku],SMALL(IF(ISNUMBER(MATCH(bhpc_data[category],$EC$9,0)*MATCH(bhpc_data[sex],$EC$11,0)*MATCH(bhpc_data[size1],$EC$13,0)),MATCH(ROW(bhpc_data[sku]),ROW(bhpc_data[sku])),""),ROWS($A$15:A231)+$B$3))))),"")</f>
        <v/>
      </c>
      <c r="EF226" s="548" t="str" cm="1">
        <f t="array" ref="EF226">IFERROR(IF($EC$9="",IF($EC$11="",IF($EC$13="",INDEX(bhpc_data[description],SMALL(MATCH(ROW(bhpc_data[sku]),ROW(bhpc_data[sku])),ROWS($A$15:A231)+$B$3)),INDEX(bhpc_data[description],SMALL(IF(ISNUMBER(MATCH(bhpc_data[size1],$EC$13,0)),MATCH(ROW(bhpc_data[sku]),ROW(bhpc_data[sku])),""),ROWS($A$15:A231)+$B$3))),IF($EC$13="",INDEX(bhpc_data[description],SMALL(IF(ISNUMBER(MATCH(bhpc_data[sex],$EC$11,0)),MATCH(ROW(bhpc_data[sku]),ROW(bhpc_data[sku])),""),ROWS($A$15:A231)+$B$3)),INDEX(bhpc_data[description],SMALL(IF(ISNUMBER(MATCH(bhpc_data[sex],$EC$11,0)*MATCH(bhpc_data[size1],$EC$13,0)),MATCH(ROW(bhpc_data[sku]),ROW(bhpc_data[sku])),""),ROWS($A$15:A231)+$B$3)))),IF($EC$11="",IF($EC$13="",INDEX(bhpc_data[description],SMALL(IF(ISNUMBER(MATCH(bhpc_data[category],$EC$9,0)),MATCH(ROW(bhpc_data[sku]),ROW(bhpc_data[sku])),""),ROWS($A$15:A231)+$B$3)),INDEX(bhpc_data[description],SMALL(IF(ISNUMBER(MATCH(bhpc_data[category],$EC$9,0)*MATCH(bhpc_data[size1],$EC$13,0)),MATCH(ROW(bhpc_data[sku]),ROW(bhpc_data[sku])),""),ROWS($A$15:A231)+$B$3))),IF($EC$13="",INDEX(bhpc_data[description],SMALL(IF(ISNUMBER(MATCH(bhpc_data[category],$EC$9,0)*MATCH(bhpc_data[sex],$EC$11,0)),MATCH(ROW(bhpc_data[sku]),ROW(bhpc_data[sku])),""),ROWS($A$15:A231)+$B$3)),INDEX(bhpc_data[description],SMALL(IF(ISNUMBER(MATCH(bhpc_data[category],$EC$9,0)*MATCH(bhpc_data[sex],$EC$11,0)*MATCH(bhpc_data[size1],$EC$13,0)),MATCH(ROW(bhpc_data[sku]),ROW(bhpc_data[sku])),""),ROWS($A$15:A231)+$B$3))))),"")</f>
        <v/>
      </c>
      <c r="EG226" s="549" t="str">
        <f>IFERROR(IF('BHPC MANAGER'!$EE226="","",INDEX(inventory[ESISTENZA],MATCH('BHPC MANAGER'!$EE226,inventory[ARTICOLO],0))),0)</f>
        <v/>
      </c>
      <c r="EH226" s="550"/>
      <c r="EI226" s="550" t="str">
        <f t="shared" si="16"/>
        <v/>
      </c>
      <c r="EJ226" s="551"/>
      <c r="EK226" s="552" t="str">
        <f t="shared" si="17"/>
        <v/>
      </c>
    </row>
    <row r="227" spans="63:141" x14ac:dyDescent="0.35">
      <c r="BK227" s="366"/>
      <c r="BL227" s="367"/>
      <c r="BM227" s="368"/>
      <c r="BN227" s="367"/>
      <c r="BO227" s="368"/>
      <c r="EE227" s="541" t="str" cm="1">
        <f t="array" ref="EE227">IFERROR(IF($EC$9="",IF($EC$11="",IF($EC$13="",INDEX(bhpc_data[sku],SMALL(MATCH(ROW(bhpc_data[sku]),ROW(bhpc_data[sku])),ROWS($A$15:A232)+$B$3)),INDEX(bhpc_data[sku],SMALL(IF(ISNUMBER(MATCH(bhpc_data[size1],$EC$13,0)),MATCH(ROW(bhpc_data[sku]),ROW(bhpc_data[sku])),""),ROWS($A$15:A232)+$B$3))),IF($EC$13="",INDEX(bhpc_data[sku],SMALL(IF(ISNUMBER(MATCH(bhpc_data[sex],$EC$11,0)),MATCH(ROW(bhpc_data[sku]),ROW(bhpc_data[sku])),""),ROWS($A$15:A232)+$B$3)),INDEX(bhpc_data[sku],SMALL(IF(ISNUMBER(MATCH(bhpc_data[sex],$EC$11,0)*MATCH(bhpc_data[size1],$EC$13,0)),MATCH(ROW(bhpc_data[sku]),ROW(bhpc_data[sku])),""),ROWS($A$15:A232)+$B$3)))),IF($EC$11="",IF($EC$13="",INDEX(bhpc_data[sku],SMALL(IF(ISNUMBER(MATCH(bhpc_data[category],$EC$9,0)),MATCH(ROW(bhpc_data[sku]),ROW(bhpc_data[sku])),""),ROWS($A$15:A232)+$B$3)),INDEX(bhpc_data[sku],SMALL(IF(ISNUMBER(MATCH(bhpc_data[category],$EC$9,0)*MATCH(bhpc_data[size1],$EC$13,0)),MATCH(ROW(bhpc_data[sku]),ROW(bhpc_data[sku])),""),ROWS($A$15:A232)+$B$3))),IF($EC$13="",INDEX(bhpc_data[sku],SMALL(IF(ISNUMBER(MATCH(bhpc_data[category],$EC$9,0)*MATCH(bhpc_data[sex],$EC$11,0)),MATCH(ROW(bhpc_data[sku]),ROW(bhpc_data[sku])),""),ROWS($A$15:A232)+$B$3)),INDEX(bhpc_data[sku],SMALL(IF(ISNUMBER(MATCH(bhpc_data[category],$EC$9,0)*MATCH(bhpc_data[sex],$EC$11,0)*MATCH(bhpc_data[size1],$EC$13,0)),MATCH(ROW(bhpc_data[sku]),ROW(bhpc_data[sku])),""),ROWS($A$15:A232)+$B$3))))),"")</f>
        <v/>
      </c>
      <c r="EF227" s="542" t="str" cm="1">
        <f t="array" ref="EF227">IFERROR(IF($EC$9="",IF($EC$11="",IF($EC$13="",INDEX(bhpc_data[description],SMALL(MATCH(ROW(bhpc_data[sku]),ROW(bhpc_data[sku])),ROWS($A$15:A232)+$B$3)),INDEX(bhpc_data[description],SMALL(IF(ISNUMBER(MATCH(bhpc_data[size1],$EC$13,0)),MATCH(ROW(bhpc_data[sku]),ROW(bhpc_data[sku])),""),ROWS($A$15:A232)+$B$3))),IF($EC$13="",INDEX(bhpc_data[description],SMALL(IF(ISNUMBER(MATCH(bhpc_data[sex],$EC$11,0)),MATCH(ROW(bhpc_data[sku]),ROW(bhpc_data[sku])),""),ROWS($A$15:A232)+$B$3)),INDEX(bhpc_data[description],SMALL(IF(ISNUMBER(MATCH(bhpc_data[sex],$EC$11,0)*MATCH(bhpc_data[size1],$EC$13,0)),MATCH(ROW(bhpc_data[sku]),ROW(bhpc_data[sku])),""),ROWS($A$15:A232)+$B$3)))),IF($EC$11="",IF($EC$13="",INDEX(bhpc_data[description],SMALL(IF(ISNUMBER(MATCH(bhpc_data[category],$EC$9,0)),MATCH(ROW(bhpc_data[sku]),ROW(bhpc_data[sku])),""),ROWS($A$15:A232)+$B$3)),INDEX(bhpc_data[description],SMALL(IF(ISNUMBER(MATCH(bhpc_data[category],$EC$9,0)*MATCH(bhpc_data[size1],$EC$13,0)),MATCH(ROW(bhpc_data[sku]),ROW(bhpc_data[sku])),""),ROWS($A$15:A232)+$B$3))),IF($EC$13="",INDEX(bhpc_data[description],SMALL(IF(ISNUMBER(MATCH(bhpc_data[category],$EC$9,0)*MATCH(bhpc_data[sex],$EC$11,0)),MATCH(ROW(bhpc_data[sku]),ROW(bhpc_data[sku])),""),ROWS($A$15:A232)+$B$3)),INDEX(bhpc_data[description],SMALL(IF(ISNUMBER(MATCH(bhpc_data[category],$EC$9,0)*MATCH(bhpc_data[sex],$EC$11,0)*MATCH(bhpc_data[size1],$EC$13,0)),MATCH(ROW(bhpc_data[sku]),ROW(bhpc_data[sku])),""),ROWS($A$15:A232)+$B$3))))),"")</f>
        <v/>
      </c>
      <c r="EG227" s="543" t="str">
        <f>IFERROR(IF('BHPC MANAGER'!$EE227="","",INDEX(inventory[ESISTENZA],MATCH('BHPC MANAGER'!$EE227,inventory[ARTICOLO],0))),0)</f>
        <v/>
      </c>
      <c r="EH227" s="544"/>
      <c r="EI227" s="544" t="str">
        <f t="shared" si="16"/>
        <v/>
      </c>
      <c r="EJ227" s="545"/>
      <c r="EK227" s="546" t="str">
        <f t="shared" si="17"/>
        <v/>
      </c>
    </row>
    <row r="228" spans="63:141" x14ac:dyDescent="0.35">
      <c r="BK228" s="366"/>
      <c r="BL228" s="367"/>
      <c r="BM228" s="368"/>
      <c r="BN228" s="367"/>
      <c r="BO228" s="368"/>
      <c r="EE228" s="547" t="str" cm="1">
        <f t="array" ref="EE228">IFERROR(IF($EC$9="",IF($EC$11="",IF($EC$13="",INDEX(bhpc_data[sku],SMALL(MATCH(ROW(bhpc_data[sku]),ROW(bhpc_data[sku])),ROWS($A$15:A233)+$B$3)),INDEX(bhpc_data[sku],SMALL(IF(ISNUMBER(MATCH(bhpc_data[size1],$EC$13,0)),MATCH(ROW(bhpc_data[sku]),ROW(bhpc_data[sku])),""),ROWS($A$15:A233)+$B$3))),IF($EC$13="",INDEX(bhpc_data[sku],SMALL(IF(ISNUMBER(MATCH(bhpc_data[sex],$EC$11,0)),MATCH(ROW(bhpc_data[sku]),ROW(bhpc_data[sku])),""),ROWS($A$15:A233)+$B$3)),INDEX(bhpc_data[sku],SMALL(IF(ISNUMBER(MATCH(bhpc_data[sex],$EC$11,0)*MATCH(bhpc_data[size1],$EC$13,0)),MATCH(ROW(bhpc_data[sku]),ROW(bhpc_data[sku])),""),ROWS($A$15:A233)+$B$3)))),IF($EC$11="",IF($EC$13="",INDEX(bhpc_data[sku],SMALL(IF(ISNUMBER(MATCH(bhpc_data[category],$EC$9,0)),MATCH(ROW(bhpc_data[sku]),ROW(bhpc_data[sku])),""),ROWS($A$15:A233)+$B$3)),INDEX(bhpc_data[sku],SMALL(IF(ISNUMBER(MATCH(bhpc_data[category],$EC$9,0)*MATCH(bhpc_data[size1],$EC$13,0)),MATCH(ROW(bhpc_data[sku]),ROW(bhpc_data[sku])),""),ROWS($A$15:A233)+$B$3))),IF($EC$13="",INDEX(bhpc_data[sku],SMALL(IF(ISNUMBER(MATCH(bhpc_data[category],$EC$9,0)*MATCH(bhpc_data[sex],$EC$11,0)),MATCH(ROW(bhpc_data[sku]),ROW(bhpc_data[sku])),""),ROWS($A$15:A233)+$B$3)),INDEX(bhpc_data[sku],SMALL(IF(ISNUMBER(MATCH(bhpc_data[category],$EC$9,0)*MATCH(bhpc_data[sex],$EC$11,0)*MATCH(bhpc_data[size1],$EC$13,0)),MATCH(ROW(bhpc_data[sku]),ROW(bhpc_data[sku])),""),ROWS($A$15:A233)+$B$3))))),"")</f>
        <v/>
      </c>
      <c r="EF228" s="548" t="str" cm="1">
        <f t="array" ref="EF228">IFERROR(IF($EC$9="",IF($EC$11="",IF($EC$13="",INDEX(bhpc_data[description],SMALL(MATCH(ROW(bhpc_data[sku]),ROW(bhpc_data[sku])),ROWS($A$15:A233)+$B$3)),INDEX(bhpc_data[description],SMALL(IF(ISNUMBER(MATCH(bhpc_data[size1],$EC$13,0)),MATCH(ROW(bhpc_data[sku]),ROW(bhpc_data[sku])),""),ROWS($A$15:A233)+$B$3))),IF($EC$13="",INDEX(bhpc_data[description],SMALL(IF(ISNUMBER(MATCH(bhpc_data[sex],$EC$11,0)),MATCH(ROW(bhpc_data[sku]),ROW(bhpc_data[sku])),""),ROWS($A$15:A233)+$B$3)),INDEX(bhpc_data[description],SMALL(IF(ISNUMBER(MATCH(bhpc_data[sex],$EC$11,0)*MATCH(bhpc_data[size1],$EC$13,0)),MATCH(ROW(bhpc_data[sku]),ROW(bhpc_data[sku])),""),ROWS($A$15:A233)+$B$3)))),IF($EC$11="",IF($EC$13="",INDEX(bhpc_data[description],SMALL(IF(ISNUMBER(MATCH(bhpc_data[category],$EC$9,0)),MATCH(ROW(bhpc_data[sku]),ROW(bhpc_data[sku])),""),ROWS($A$15:A233)+$B$3)),INDEX(bhpc_data[description],SMALL(IF(ISNUMBER(MATCH(bhpc_data[category],$EC$9,0)*MATCH(bhpc_data[size1],$EC$13,0)),MATCH(ROW(bhpc_data[sku]),ROW(bhpc_data[sku])),""),ROWS($A$15:A233)+$B$3))),IF($EC$13="",INDEX(bhpc_data[description],SMALL(IF(ISNUMBER(MATCH(bhpc_data[category],$EC$9,0)*MATCH(bhpc_data[sex],$EC$11,0)),MATCH(ROW(bhpc_data[sku]),ROW(bhpc_data[sku])),""),ROWS($A$15:A233)+$B$3)),INDEX(bhpc_data[description],SMALL(IF(ISNUMBER(MATCH(bhpc_data[category],$EC$9,0)*MATCH(bhpc_data[sex],$EC$11,0)*MATCH(bhpc_data[size1],$EC$13,0)),MATCH(ROW(bhpc_data[sku]),ROW(bhpc_data[sku])),""),ROWS($A$15:A233)+$B$3))))),"")</f>
        <v/>
      </c>
      <c r="EG228" s="549" t="str">
        <f>IFERROR(IF('BHPC MANAGER'!$EE228="","",INDEX(inventory[ESISTENZA],MATCH('BHPC MANAGER'!$EE228,inventory[ARTICOLO],0))),0)</f>
        <v/>
      </c>
      <c r="EH228" s="550"/>
      <c r="EI228" s="550" t="str">
        <f t="shared" si="16"/>
        <v/>
      </c>
      <c r="EJ228" s="551"/>
      <c r="EK228" s="552" t="str">
        <f t="shared" si="17"/>
        <v/>
      </c>
    </row>
    <row r="229" spans="63:141" x14ac:dyDescent="0.35">
      <c r="BK229" s="366"/>
      <c r="BL229" s="367"/>
      <c r="BM229" s="368"/>
      <c r="BN229" s="367"/>
      <c r="BO229" s="368"/>
      <c r="EE229" s="541" t="str" cm="1">
        <f t="array" ref="EE229">IFERROR(IF($EC$9="",IF($EC$11="",IF($EC$13="",INDEX(bhpc_data[sku],SMALL(MATCH(ROW(bhpc_data[sku]),ROW(bhpc_data[sku])),ROWS($A$15:A234)+$B$3)),INDEX(bhpc_data[sku],SMALL(IF(ISNUMBER(MATCH(bhpc_data[size1],$EC$13,0)),MATCH(ROW(bhpc_data[sku]),ROW(bhpc_data[sku])),""),ROWS($A$15:A234)+$B$3))),IF($EC$13="",INDEX(bhpc_data[sku],SMALL(IF(ISNUMBER(MATCH(bhpc_data[sex],$EC$11,0)),MATCH(ROW(bhpc_data[sku]),ROW(bhpc_data[sku])),""),ROWS($A$15:A234)+$B$3)),INDEX(bhpc_data[sku],SMALL(IF(ISNUMBER(MATCH(bhpc_data[sex],$EC$11,0)*MATCH(bhpc_data[size1],$EC$13,0)),MATCH(ROW(bhpc_data[sku]),ROW(bhpc_data[sku])),""),ROWS($A$15:A234)+$B$3)))),IF($EC$11="",IF($EC$13="",INDEX(bhpc_data[sku],SMALL(IF(ISNUMBER(MATCH(bhpc_data[category],$EC$9,0)),MATCH(ROW(bhpc_data[sku]),ROW(bhpc_data[sku])),""),ROWS($A$15:A234)+$B$3)),INDEX(bhpc_data[sku],SMALL(IF(ISNUMBER(MATCH(bhpc_data[category],$EC$9,0)*MATCH(bhpc_data[size1],$EC$13,0)),MATCH(ROW(bhpc_data[sku]),ROW(bhpc_data[sku])),""),ROWS($A$15:A234)+$B$3))),IF($EC$13="",INDEX(bhpc_data[sku],SMALL(IF(ISNUMBER(MATCH(bhpc_data[category],$EC$9,0)*MATCH(bhpc_data[sex],$EC$11,0)),MATCH(ROW(bhpc_data[sku]),ROW(bhpc_data[sku])),""),ROWS($A$15:A234)+$B$3)),INDEX(bhpc_data[sku],SMALL(IF(ISNUMBER(MATCH(bhpc_data[category],$EC$9,0)*MATCH(bhpc_data[sex],$EC$11,0)*MATCH(bhpc_data[size1],$EC$13,0)),MATCH(ROW(bhpc_data[sku]),ROW(bhpc_data[sku])),""),ROWS($A$15:A234)+$B$3))))),"")</f>
        <v/>
      </c>
      <c r="EF229" s="542" t="str" cm="1">
        <f t="array" ref="EF229">IFERROR(IF($EC$9="",IF($EC$11="",IF($EC$13="",INDEX(bhpc_data[description],SMALL(MATCH(ROW(bhpc_data[sku]),ROW(bhpc_data[sku])),ROWS($A$15:A234)+$B$3)),INDEX(bhpc_data[description],SMALL(IF(ISNUMBER(MATCH(bhpc_data[size1],$EC$13,0)),MATCH(ROW(bhpc_data[sku]),ROW(bhpc_data[sku])),""),ROWS($A$15:A234)+$B$3))),IF($EC$13="",INDEX(bhpc_data[description],SMALL(IF(ISNUMBER(MATCH(bhpc_data[sex],$EC$11,0)),MATCH(ROW(bhpc_data[sku]),ROW(bhpc_data[sku])),""),ROWS($A$15:A234)+$B$3)),INDEX(bhpc_data[description],SMALL(IF(ISNUMBER(MATCH(bhpc_data[sex],$EC$11,0)*MATCH(bhpc_data[size1],$EC$13,0)),MATCH(ROW(bhpc_data[sku]),ROW(bhpc_data[sku])),""),ROWS($A$15:A234)+$B$3)))),IF($EC$11="",IF($EC$13="",INDEX(bhpc_data[description],SMALL(IF(ISNUMBER(MATCH(bhpc_data[category],$EC$9,0)),MATCH(ROW(bhpc_data[sku]),ROW(bhpc_data[sku])),""),ROWS($A$15:A234)+$B$3)),INDEX(bhpc_data[description],SMALL(IF(ISNUMBER(MATCH(bhpc_data[category],$EC$9,0)*MATCH(bhpc_data[size1],$EC$13,0)),MATCH(ROW(bhpc_data[sku]),ROW(bhpc_data[sku])),""),ROWS($A$15:A234)+$B$3))),IF($EC$13="",INDEX(bhpc_data[description],SMALL(IF(ISNUMBER(MATCH(bhpc_data[category],$EC$9,0)*MATCH(bhpc_data[sex],$EC$11,0)),MATCH(ROW(bhpc_data[sku]),ROW(bhpc_data[sku])),""),ROWS($A$15:A234)+$B$3)),INDEX(bhpc_data[description],SMALL(IF(ISNUMBER(MATCH(bhpc_data[category],$EC$9,0)*MATCH(bhpc_data[sex],$EC$11,0)*MATCH(bhpc_data[size1],$EC$13,0)),MATCH(ROW(bhpc_data[sku]),ROW(bhpc_data[sku])),""),ROWS($A$15:A234)+$B$3))))),"")</f>
        <v/>
      </c>
      <c r="EG229" s="543" t="str">
        <f>IFERROR(IF('BHPC MANAGER'!$EE229="","",INDEX(inventory[ESISTENZA],MATCH('BHPC MANAGER'!$EE229,inventory[ARTICOLO],0))),0)</f>
        <v/>
      </c>
      <c r="EH229" s="544"/>
      <c r="EI229" s="544" t="str">
        <f t="shared" si="16"/>
        <v/>
      </c>
      <c r="EJ229" s="545"/>
      <c r="EK229" s="546" t="str">
        <f t="shared" si="17"/>
        <v/>
      </c>
    </row>
    <row r="230" spans="63:141" x14ac:dyDescent="0.35">
      <c r="BK230" s="366"/>
      <c r="BL230" s="367"/>
      <c r="BM230" s="368"/>
      <c r="BN230" s="367"/>
      <c r="BO230" s="368"/>
      <c r="EE230" s="547" t="str" cm="1">
        <f t="array" ref="EE230">IFERROR(IF($EC$9="",IF($EC$11="",IF($EC$13="",INDEX(bhpc_data[sku],SMALL(MATCH(ROW(bhpc_data[sku]),ROW(bhpc_data[sku])),ROWS($A$15:A235)+$B$3)),INDEX(bhpc_data[sku],SMALL(IF(ISNUMBER(MATCH(bhpc_data[size1],$EC$13,0)),MATCH(ROW(bhpc_data[sku]),ROW(bhpc_data[sku])),""),ROWS($A$15:A235)+$B$3))),IF($EC$13="",INDEX(bhpc_data[sku],SMALL(IF(ISNUMBER(MATCH(bhpc_data[sex],$EC$11,0)),MATCH(ROW(bhpc_data[sku]),ROW(bhpc_data[sku])),""),ROWS($A$15:A235)+$B$3)),INDEX(bhpc_data[sku],SMALL(IF(ISNUMBER(MATCH(bhpc_data[sex],$EC$11,0)*MATCH(bhpc_data[size1],$EC$13,0)),MATCH(ROW(bhpc_data[sku]),ROW(bhpc_data[sku])),""),ROWS($A$15:A235)+$B$3)))),IF($EC$11="",IF($EC$13="",INDEX(bhpc_data[sku],SMALL(IF(ISNUMBER(MATCH(bhpc_data[category],$EC$9,0)),MATCH(ROW(bhpc_data[sku]),ROW(bhpc_data[sku])),""),ROWS($A$15:A235)+$B$3)),INDEX(bhpc_data[sku],SMALL(IF(ISNUMBER(MATCH(bhpc_data[category],$EC$9,0)*MATCH(bhpc_data[size1],$EC$13,0)),MATCH(ROW(bhpc_data[sku]),ROW(bhpc_data[sku])),""),ROWS($A$15:A235)+$B$3))),IF($EC$13="",INDEX(bhpc_data[sku],SMALL(IF(ISNUMBER(MATCH(bhpc_data[category],$EC$9,0)*MATCH(bhpc_data[sex],$EC$11,0)),MATCH(ROW(bhpc_data[sku]),ROW(bhpc_data[sku])),""),ROWS($A$15:A235)+$B$3)),INDEX(bhpc_data[sku],SMALL(IF(ISNUMBER(MATCH(bhpc_data[category],$EC$9,0)*MATCH(bhpc_data[sex],$EC$11,0)*MATCH(bhpc_data[size1],$EC$13,0)),MATCH(ROW(bhpc_data[sku]),ROW(bhpc_data[sku])),""),ROWS($A$15:A235)+$B$3))))),"")</f>
        <v/>
      </c>
      <c r="EF230" s="548" t="str" cm="1">
        <f t="array" ref="EF230">IFERROR(IF($EC$9="",IF($EC$11="",IF($EC$13="",INDEX(bhpc_data[description],SMALL(MATCH(ROW(bhpc_data[sku]),ROW(bhpc_data[sku])),ROWS($A$15:A235)+$B$3)),INDEX(bhpc_data[description],SMALL(IF(ISNUMBER(MATCH(bhpc_data[size1],$EC$13,0)),MATCH(ROW(bhpc_data[sku]),ROW(bhpc_data[sku])),""),ROWS($A$15:A235)+$B$3))),IF($EC$13="",INDEX(bhpc_data[description],SMALL(IF(ISNUMBER(MATCH(bhpc_data[sex],$EC$11,0)),MATCH(ROW(bhpc_data[sku]),ROW(bhpc_data[sku])),""),ROWS($A$15:A235)+$B$3)),INDEX(bhpc_data[description],SMALL(IF(ISNUMBER(MATCH(bhpc_data[sex],$EC$11,0)*MATCH(bhpc_data[size1],$EC$13,0)),MATCH(ROW(bhpc_data[sku]),ROW(bhpc_data[sku])),""),ROWS($A$15:A235)+$B$3)))),IF($EC$11="",IF($EC$13="",INDEX(bhpc_data[description],SMALL(IF(ISNUMBER(MATCH(bhpc_data[category],$EC$9,0)),MATCH(ROW(bhpc_data[sku]),ROW(bhpc_data[sku])),""),ROWS($A$15:A235)+$B$3)),INDEX(bhpc_data[description],SMALL(IF(ISNUMBER(MATCH(bhpc_data[category],$EC$9,0)*MATCH(bhpc_data[size1],$EC$13,0)),MATCH(ROW(bhpc_data[sku]),ROW(bhpc_data[sku])),""),ROWS($A$15:A235)+$B$3))),IF($EC$13="",INDEX(bhpc_data[description],SMALL(IF(ISNUMBER(MATCH(bhpc_data[category],$EC$9,0)*MATCH(bhpc_data[sex],$EC$11,0)),MATCH(ROW(bhpc_data[sku]),ROW(bhpc_data[sku])),""),ROWS($A$15:A235)+$B$3)),INDEX(bhpc_data[description],SMALL(IF(ISNUMBER(MATCH(bhpc_data[category],$EC$9,0)*MATCH(bhpc_data[sex],$EC$11,0)*MATCH(bhpc_data[size1],$EC$13,0)),MATCH(ROW(bhpc_data[sku]),ROW(bhpc_data[sku])),""),ROWS($A$15:A235)+$B$3))))),"")</f>
        <v/>
      </c>
      <c r="EG230" s="549" t="str">
        <f>IFERROR(IF('BHPC MANAGER'!$EE230="","",INDEX(inventory[ESISTENZA],MATCH('BHPC MANAGER'!$EE230,inventory[ARTICOLO],0))),0)</f>
        <v/>
      </c>
      <c r="EH230" s="550"/>
      <c r="EI230" s="550" t="str">
        <f t="shared" si="16"/>
        <v/>
      </c>
      <c r="EJ230" s="551"/>
      <c r="EK230" s="552" t="str">
        <f t="shared" si="17"/>
        <v/>
      </c>
    </row>
    <row r="231" spans="63:141" x14ac:dyDescent="0.35">
      <c r="BK231" s="366"/>
      <c r="BL231" s="367"/>
      <c r="BM231" s="368"/>
      <c r="BN231" s="367"/>
      <c r="BO231" s="368"/>
      <c r="EE231" s="541" t="str" cm="1">
        <f t="array" ref="EE231">IFERROR(IF($EC$9="",IF($EC$11="",IF($EC$13="",INDEX(bhpc_data[sku],SMALL(MATCH(ROW(bhpc_data[sku]),ROW(bhpc_data[sku])),ROWS($A$15:A236)+$B$3)),INDEX(bhpc_data[sku],SMALL(IF(ISNUMBER(MATCH(bhpc_data[size1],$EC$13,0)),MATCH(ROW(bhpc_data[sku]),ROW(bhpc_data[sku])),""),ROWS($A$15:A236)+$B$3))),IF($EC$13="",INDEX(bhpc_data[sku],SMALL(IF(ISNUMBER(MATCH(bhpc_data[sex],$EC$11,0)),MATCH(ROW(bhpc_data[sku]),ROW(bhpc_data[sku])),""),ROWS($A$15:A236)+$B$3)),INDEX(bhpc_data[sku],SMALL(IF(ISNUMBER(MATCH(bhpc_data[sex],$EC$11,0)*MATCH(bhpc_data[size1],$EC$13,0)),MATCH(ROW(bhpc_data[sku]),ROW(bhpc_data[sku])),""),ROWS($A$15:A236)+$B$3)))),IF($EC$11="",IF($EC$13="",INDEX(bhpc_data[sku],SMALL(IF(ISNUMBER(MATCH(bhpc_data[category],$EC$9,0)),MATCH(ROW(bhpc_data[sku]),ROW(bhpc_data[sku])),""),ROWS($A$15:A236)+$B$3)),INDEX(bhpc_data[sku],SMALL(IF(ISNUMBER(MATCH(bhpc_data[category],$EC$9,0)*MATCH(bhpc_data[size1],$EC$13,0)),MATCH(ROW(bhpc_data[sku]),ROW(bhpc_data[sku])),""),ROWS($A$15:A236)+$B$3))),IF($EC$13="",INDEX(bhpc_data[sku],SMALL(IF(ISNUMBER(MATCH(bhpc_data[category],$EC$9,0)*MATCH(bhpc_data[sex],$EC$11,0)),MATCH(ROW(bhpc_data[sku]),ROW(bhpc_data[sku])),""),ROWS($A$15:A236)+$B$3)),INDEX(bhpc_data[sku],SMALL(IF(ISNUMBER(MATCH(bhpc_data[category],$EC$9,0)*MATCH(bhpc_data[sex],$EC$11,0)*MATCH(bhpc_data[size1],$EC$13,0)),MATCH(ROW(bhpc_data[sku]),ROW(bhpc_data[sku])),""),ROWS($A$15:A236)+$B$3))))),"")</f>
        <v/>
      </c>
      <c r="EF231" s="542" t="str" cm="1">
        <f t="array" ref="EF231">IFERROR(IF($EC$9="",IF($EC$11="",IF($EC$13="",INDEX(bhpc_data[description],SMALL(MATCH(ROW(bhpc_data[sku]),ROW(bhpc_data[sku])),ROWS($A$15:A236)+$B$3)),INDEX(bhpc_data[description],SMALL(IF(ISNUMBER(MATCH(bhpc_data[size1],$EC$13,0)),MATCH(ROW(bhpc_data[sku]),ROW(bhpc_data[sku])),""),ROWS($A$15:A236)+$B$3))),IF($EC$13="",INDEX(bhpc_data[description],SMALL(IF(ISNUMBER(MATCH(bhpc_data[sex],$EC$11,0)),MATCH(ROW(bhpc_data[sku]),ROW(bhpc_data[sku])),""),ROWS($A$15:A236)+$B$3)),INDEX(bhpc_data[description],SMALL(IF(ISNUMBER(MATCH(bhpc_data[sex],$EC$11,0)*MATCH(bhpc_data[size1],$EC$13,0)),MATCH(ROW(bhpc_data[sku]),ROW(bhpc_data[sku])),""),ROWS($A$15:A236)+$B$3)))),IF($EC$11="",IF($EC$13="",INDEX(bhpc_data[description],SMALL(IF(ISNUMBER(MATCH(bhpc_data[category],$EC$9,0)),MATCH(ROW(bhpc_data[sku]),ROW(bhpc_data[sku])),""),ROWS($A$15:A236)+$B$3)),INDEX(bhpc_data[description],SMALL(IF(ISNUMBER(MATCH(bhpc_data[category],$EC$9,0)*MATCH(bhpc_data[size1],$EC$13,0)),MATCH(ROW(bhpc_data[sku]),ROW(bhpc_data[sku])),""),ROWS($A$15:A236)+$B$3))),IF($EC$13="",INDEX(bhpc_data[description],SMALL(IF(ISNUMBER(MATCH(bhpc_data[category],$EC$9,0)*MATCH(bhpc_data[sex],$EC$11,0)),MATCH(ROW(bhpc_data[sku]),ROW(bhpc_data[sku])),""),ROWS($A$15:A236)+$B$3)),INDEX(bhpc_data[description],SMALL(IF(ISNUMBER(MATCH(bhpc_data[category],$EC$9,0)*MATCH(bhpc_data[sex],$EC$11,0)*MATCH(bhpc_data[size1],$EC$13,0)),MATCH(ROW(bhpc_data[sku]),ROW(bhpc_data[sku])),""),ROWS($A$15:A236)+$B$3))))),"")</f>
        <v/>
      </c>
      <c r="EG231" s="543" t="str">
        <f>IFERROR(IF('BHPC MANAGER'!$EE231="","",INDEX(inventory[ESISTENZA],MATCH('BHPC MANAGER'!$EE231,inventory[ARTICOLO],0))),0)</f>
        <v/>
      </c>
      <c r="EH231" s="544"/>
      <c r="EI231" s="544" t="str">
        <f t="shared" si="16"/>
        <v/>
      </c>
      <c r="EJ231" s="545"/>
      <c r="EK231" s="546" t="str">
        <f t="shared" si="17"/>
        <v/>
      </c>
    </row>
    <row r="232" spans="63:141" x14ac:dyDescent="0.35">
      <c r="BK232" s="366"/>
      <c r="BL232" s="367"/>
      <c r="BM232" s="368"/>
      <c r="BN232" s="367"/>
      <c r="BO232" s="368"/>
      <c r="EE232" s="547" t="str" cm="1">
        <f t="array" ref="EE232">IFERROR(IF($EC$9="",IF($EC$11="",IF($EC$13="",INDEX(bhpc_data[sku],SMALL(MATCH(ROW(bhpc_data[sku]),ROW(bhpc_data[sku])),ROWS($A$15:A237)+$B$3)),INDEX(bhpc_data[sku],SMALL(IF(ISNUMBER(MATCH(bhpc_data[size1],$EC$13,0)),MATCH(ROW(bhpc_data[sku]),ROW(bhpc_data[sku])),""),ROWS($A$15:A237)+$B$3))),IF($EC$13="",INDEX(bhpc_data[sku],SMALL(IF(ISNUMBER(MATCH(bhpc_data[sex],$EC$11,0)),MATCH(ROW(bhpc_data[sku]),ROW(bhpc_data[sku])),""),ROWS($A$15:A237)+$B$3)),INDEX(bhpc_data[sku],SMALL(IF(ISNUMBER(MATCH(bhpc_data[sex],$EC$11,0)*MATCH(bhpc_data[size1],$EC$13,0)),MATCH(ROW(bhpc_data[sku]),ROW(bhpc_data[sku])),""),ROWS($A$15:A237)+$B$3)))),IF($EC$11="",IF($EC$13="",INDEX(bhpc_data[sku],SMALL(IF(ISNUMBER(MATCH(bhpc_data[category],$EC$9,0)),MATCH(ROW(bhpc_data[sku]),ROW(bhpc_data[sku])),""),ROWS($A$15:A237)+$B$3)),INDEX(bhpc_data[sku],SMALL(IF(ISNUMBER(MATCH(bhpc_data[category],$EC$9,0)*MATCH(bhpc_data[size1],$EC$13,0)),MATCH(ROW(bhpc_data[sku]),ROW(bhpc_data[sku])),""),ROWS($A$15:A237)+$B$3))),IF($EC$13="",INDEX(bhpc_data[sku],SMALL(IF(ISNUMBER(MATCH(bhpc_data[category],$EC$9,0)*MATCH(bhpc_data[sex],$EC$11,0)),MATCH(ROW(bhpc_data[sku]),ROW(bhpc_data[sku])),""),ROWS($A$15:A237)+$B$3)),INDEX(bhpc_data[sku],SMALL(IF(ISNUMBER(MATCH(bhpc_data[category],$EC$9,0)*MATCH(bhpc_data[sex],$EC$11,0)*MATCH(bhpc_data[size1],$EC$13,0)),MATCH(ROW(bhpc_data[sku]),ROW(bhpc_data[sku])),""),ROWS($A$15:A237)+$B$3))))),"")</f>
        <v/>
      </c>
      <c r="EF232" s="548" t="str" cm="1">
        <f t="array" ref="EF232">IFERROR(IF($EC$9="",IF($EC$11="",IF($EC$13="",INDEX(bhpc_data[description],SMALL(MATCH(ROW(bhpc_data[sku]),ROW(bhpc_data[sku])),ROWS($A$15:A237)+$B$3)),INDEX(bhpc_data[description],SMALL(IF(ISNUMBER(MATCH(bhpc_data[size1],$EC$13,0)),MATCH(ROW(bhpc_data[sku]),ROW(bhpc_data[sku])),""),ROWS($A$15:A237)+$B$3))),IF($EC$13="",INDEX(bhpc_data[description],SMALL(IF(ISNUMBER(MATCH(bhpc_data[sex],$EC$11,0)),MATCH(ROW(bhpc_data[sku]),ROW(bhpc_data[sku])),""),ROWS($A$15:A237)+$B$3)),INDEX(bhpc_data[description],SMALL(IF(ISNUMBER(MATCH(bhpc_data[sex],$EC$11,0)*MATCH(bhpc_data[size1],$EC$13,0)),MATCH(ROW(bhpc_data[sku]),ROW(bhpc_data[sku])),""),ROWS($A$15:A237)+$B$3)))),IF($EC$11="",IF($EC$13="",INDEX(bhpc_data[description],SMALL(IF(ISNUMBER(MATCH(bhpc_data[category],$EC$9,0)),MATCH(ROW(bhpc_data[sku]),ROW(bhpc_data[sku])),""),ROWS($A$15:A237)+$B$3)),INDEX(bhpc_data[description],SMALL(IF(ISNUMBER(MATCH(bhpc_data[category],$EC$9,0)*MATCH(bhpc_data[size1],$EC$13,0)),MATCH(ROW(bhpc_data[sku]),ROW(bhpc_data[sku])),""),ROWS($A$15:A237)+$B$3))),IF($EC$13="",INDEX(bhpc_data[description],SMALL(IF(ISNUMBER(MATCH(bhpc_data[category],$EC$9,0)*MATCH(bhpc_data[sex],$EC$11,0)),MATCH(ROW(bhpc_data[sku]),ROW(bhpc_data[sku])),""),ROWS($A$15:A237)+$B$3)),INDEX(bhpc_data[description],SMALL(IF(ISNUMBER(MATCH(bhpc_data[category],$EC$9,0)*MATCH(bhpc_data[sex],$EC$11,0)*MATCH(bhpc_data[size1],$EC$13,0)),MATCH(ROW(bhpc_data[sku]),ROW(bhpc_data[sku])),""),ROWS($A$15:A237)+$B$3))))),"")</f>
        <v/>
      </c>
      <c r="EG232" s="549" t="str">
        <f>IFERROR(IF('BHPC MANAGER'!$EE232="","",INDEX(inventory[ESISTENZA],MATCH('BHPC MANAGER'!$EE232,inventory[ARTICOLO],0))),0)</f>
        <v/>
      </c>
      <c r="EH232" s="550"/>
      <c r="EI232" s="550" t="str">
        <f t="shared" si="16"/>
        <v/>
      </c>
      <c r="EJ232" s="551"/>
      <c r="EK232" s="552" t="str">
        <f t="shared" si="17"/>
        <v/>
      </c>
    </row>
    <row r="233" spans="63:141" x14ac:dyDescent="0.35">
      <c r="BK233" s="366"/>
      <c r="BL233" s="367"/>
      <c r="BM233" s="368"/>
      <c r="BN233" s="367"/>
      <c r="BO233" s="368"/>
      <c r="EE233" s="541" t="str" cm="1">
        <f t="array" ref="EE233">IFERROR(IF($EC$9="",IF($EC$11="",IF($EC$13="",INDEX(bhpc_data[sku],SMALL(MATCH(ROW(bhpc_data[sku]),ROW(bhpc_data[sku])),ROWS($A$15:A238)+$B$3)),INDEX(bhpc_data[sku],SMALL(IF(ISNUMBER(MATCH(bhpc_data[size1],$EC$13,0)),MATCH(ROW(bhpc_data[sku]),ROW(bhpc_data[sku])),""),ROWS($A$15:A238)+$B$3))),IF($EC$13="",INDEX(bhpc_data[sku],SMALL(IF(ISNUMBER(MATCH(bhpc_data[sex],$EC$11,0)),MATCH(ROW(bhpc_data[sku]),ROW(bhpc_data[sku])),""),ROWS($A$15:A238)+$B$3)),INDEX(bhpc_data[sku],SMALL(IF(ISNUMBER(MATCH(bhpc_data[sex],$EC$11,0)*MATCH(bhpc_data[size1],$EC$13,0)),MATCH(ROW(bhpc_data[sku]),ROW(bhpc_data[sku])),""),ROWS($A$15:A238)+$B$3)))),IF($EC$11="",IF($EC$13="",INDEX(bhpc_data[sku],SMALL(IF(ISNUMBER(MATCH(bhpc_data[category],$EC$9,0)),MATCH(ROW(bhpc_data[sku]),ROW(bhpc_data[sku])),""),ROWS($A$15:A238)+$B$3)),INDEX(bhpc_data[sku],SMALL(IF(ISNUMBER(MATCH(bhpc_data[category],$EC$9,0)*MATCH(bhpc_data[size1],$EC$13,0)),MATCH(ROW(bhpc_data[sku]),ROW(bhpc_data[sku])),""),ROWS($A$15:A238)+$B$3))),IF($EC$13="",INDEX(bhpc_data[sku],SMALL(IF(ISNUMBER(MATCH(bhpc_data[category],$EC$9,0)*MATCH(bhpc_data[sex],$EC$11,0)),MATCH(ROW(bhpc_data[sku]),ROW(bhpc_data[sku])),""),ROWS($A$15:A238)+$B$3)),INDEX(bhpc_data[sku],SMALL(IF(ISNUMBER(MATCH(bhpc_data[category],$EC$9,0)*MATCH(bhpc_data[sex],$EC$11,0)*MATCH(bhpc_data[size1],$EC$13,0)),MATCH(ROW(bhpc_data[sku]),ROW(bhpc_data[sku])),""),ROWS($A$15:A238)+$B$3))))),"")</f>
        <v/>
      </c>
      <c r="EF233" s="542" t="str" cm="1">
        <f t="array" ref="EF233">IFERROR(IF($EC$9="",IF($EC$11="",IF($EC$13="",INDEX(bhpc_data[description],SMALL(MATCH(ROW(bhpc_data[sku]),ROW(bhpc_data[sku])),ROWS($A$15:A238)+$B$3)),INDEX(bhpc_data[description],SMALL(IF(ISNUMBER(MATCH(bhpc_data[size1],$EC$13,0)),MATCH(ROW(bhpc_data[sku]),ROW(bhpc_data[sku])),""),ROWS($A$15:A238)+$B$3))),IF($EC$13="",INDEX(bhpc_data[description],SMALL(IF(ISNUMBER(MATCH(bhpc_data[sex],$EC$11,0)),MATCH(ROW(bhpc_data[sku]),ROW(bhpc_data[sku])),""),ROWS($A$15:A238)+$B$3)),INDEX(bhpc_data[description],SMALL(IF(ISNUMBER(MATCH(bhpc_data[sex],$EC$11,0)*MATCH(bhpc_data[size1],$EC$13,0)),MATCH(ROW(bhpc_data[sku]),ROW(bhpc_data[sku])),""),ROWS($A$15:A238)+$B$3)))),IF($EC$11="",IF($EC$13="",INDEX(bhpc_data[description],SMALL(IF(ISNUMBER(MATCH(bhpc_data[category],$EC$9,0)),MATCH(ROW(bhpc_data[sku]),ROW(bhpc_data[sku])),""),ROWS($A$15:A238)+$B$3)),INDEX(bhpc_data[description],SMALL(IF(ISNUMBER(MATCH(bhpc_data[category],$EC$9,0)*MATCH(bhpc_data[size1],$EC$13,0)),MATCH(ROW(bhpc_data[sku]),ROW(bhpc_data[sku])),""),ROWS($A$15:A238)+$B$3))),IF($EC$13="",INDEX(bhpc_data[description],SMALL(IF(ISNUMBER(MATCH(bhpc_data[category],$EC$9,0)*MATCH(bhpc_data[sex],$EC$11,0)),MATCH(ROW(bhpc_data[sku]),ROW(bhpc_data[sku])),""),ROWS($A$15:A238)+$B$3)),INDEX(bhpc_data[description],SMALL(IF(ISNUMBER(MATCH(bhpc_data[category],$EC$9,0)*MATCH(bhpc_data[sex],$EC$11,0)*MATCH(bhpc_data[size1],$EC$13,0)),MATCH(ROW(bhpc_data[sku]),ROW(bhpc_data[sku])),""),ROWS($A$15:A238)+$B$3))))),"")</f>
        <v/>
      </c>
      <c r="EG233" s="543" t="str">
        <f>IFERROR(IF('BHPC MANAGER'!$EE233="","",INDEX(inventory[ESISTENZA],MATCH('BHPC MANAGER'!$EE233,inventory[ARTICOLO],0))),0)</f>
        <v/>
      </c>
      <c r="EH233" s="544"/>
      <c r="EI233" s="544" t="str">
        <f t="shared" si="16"/>
        <v/>
      </c>
      <c r="EJ233" s="545"/>
      <c r="EK233" s="546" t="str">
        <f t="shared" si="17"/>
        <v/>
      </c>
    </row>
    <row r="234" spans="63:141" x14ac:dyDescent="0.35">
      <c r="BK234" s="366"/>
      <c r="BL234" s="367"/>
      <c r="BM234" s="368"/>
      <c r="BN234" s="367"/>
      <c r="BO234" s="368"/>
      <c r="EE234" s="547" t="str" cm="1">
        <f t="array" ref="EE234">IFERROR(IF($EC$9="",IF($EC$11="",IF($EC$13="",INDEX(bhpc_data[sku],SMALL(MATCH(ROW(bhpc_data[sku]),ROW(bhpc_data[sku])),ROWS($A$15:A239)+$B$3)),INDEX(bhpc_data[sku],SMALL(IF(ISNUMBER(MATCH(bhpc_data[size1],$EC$13,0)),MATCH(ROW(bhpc_data[sku]),ROW(bhpc_data[sku])),""),ROWS($A$15:A239)+$B$3))),IF($EC$13="",INDEX(bhpc_data[sku],SMALL(IF(ISNUMBER(MATCH(bhpc_data[sex],$EC$11,0)),MATCH(ROW(bhpc_data[sku]),ROW(bhpc_data[sku])),""),ROWS($A$15:A239)+$B$3)),INDEX(bhpc_data[sku],SMALL(IF(ISNUMBER(MATCH(bhpc_data[sex],$EC$11,0)*MATCH(bhpc_data[size1],$EC$13,0)),MATCH(ROW(bhpc_data[sku]),ROW(bhpc_data[sku])),""),ROWS($A$15:A239)+$B$3)))),IF($EC$11="",IF($EC$13="",INDEX(bhpc_data[sku],SMALL(IF(ISNUMBER(MATCH(bhpc_data[category],$EC$9,0)),MATCH(ROW(bhpc_data[sku]),ROW(bhpc_data[sku])),""),ROWS($A$15:A239)+$B$3)),INDEX(bhpc_data[sku],SMALL(IF(ISNUMBER(MATCH(bhpc_data[category],$EC$9,0)*MATCH(bhpc_data[size1],$EC$13,0)),MATCH(ROW(bhpc_data[sku]),ROW(bhpc_data[sku])),""),ROWS($A$15:A239)+$B$3))),IF($EC$13="",INDEX(bhpc_data[sku],SMALL(IF(ISNUMBER(MATCH(bhpc_data[category],$EC$9,0)*MATCH(bhpc_data[sex],$EC$11,0)),MATCH(ROW(bhpc_data[sku]),ROW(bhpc_data[sku])),""),ROWS($A$15:A239)+$B$3)),INDEX(bhpc_data[sku],SMALL(IF(ISNUMBER(MATCH(bhpc_data[category],$EC$9,0)*MATCH(bhpc_data[sex],$EC$11,0)*MATCH(bhpc_data[size1],$EC$13,0)),MATCH(ROW(bhpc_data[sku]),ROW(bhpc_data[sku])),""),ROWS($A$15:A239)+$B$3))))),"")</f>
        <v/>
      </c>
      <c r="EF234" s="548" t="str" cm="1">
        <f t="array" ref="EF234">IFERROR(IF($EC$9="",IF($EC$11="",IF($EC$13="",INDEX(bhpc_data[description],SMALL(MATCH(ROW(bhpc_data[sku]),ROW(bhpc_data[sku])),ROWS($A$15:A239)+$B$3)),INDEX(bhpc_data[description],SMALL(IF(ISNUMBER(MATCH(bhpc_data[size1],$EC$13,0)),MATCH(ROW(bhpc_data[sku]),ROW(bhpc_data[sku])),""),ROWS($A$15:A239)+$B$3))),IF($EC$13="",INDEX(bhpc_data[description],SMALL(IF(ISNUMBER(MATCH(bhpc_data[sex],$EC$11,0)),MATCH(ROW(bhpc_data[sku]),ROW(bhpc_data[sku])),""),ROWS($A$15:A239)+$B$3)),INDEX(bhpc_data[description],SMALL(IF(ISNUMBER(MATCH(bhpc_data[sex],$EC$11,0)*MATCH(bhpc_data[size1],$EC$13,0)),MATCH(ROW(bhpc_data[sku]),ROW(bhpc_data[sku])),""),ROWS($A$15:A239)+$B$3)))),IF($EC$11="",IF($EC$13="",INDEX(bhpc_data[description],SMALL(IF(ISNUMBER(MATCH(bhpc_data[category],$EC$9,0)),MATCH(ROW(bhpc_data[sku]),ROW(bhpc_data[sku])),""),ROWS($A$15:A239)+$B$3)),INDEX(bhpc_data[description],SMALL(IF(ISNUMBER(MATCH(bhpc_data[category],$EC$9,0)*MATCH(bhpc_data[size1],$EC$13,0)),MATCH(ROW(bhpc_data[sku]),ROW(bhpc_data[sku])),""),ROWS($A$15:A239)+$B$3))),IF($EC$13="",INDEX(bhpc_data[description],SMALL(IF(ISNUMBER(MATCH(bhpc_data[category],$EC$9,0)*MATCH(bhpc_data[sex],$EC$11,0)),MATCH(ROW(bhpc_data[sku]),ROW(bhpc_data[sku])),""),ROWS($A$15:A239)+$B$3)),INDEX(bhpc_data[description],SMALL(IF(ISNUMBER(MATCH(bhpc_data[category],$EC$9,0)*MATCH(bhpc_data[sex],$EC$11,0)*MATCH(bhpc_data[size1],$EC$13,0)),MATCH(ROW(bhpc_data[sku]),ROW(bhpc_data[sku])),""),ROWS($A$15:A239)+$B$3))))),"")</f>
        <v/>
      </c>
      <c r="EG234" s="549" t="str">
        <f>IFERROR(IF('BHPC MANAGER'!$EE234="","",INDEX(inventory[ESISTENZA],MATCH('BHPC MANAGER'!$EE234,inventory[ARTICOLO],0))),0)</f>
        <v/>
      </c>
      <c r="EH234" s="550"/>
      <c r="EI234" s="550" t="str">
        <f t="shared" si="16"/>
        <v/>
      </c>
      <c r="EJ234" s="551"/>
      <c r="EK234" s="552" t="str">
        <f t="shared" si="17"/>
        <v/>
      </c>
    </row>
    <row r="235" spans="63:141" x14ac:dyDescent="0.35">
      <c r="BK235" s="366"/>
      <c r="BL235" s="367"/>
      <c r="BM235" s="368"/>
      <c r="BN235" s="367"/>
      <c r="BO235" s="368"/>
      <c r="EE235" s="541" t="str" cm="1">
        <f t="array" ref="EE235">IFERROR(IF($EC$9="",IF($EC$11="",IF($EC$13="",INDEX(bhpc_data[sku],SMALL(MATCH(ROW(bhpc_data[sku]),ROW(bhpc_data[sku])),ROWS($A$15:A240)+$B$3)),INDEX(bhpc_data[sku],SMALL(IF(ISNUMBER(MATCH(bhpc_data[size1],$EC$13,0)),MATCH(ROW(bhpc_data[sku]),ROW(bhpc_data[sku])),""),ROWS($A$15:A240)+$B$3))),IF($EC$13="",INDEX(bhpc_data[sku],SMALL(IF(ISNUMBER(MATCH(bhpc_data[sex],$EC$11,0)),MATCH(ROW(bhpc_data[sku]),ROW(bhpc_data[sku])),""),ROWS($A$15:A240)+$B$3)),INDEX(bhpc_data[sku],SMALL(IF(ISNUMBER(MATCH(bhpc_data[sex],$EC$11,0)*MATCH(bhpc_data[size1],$EC$13,0)),MATCH(ROW(bhpc_data[sku]),ROW(bhpc_data[sku])),""),ROWS($A$15:A240)+$B$3)))),IF($EC$11="",IF($EC$13="",INDEX(bhpc_data[sku],SMALL(IF(ISNUMBER(MATCH(bhpc_data[category],$EC$9,0)),MATCH(ROW(bhpc_data[sku]),ROW(bhpc_data[sku])),""),ROWS($A$15:A240)+$B$3)),INDEX(bhpc_data[sku],SMALL(IF(ISNUMBER(MATCH(bhpc_data[category],$EC$9,0)*MATCH(bhpc_data[size1],$EC$13,0)),MATCH(ROW(bhpc_data[sku]),ROW(bhpc_data[sku])),""),ROWS($A$15:A240)+$B$3))),IF($EC$13="",INDEX(bhpc_data[sku],SMALL(IF(ISNUMBER(MATCH(bhpc_data[category],$EC$9,0)*MATCH(bhpc_data[sex],$EC$11,0)),MATCH(ROW(bhpc_data[sku]),ROW(bhpc_data[sku])),""),ROWS($A$15:A240)+$B$3)),INDEX(bhpc_data[sku],SMALL(IF(ISNUMBER(MATCH(bhpc_data[category],$EC$9,0)*MATCH(bhpc_data[sex],$EC$11,0)*MATCH(bhpc_data[size1],$EC$13,0)),MATCH(ROW(bhpc_data[sku]),ROW(bhpc_data[sku])),""),ROWS($A$15:A240)+$B$3))))),"")</f>
        <v/>
      </c>
      <c r="EF235" s="542" t="str" cm="1">
        <f t="array" ref="EF235">IFERROR(IF($EC$9="",IF($EC$11="",IF($EC$13="",INDEX(bhpc_data[description],SMALL(MATCH(ROW(bhpc_data[sku]),ROW(bhpc_data[sku])),ROWS($A$15:A240)+$B$3)),INDEX(bhpc_data[description],SMALL(IF(ISNUMBER(MATCH(bhpc_data[size1],$EC$13,0)),MATCH(ROW(bhpc_data[sku]),ROW(bhpc_data[sku])),""),ROWS($A$15:A240)+$B$3))),IF($EC$13="",INDEX(bhpc_data[description],SMALL(IF(ISNUMBER(MATCH(bhpc_data[sex],$EC$11,0)),MATCH(ROW(bhpc_data[sku]),ROW(bhpc_data[sku])),""),ROWS($A$15:A240)+$B$3)),INDEX(bhpc_data[description],SMALL(IF(ISNUMBER(MATCH(bhpc_data[sex],$EC$11,0)*MATCH(bhpc_data[size1],$EC$13,0)),MATCH(ROW(bhpc_data[sku]),ROW(bhpc_data[sku])),""),ROWS($A$15:A240)+$B$3)))),IF($EC$11="",IF($EC$13="",INDEX(bhpc_data[description],SMALL(IF(ISNUMBER(MATCH(bhpc_data[category],$EC$9,0)),MATCH(ROW(bhpc_data[sku]),ROW(bhpc_data[sku])),""),ROWS($A$15:A240)+$B$3)),INDEX(bhpc_data[description],SMALL(IF(ISNUMBER(MATCH(bhpc_data[category],$EC$9,0)*MATCH(bhpc_data[size1],$EC$13,0)),MATCH(ROW(bhpc_data[sku]),ROW(bhpc_data[sku])),""),ROWS($A$15:A240)+$B$3))),IF($EC$13="",INDEX(bhpc_data[description],SMALL(IF(ISNUMBER(MATCH(bhpc_data[category],$EC$9,0)*MATCH(bhpc_data[sex],$EC$11,0)),MATCH(ROW(bhpc_data[sku]),ROW(bhpc_data[sku])),""),ROWS($A$15:A240)+$B$3)),INDEX(bhpc_data[description],SMALL(IF(ISNUMBER(MATCH(bhpc_data[category],$EC$9,0)*MATCH(bhpc_data[sex],$EC$11,0)*MATCH(bhpc_data[size1],$EC$13,0)),MATCH(ROW(bhpc_data[sku]),ROW(bhpc_data[sku])),""),ROWS($A$15:A240)+$B$3))))),"")</f>
        <v/>
      </c>
      <c r="EG235" s="543" t="str">
        <f>IFERROR(IF('BHPC MANAGER'!$EE235="","",INDEX(inventory[ESISTENZA],MATCH('BHPC MANAGER'!$EE235,inventory[ARTICOLO],0))),0)</f>
        <v/>
      </c>
      <c r="EH235" s="544"/>
      <c r="EI235" s="544" t="str">
        <f t="shared" si="16"/>
        <v/>
      </c>
      <c r="EJ235" s="545"/>
      <c r="EK235" s="546" t="str">
        <f t="shared" si="17"/>
        <v/>
      </c>
    </row>
    <row r="236" spans="63:141" x14ac:dyDescent="0.35">
      <c r="BK236" s="366"/>
      <c r="BL236" s="367"/>
      <c r="BM236" s="368"/>
      <c r="BN236" s="367"/>
      <c r="BO236" s="368"/>
      <c r="EE236" s="547" t="str" cm="1">
        <f t="array" ref="EE236">IFERROR(IF($EC$9="",IF($EC$11="",IF($EC$13="",INDEX(bhpc_data[sku],SMALL(MATCH(ROW(bhpc_data[sku]),ROW(bhpc_data[sku])),ROWS($A$15:A241)+$B$3)),INDEX(bhpc_data[sku],SMALL(IF(ISNUMBER(MATCH(bhpc_data[size1],$EC$13,0)),MATCH(ROW(bhpc_data[sku]),ROW(bhpc_data[sku])),""),ROWS($A$15:A241)+$B$3))),IF($EC$13="",INDEX(bhpc_data[sku],SMALL(IF(ISNUMBER(MATCH(bhpc_data[sex],$EC$11,0)),MATCH(ROW(bhpc_data[sku]),ROW(bhpc_data[sku])),""),ROWS($A$15:A241)+$B$3)),INDEX(bhpc_data[sku],SMALL(IF(ISNUMBER(MATCH(bhpc_data[sex],$EC$11,0)*MATCH(bhpc_data[size1],$EC$13,0)),MATCH(ROW(bhpc_data[sku]),ROW(bhpc_data[sku])),""),ROWS($A$15:A241)+$B$3)))),IF($EC$11="",IF($EC$13="",INDEX(bhpc_data[sku],SMALL(IF(ISNUMBER(MATCH(bhpc_data[category],$EC$9,0)),MATCH(ROW(bhpc_data[sku]),ROW(bhpc_data[sku])),""),ROWS($A$15:A241)+$B$3)),INDEX(bhpc_data[sku],SMALL(IF(ISNUMBER(MATCH(bhpc_data[category],$EC$9,0)*MATCH(bhpc_data[size1],$EC$13,0)),MATCH(ROW(bhpc_data[sku]),ROW(bhpc_data[sku])),""),ROWS($A$15:A241)+$B$3))),IF($EC$13="",INDEX(bhpc_data[sku],SMALL(IF(ISNUMBER(MATCH(bhpc_data[category],$EC$9,0)*MATCH(bhpc_data[sex],$EC$11,0)),MATCH(ROW(bhpc_data[sku]),ROW(bhpc_data[sku])),""),ROWS($A$15:A241)+$B$3)),INDEX(bhpc_data[sku],SMALL(IF(ISNUMBER(MATCH(bhpc_data[category],$EC$9,0)*MATCH(bhpc_data[sex],$EC$11,0)*MATCH(bhpc_data[size1],$EC$13,0)),MATCH(ROW(bhpc_data[sku]),ROW(bhpc_data[sku])),""),ROWS($A$15:A241)+$B$3))))),"")</f>
        <v/>
      </c>
      <c r="EF236" s="548" t="str" cm="1">
        <f t="array" ref="EF236">IFERROR(IF($EC$9="",IF($EC$11="",IF($EC$13="",INDEX(bhpc_data[description],SMALL(MATCH(ROW(bhpc_data[sku]),ROW(bhpc_data[sku])),ROWS($A$15:A241)+$B$3)),INDEX(bhpc_data[description],SMALL(IF(ISNUMBER(MATCH(bhpc_data[size1],$EC$13,0)),MATCH(ROW(bhpc_data[sku]),ROW(bhpc_data[sku])),""),ROWS($A$15:A241)+$B$3))),IF($EC$13="",INDEX(bhpc_data[description],SMALL(IF(ISNUMBER(MATCH(bhpc_data[sex],$EC$11,0)),MATCH(ROW(bhpc_data[sku]),ROW(bhpc_data[sku])),""),ROWS($A$15:A241)+$B$3)),INDEX(bhpc_data[description],SMALL(IF(ISNUMBER(MATCH(bhpc_data[sex],$EC$11,0)*MATCH(bhpc_data[size1],$EC$13,0)),MATCH(ROW(bhpc_data[sku]),ROW(bhpc_data[sku])),""),ROWS($A$15:A241)+$B$3)))),IF($EC$11="",IF($EC$13="",INDEX(bhpc_data[description],SMALL(IF(ISNUMBER(MATCH(bhpc_data[category],$EC$9,0)),MATCH(ROW(bhpc_data[sku]),ROW(bhpc_data[sku])),""),ROWS($A$15:A241)+$B$3)),INDEX(bhpc_data[description],SMALL(IF(ISNUMBER(MATCH(bhpc_data[category],$EC$9,0)*MATCH(bhpc_data[size1],$EC$13,0)),MATCH(ROW(bhpc_data[sku]),ROW(bhpc_data[sku])),""),ROWS($A$15:A241)+$B$3))),IF($EC$13="",INDEX(bhpc_data[description],SMALL(IF(ISNUMBER(MATCH(bhpc_data[category],$EC$9,0)*MATCH(bhpc_data[sex],$EC$11,0)),MATCH(ROW(bhpc_data[sku]),ROW(bhpc_data[sku])),""),ROWS($A$15:A241)+$B$3)),INDEX(bhpc_data[description],SMALL(IF(ISNUMBER(MATCH(bhpc_data[category],$EC$9,0)*MATCH(bhpc_data[sex],$EC$11,0)*MATCH(bhpc_data[size1],$EC$13,0)),MATCH(ROW(bhpc_data[sku]),ROW(bhpc_data[sku])),""),ROWS($A$15:A241)+$B$3))))),"")</f>
        <v/>
      </c>
      <c r="EG236" s="549" t="str">
        <f>IFERROR(IF('BHPC MANAGER'!$EE236="","",INDEX(inventory[ESISTENZA],MATCH('BHPC MANAGER'!$EE236,inventory[ARTICOLO],0))),0)</f>
        <v/>
      </c>
      <c r="EH236" s="550"/>
      <c r="EI236" s="550" t="str">
        <f t="shared" si="16"/>
        <v/>
      </c>
      <c r="EJ236" s="551"/>
      <c r="EK236" s="552" t="str">
        <f t="shared" si="17"/>
        <v/>
      </c>
    </row>
    <row r="237" spans="63:141" x14ac:dyDescent="0.35">
      <c r="BK237" s="366"/>
      <c r="BL237" s="367"/>
      <c r="BM237" s="368"/>
      <c r="BN237" s="367"/>
      <c r="BO237" s="368"/>
      <c r="EE237" s="541" t="str" cm="1">
        <f t="array" ref="EE237">IFERROR(IF($EC$9="",IF($EC$11="",IF($EC$13="",INDEX(bhpc_data[sku],SMALL(MATCH(ROW(bhpc_data[sku]),ROW(bhpc_data[sku])),ROWS($A$15:A242)+$B$3)),INDEX(bhpc_data[sku],SMALL(IF(ISNUMBER(MATCH(bhpc_data[size1],$EC$13,0)),MATCH(ROW(bhpc_data[sku]),ROW(bhpc_data[sku])),""),ROWS($A$15:A242)+$B$3))),IF($EC$13="",INDEX(bhpc_data[sku],SMALL(IF(ISNUMBER(MATCH(bhpc_data[sex],$EC$11,0)),MATCH(ROW(bhpc_data[sku]),ROW(bhpc_data[sku])),""),ROWS($A$15:A242)+$B$3)),INDEX(bhpc_data[sku],SMALL(IF(ISNUMBER(MATCH(bhpc_data[sex],$EC$11,0)*MATCH(bhpc_data[size1],$EC$13,0)),MATCH(ROW(bhpc_data[sku]),ROW(bhpc_data[sku])),""),ROWS($A$15:A242)+$B$3)))),IF($EC$11="",IF($EC$13="",INDEX(bhpc_data[sku],SMALL(IF(ISNUMBER(MATCH(bhpc_data[category],$EC$9,0)),MATCH(ROW(bhpc_data[sku]),ROW(bhpc_data[sku])),""),ROWS($A$15:A242)+$B$3)),INDEX(bhpc_data[sku],SMALL(IF(ISNUMBER(MATCH(bhpc_data[category],$EC$9,0)*MATCH(bhpc_data[size1],$EC$13,0)),MATCH(ROW(bhpc_data[sku]),ROW(bhpc_data[sku])),""),ROWS($A$15:A242)+$B$3))),IF($EC$13="",INDEX(bhpc_data[sku],SMALL(IF(ISNUMBER(MATCH(bhpc_data[category],$EC$9,0)*MATCH(bhpc_data[sex],$EC$11,0)),MATCH(ROW(bhpc_data[sku]),ROW(bhpc_data[sku])),""),ROWS($A$15:A242)+$B$3)),INDEX(bhpc_data[sku],SMALL(IF(ISNUMBER(MATCH(bhpc_data[category],$EC$9,0)*MATCH(bhpc_data[sex],$EC$11,0)*MATCH(bhpc_data[size1],$EC$13,0)),MATCH(ROW(bhpc_data[sku]),ROW(bhpc_data[sku])),""),ROWS($A$15:A242)+$B$3))))),"")</f>
        <v/>
      </c>
      <c r="EF237" s="542" t="str" cm="1">
        <f t="array" ref="EF237">IFERROR(IF($EC$9="",IF($EC$11="",IF($EC$13="",INDEX(bhpc_data[description],SMALL(MATCH(ROW(bhpc_data[sku]),ROW(bhpc_data[sku])),ROWS($A$15:A242)+$B$3)),INDEX(bhpc_data[description],SMALL(IF(ISNUMBER(MATCH(bhpc_data[size1],$EC$13,0)),MATCH(ROW(bhpc_data[sku]),ROW(bhpc_data[sku])),""),ROWS($A$15:A242)+$B$3))),IF($EC$13="",INDEX(bhpc_data[description],SMALL(IF(ISNUMBER(MATCH(bhpc_data[sex],$EC$11,0)),MATCH(ROW(bhpc_data[sku]),ROW(bhpc_data[sku])),""),ROWS($A$15:A242)+$B$3)),INDEX(bhpc_data[description],SMALL(IF(ISNUMBER(MATCH(bhpc_data[sex],$EC$11,0)*MATCH(bhpc_data[size1],$EC$13,0)),MATCH(ROW(bhpc_data[sku]),ROW(bhpc_data[sku])),""),ROWS($A$15:A242)+$B$3)))),IF($EC$11="",IF($EC$13="",INDEX(bhpc_data[description],SMALL(IF(ISNUMBER(MATCH(bhpc_data[category],$EC$9,0)),MATCH(ROW(bhpc_data[sku]),ROW(bhpc_data[sku])),""),ROWS($A$15:A242)+$B$3)),INDEX(bhpc_data[description],SMALL(IF(ISNUMBER(MATCH(bhpc_data[category],$EC$9,0)*MATCH(bhpc_data[size1],$EC$13,0)),MATCH(ROW(bhpc_data[sku]),ROW(bhpc_data[sku])),""),ROWS($A$15:A242)+$B$3))),IF($EC$13="",INDEX(bhpc_data[description],SMALL(IF(ISNUMBER(MATCH(bhpc_data[category],$EC$9,0)*MATCH(bhpc_data[sex],$EC$11,0)),MATCH(ROW(bhpc_data[sku]),ROW(bhpc_data[sku])),""),ROWS($A$15:A242)+$B$3)),INDEX(bhpc_data[description],SMALL(IF(ISNUMBER(MATCH(bhpc_data[category],$EC$9,0)*MATCH(bhpc_data[sex],$EC$11,0)*MATCH(bhpc_data[size1],$EC$13,0)),MATCH(ROW(bhpc_data[sku]),ROW(bhpc_data[sku])),""),ROWS($A$15:A242)+$B$3))))),"")</f>
        <v/>
      </c>
      <c r="EG237" s="543" t="str">
        <f>IFERROR(IF('BHPC MANAGER'!$EE237="","",INDEX(inventory[ESISTENZA],MATCH('BHPC MANAGER'!$EE237,inventory[ARTICOLO],0))),0)</f>
        <v/>
      </c>
      <c r="EH237" s="544"/>
      <c r="EI237" s="544" t="str">
        <f t="shared" si="16"/>
        <v/>
      </c>
      <c r="EJ237" s="545"/>
      <c r="EK237" s="546" t="str">
        <f t="shared" si="17"/>
        <v/>
      </c>
    </row>
    <row r="238" spans="63:141" x14ac:dyDescent="0.35">
      <c r="BK238" s="366"/>
      <c r="BL238" s="367"/>
      <c r="BM238" s="368"/>
      <c r="BN238" s="367"/>
      <c r="BO238" s="368"/>
      <c r="EE238" s="547" t="str" cm="1">
        <f t="array" ref="EE238">IFERROR(IF($EC$9="",IF($EC$11="",IF($EC$13="",INDEX(bhpc_data[sku],SMALL(MATCH(ROW(bhpc_data[sku]),ROW(bhpc_data[sku])),ROWS($A$15:A243)+$B$3)),INDEX(bhpc_data[sku],SMALL(IF(ISNUMBER(MATCH(bhpc_data[size1],$EC$13,0)),MATCH(ROW(bhpc_data[sku]),ROW(bhpc_data[sku])),""),ROWS($A$15:A243)+$B$3))),IF($EC$13="",INDEX(bhpc_data[sku],SMALL(IF(ISNUMBER(MATCH(bhpc_data[sex],$EC$11,0)),MATCH(ROW(bhpc_data[sku]),ROW(bhpc_data[sku])),""),ROWS($A$15:A243)+$B$3)),INDEX(bhpc_data[sku],SMALL(IF(ISNUMBER(MATCH(bhpc_data[sex],$EC$11,0)*MATCH(bhpc_data[size1],$EC$13,0)),MATCH(ROW(bhpc_data[sku]),ROW(bhpc_data[sku])),""),ROWS($A$15:A243)+$B$3)))),IF($EC$11="",IF($EC$13="",INDEX(bhpc_data[sku],SMALL(IF(ISNUMBER(MATCH(bhpc_data[category],$EC$9,0)),MATCH(ROW(bhpc_data[sku]),ROW(bhpc_data[sku])),""),ROWS($A$15:A243)+$B$3)),INDEX(bhpc_data[sku],SMALL(IF(ISNUMBER(MATCH(bhpc_data[category],$EC$9,0)*MATCH(bhpc_data[size1],$EC$13,0)),MATCH(ROW(bhpc_data[sku]),ROW(bhpc_data[sku])),""),ROWS($A$15:A243)+$B$3))),IF($EC$13="",INDEX(bhpc_data[sku],SMALL(IF(ISNUMBER(MATCH(bhpc_data[category],$EC$9,0)*MATCH(bhpc_data[sex],$EC$11,0)),MATCH(ROW(bhpc_data[sku]),ROW(bhpc_data[sku])),""),ROWS($A$15:A243)+$B$3)),INDEX(bhpc_data[sku],SMALL(IF(ISNUMBER(MATCH(bhpc_data[category],$EC$9,0)*MATCH(bhpc_data[sex],$EC$11,0)*MATCH(bhpc_data[size1],$EC$13,0)),MATCH(ROW(bhpc_data[sku]),ROW(bhpc_data[sku])),""),ROWS($A$15:A243)+$B$3))))),"")</f>
        <v/>
      </c>
      <c r="EF238" s="548" t="str" cm="1">
        <f t="array" ref="EF238">IFERROR(IF($EC$9="",IF($EC$11="",IF($EC$13="",INDEX(bhpc_data[description],SMALL(MATCH(ROW(bhpc_data[sku]),ROW(bhpc_data[sku])),ROWS($A$15:A243)+$B$3)),INDEX(bhpc_data[description],SMALL(IF(ISNUMBER(MATCH(bhpc_data[size1],$EC$13,0)),MATCH(ROW(bhpc_data[sku]),ROW(bhpc_data[sku])),""),ROWS($A$15:A243)+$B$3))),IF($EC$13="",INDEX(bhpc_data[description],SMALL(IF(ISNUMBER(MATCH(bhpc_data[sex],$EC$11,0)),MATCH(ROW(bhpc_data[sku]),ROW(bhpc_data[sku])),""),ROWS($A$15:A243)+$B$3)),INDEX(bhpc_data[description],SMALL(IF(ISNUMBER(MATCH(bhpc_data[sex],$EC$11,0)*MATCH(bhpc_data[size1],$EC$13,0)),MATCH(ROW(bhpc_data[sku]),ROW(bhpc_data[sku])),""),ROWS($A$15:A243)+$B$3)))),IF($EC$11="",IF($EC$13="",INDEX(bhpc_data[description],SMALL(IF(ISNUMBER(MATCH(bhpc_data[category],$EC$9,0)),MATCH(ROW(bhpc_data[sku]),ROW(bhpc_data[sku])),""),ROWS($A$15:A243)+$B$3)),INDEX(bhpc_data[description],SMALL(IF(ISNUMBER(MATCH(bhpc_data[category],$EC$9,0)*MATCH(bhpc_data[size1],$EC$13,0)),MATCH(ROW(bhpc_data[sku]),ROW(bhpc_data[sku])),""),ROWS($A$15:A243)+$B$3))),IF($EC$13="",INDEX(bhpc_data[description],SMALL(IF(ISNUMBER(MATCH(bhpc_data[category],$EC$9,0)*MATCH(bhpc_data[sex],$EC$11,0)),MATCH(ROW(bhpc_data[sku]),ROW(bhpc_data[sku])),""),ROWS($A$15:A243)+$B$3)),INDEX(bhpc_data[description],SMALL(IF(ISNUMBER(MATCH(bhpc_data[category],$EC$9,0)*MATCH(bhpc_data[sex],$EC$11,0)*MATCH(bhpc_data[size1],$EC$13,0)),MATCH(ROW(bhpc_data[sku]),ROW(bhpc_data[sku])),""),ROWS($A$15:A243)+$B$3))))),"")</f>
        <v/>
      </c>
      <c r="EG238" s="549" t="str">
        <f>IFERROR(IF('BHPC MANAGER'!$EE238="","",INDEX(inventory[ESISTENZA],MATCH('BHPC MANAGER'!$EE238,inventory[ARTICOLO],0))),0)</f>
        <v/>
      </c>
      <c r="EH238" s="550"/>
      <c r="EI238" s="550" t="str">
        <f t="shared" si="16"/>
        <v/>
      </c>
      <c r="EJ238" s="551"/>
      <c r="EK238" s="552" t="str">
        <f t="shared" si="17"/>
        <v/>
      </c>
    </row>
    <row r="239" spans="63:141" x14ac:dyDescent="0.35">
      <c r="BK239" s="366"/>
      <c r="BL239" s="367"/>
      <c r="BM239" s="368"/>
      <c r="BN239" s="367"/>
      <c r="BO239" s="368"/>
      <c r="EE239" s="541" t="str" cm="1">
        <f t="array" ref="EE239">IFERROR(IF($EC$9="",IF($EC$11="",IF($EC$13="",INDEX(bhpc_data[sku],SMALL(MATCH(ROW(bhpc_data[sku]),ROW(bhpc_data[sku])),ROWS($A$15:A244)+$B$3)),INDEX(bhpc_data[sku],SMALL(IF(ISNUMBER(MATCH(bhpc_data[size1],$EC$13,0)),MATCH(ROW(bhpc_data[sku]),ROW(bhpc_data[sku])),""),ROWS($A$15:A244)+$B$3))),IF($EC$13="",INDEX(bhpc_data[sku],SMALL(IF(ISNUMBER(MATCH(bhpc_data[sex],$EC$11,0)),MATCH(ROW(bhpc_data[sku]),ROW(bhpc_data[sku])),""),ROWS($A$15:A244)+$B$3)),INDEX(bhpc_data[sku],SMALL(IF(ISNUMBER(MATCH(bhpc_data[sex],$EC$11,0)*MATCH(bhpc_data[size1],$EC$13,0)),MATCH(ROW(bhpc_data[sku]),ROW(bhpc_data[sku])),""),ROWS($A$15:A244)+$B$3)))),IF($EC$11="",IF($EC$13="",INDEX(bhpc_data[sku],SMALL(IF(ISNUMBER(MATCH(bhpc_data[category],$EC$9,0)),MATCH(ROW(bhpc_data[sku]),ROW(bhpc_data[sku])),""),ROWS($A$15:A244)+$B$3)),INDEX(bhpc_data[sku],SMALL(IF(ISNUMBER(MATCH(bhpc_data[category],$EC$9,0)*MATCH(bhpc_data[size1],$EC$13,0)),MATCH(ROW(bhpc_data[sku]),ROW(bhpc_data[sku])),""),ROWS($A$15:A244)+$B$3))),IF($EC$13="",INDEX(bhpc_data[sku],SMALL(IF(ISNUMBER(MATCH(bhpc_data[category],$EC$9,0)*MATCH(bhpc_data[sex],$EC$11,0)),MATCH(ROW(bhpc_data[sku]),ROW(bhpc_data[sku])),""),ROWS($A$15:A244)+$B$3)),INDEX(bhpc_data[sku],SMALL(IF(ISNUMBER(MATCH(bhpc_data[category],$EC$9,0)*MATCH(bhpc_data[sex],$EC$11,0)*MATCH(bhpc_data[size1],$EC$13,0)),MATCH(ROW(bhpc_data[sku]),ROW(bhpc_data[sku])),""),ROWS($A$15:A244)+$B$3))))),"")</f>
        <v/>
      </c>
      <c r="EF239" s="542" t="str" cm="1">
        <f t="array" ref="EF239">IFERROR(IF($EC$9="",IF($EC$11="",IF($EC$13="",INDEX(bhpc_data[description],SMALL(MATCH(ROW(bhpc_data[sku]),ROW(bhpc_data[sku])),ROWS($A$15:A244)+$B$3)),INDEX(bhpc_data[description],SMALL(IF(ISNUMBER(MATCH(bhpc_data[size1],$EC$13,0)),MATCH(ROW(bhpc_data[sku]),ROW(bhpc_data[sku])),""),ROWS($A$15:A244)+$B$3))),IF($EC$13="",INDEX(bhpc_data[description],SMALL(IF(ISNUMBER(MATCH(bhpc_data[sex],$EC$11,0)),MATCH(ROW(bhpc_data[sku]),ROW(bhpc_data[sku])),""),ROWS($A$15:A244)+$B$3)),INDEX(bhpc_data[description],SMALL(IF(ISNUMBER(MATCH(bhpc_data[sex],$EC$11,0)*MATCH(bhpc_data[size1],$EC$13,0)),MATCH(ROW(bhpc_data[sku]),ROW(bhpc_data[sku])),""),ROWS($A$15:A244)+$B$3)))),IF($EC$11="",IF($EC$13="",INDEX(bhpc_data[description],SMALL(IF(ISNUMBER(MATCH(bhpc_data[category],$EC$9,0)),MATCH(ROW(bhpc_data[sku]),ROW(bhpc_data[sku])),""),ROWS($A$15:A244)+$B$3)),INDEX(bhpc_data[description],SMALL(IF(ISNUMBER(MATCH(bhpc_data[category],$EC$9,0)*MATCH(bhpc_data[size1],$EC$13,0)),MATCH(ROW(bhpc_data[sku]),ROW(bhpc_data[sku])),""),ROWS($A$15:A244)+$B$3))),IF($EC$13="",INDEX(bhpc_data[description],SMALL(IF(ISNUMBER(MATCH(bhpc_data[category],$EC$9,0)*MATCH(bhpc_data[sex],$EC$11,0)),MATCH(ROW(bhpc_data[sku]),ROW(bhpc_data[sku])),""),ROWS($A$15:A244)+$B$3)),INDEX(bhpc_data[description],SMALL(IF(ISNUMBER(MATCH(bhpc_data[category],$EC$9,0)*MATCH(bhpc_data[sex],$EC$11,0)*MATCH(bhpc_data[size1],$EC$13,0)),MATCH(ROW(bhpc_data[sku]),ROW(bhpc_data[sku])),""),ROWS($A$15:A244)+$B$3))))),"")</f>
        <v/>
      </c>
      <c r="EG239" s="543" t="str">
        <f>IFERROR(IF('BHPC MANAGER'!$EE239="","",INDEX(inventory[ESISTENZA],MATCH('BHPC MANAGER'!$EE239,inventory[ARTICOLO],0))),0)</f>
        <v/>
      </c>
      <c r="EH239" s="544"/>
      <c r="EI239" s="544" t="str">
        <f t="shared" si="16"/>
        <v/>
      </c>
      <c r="EJ239" s="545"/>
      <c r="EK239" s="546" t="str">
        <f t="shared" si="17"/>
        <v/>
      </c>
    </row>
    <row r="240" spans="63:141" x14ac:dyDescent="0.35">
      <c r="BK240" s="366"/>
      <c r="BL240" s="367"/>
      <c r="BM240" s="368"/>
      <c r="BN240" s="367"/>
      <c r="BO240" s="368"/>
      <c r="EE240" s="547" t="str" cm="1">
        <f t="array" ref="EE240">IFERROR(IF($EC$9="",IF($EC$11="",IF($EC$13="",INDEX(bhpc_data[sku],SMALL(MATCH(ROW(bhpc_data[sku]),ROW(bhpc_data[sku])),ROWS($A$15:A245)+$B$3)),INDEX(bhpc_data[sku],SMALL(IF(ISNUMBER(MATCH(bhpc_data[size1],$EC$13,0)),MATCH(ROW(bhpc_data[sku]),ROW(bhpc_data[sku])),""),ROWS($A$15:A245)+$B$3))),IF($EC$13="",INDEX(bhpc_data[sku],SMALL(IF(ISNUMBER(MATCH(bhpc_data[sex],$EC$11,0)),MATCH(ROW(bhpc_data[sku]),ROW(bhpc_data[sku])),""),ROWS($A$15:A245)+$B$3)),INDEX(bhpc_data[sku],SMALL(IF(ISNUMBER(MATCH(bhpc_data[sex],$EC$11,0)*MATCH(bhpc_data[size1],$EC$13,0)),MATCH(ROW(bhpc_data[sku]),ROW(bhpc_data[sku])),""),ROWS($A$15:A245)+$B$3)))),IF($EC$11="",IF($EC$13="",INDEX(bhpc_data[sku],SMALL(IF(ISNUMBER(MATCH(bhpc_data[category],$EC$9,0)),MATCH(ROW(bhpc_data[sku]),ROW(bhpc_data[sku])),""),ROWS($A$15:A245)+$B$3)),INDEX(bhpc_data[sku],SMALL(IF(ISNUMBER(MATCH(bhpc_data[category],$EC$9,0)*MATCH(bhpc_data[size1],$EC$13,0)),MATCH(ROW(bhpc_data[sku]),ROW(bhpc_data[sku])),""),ROWS($A$15:A245)+$B$3))),IF($EC$13="",INDEX(bhpc_data[sku],SMALL(IF(ISNUMBER(MATCH(bhpc_data[category],$EC$9,0)*MATCH(bhpc_data[sex],$EC$11,0)),MATCH(ROW(bhpc_data[sku]),ROW(bhpc_data[sku])),""),ROWS($A$15:A245)+$B$3)),INDEX(bhpc_data[sku],SMALL(IF(ISNUMBER(MATCH(bhpc_data[category],$EC$9,0)*MATCH(bhpc_data[sex],$EC$11,0)*MATCH(bhpc_data[size1],$EC$13,0)),MATCH(ROW(bhpc_data[sku]),ROW(bhpc_data[sku])),""),ROWS($A$15:A245)+$B$3))))),"")</f>
        <v/>
      </c>
      <c r="EF240" s="548" t="str" cm="1">
        <f t="array" ref="EF240">IFERROR(IF($EC$9="",IF($EC$11="",IF($EC$13="",INDEX(bhpc_data[description],SMALL(MATCH(ROW(bhpc_data[sku]),ROW(bhpc_data[sku])),ROWS($A$15:A245)+$B$3)),INDEX(bhpc_data[description],SMALL(IF(ISNUMBER(MATCH(bhpc_data[size1],$EC$13,0)),MATCH(ROW(bhpc_data[sku]),ROW(bhpc_data[sku])),""),ROWS($A$15:A245)+$B$3))),IF($EC$13="",INDEX(bhpc_data[description],SMALL(IF(ISNUMBER(MATCH(bhpc_data[sex],$EC$11,0)),MATCH(ROW(bhpc_data[sku]),ROW(bhpc_data[sku])),""),ROWS($A$15:A245)+$B$3)),INDEX(bhpc_data[description],SMALL(IF(ISNUMBER(MATCH(bhpc_data[sex],$EC$11,0)*MATCH(bhpc_data[size1],$EC$13,0)),MATCH(ROW(bhpc_data[sku]),ROW(bhpc_data[sku])),""),ROWS($A$15:A245)+$B$3)))),IF($EC$11="",IF($EC$13="",INDEX(bhpc_data[description],SMALL(IF(ISNUMBER(MATCH(bhpc_data[category],$EC$9,0)),MATCH(ROW(bhpc_data[sku]),ROW(bhpc_data[sku])),""),ROWS($A$15:A245)+$B$3)),INDEX(bhpc_data[description],SMALL(IF(ISNUMBER(MATCH(bhpc_data[category],$EC$9,0)*MATCH(bhpc_data[size1],$EC$13,0)),MATCH(ROW(bhpc_data[sku]),ROW(bhpc_data[sku])),""),ROWS($A$15:A245)+$B$3))),IF($EC$13="",INDEX(bhpc_data[description],SMALL(IF(ISNUMBER(MATCH(bhpc_data[category],$EC$9,0)*MATCH(bhpc_data[sex],$EC$11,0)),MATCH(ROW(bhpc_data[sku]),ROW(bhpc_data[sku])),""),ROWS($A$15:A245)+$B$3)),INDEX(bhpc_data[description],SMALL(IF(ISNUMBER(MATCH(bhpc_data[category],$EC$9,0)*MATCH(bhpc_data[sex],$EC$11,0)*MATCH(bhpc_data[size1],$EC$13,0)),MATCH(ROW(bhpc_data[sku]),ROW(bhpc_data[sku])),""),ROWS($A$15:A245)+$B$3))))),"")</f>
        <v/>
      </c>
      <c r="EG240" s="549" t="str">
        <f>IFERROR(IF('BHPC MANAGER'!$EE240="","",INDEX(inventory[ESISTENZA],MATCH('BHPC MANAGER'!$EE240,inventory[ARTICOLO],0))),0)</f>
        <v/>
      </c>
      <c r="EH240" s="550"/>
      <c r="EI240" s="550" t="str">
        <f t="shared" si="16"/>
        <v/>
      </c>
      <c r="EJ240" s="551"/>
      <c r="EK240" s="552" t="str">
        <f t="shared" si="17"/>
        <v/>
      </c>
    </row>
    <row r="241" spans="63:141" x14ac:dyDescent="0.35">
      <c r="BK241" s="366"/>
      <c r="BL241" s="367"/>
      <c r="BM241" s="368"/>
      <c r="BN241" s="367"/>
      <c r="BO241" s="368"/>
      <c r="EE241" s="541" t="str" cm="1">
        <f t="array" ref="EE241">IFERROR(IF($EC$9="",IF($EC$11="",IF($EC$13="",INDEX(bhpc_data[sku],SMALL(MATCH(ROW(bhpc_data[sku]),ROW(bhpc_data[sku])),ROWS($A$15:A246)+$B$3)),INDEX(bhpc_data[sku],SMALL(IF(ISNUMBER(MATCH(bhpc_data[size1],$EC$13,0)),MATCH(ROW(bhpc_data[sku]),ROW(bhpc_data[sku])),""),ROWS($A$15:A246)+$B$3))),IF($EC$13="",INDEX(bhpc_data[sku],SMALL(IF(ISNUMBER(MATCH(bhpc_data[sex],$EC$11,0)),MATCH(ROW(bhpc_data[sku]),ROW(bhpc_data[sku])),""),ROWS($A$15:A246)+$B$3)),INDEX(bhpc_data[sku],SMALL(IF(ISNUMBER(MATCH(bhpc_data[sex],$EC$11,0)*MATCH(bhpc_data[size1],$EC$13,0)),MATCH(ROW(bhpc_data[sku]),ROW(bhpc_data[sku])),""),ROWS($A$15:A246)+$B$3)))),IF($EC$11="",IF($EC$13="",INDEX(bhpc_data[sku],SMALL(IF(ISNUMBER(MATCH(bhpc_data[category],$EC$9,0)),MATCH(ROW(bhpc_data[sku]),ROW(bhpc_data[sku])),""),ROWS($A$15:A246)+$B$3)),INDEX(bhpc_data[sku],SMALL(IF(ISNUMBER(MATCH(bhpc_data[category],$EC$9,0)*MATCH(bhpc_data[size1],$EC$13,0)),MATCH(ROW(bhpc_data[sku]),ROW(bhpc_data[sku])),""),ROWS($A$15:A246)+$B$3))),IF($EC$13="",INDEX(bhpc_data[sku],SMALL(IF(ISNUMBER(MATCH(bhpc_data[category],$EC$9,0)*MATCH(bhpc_data[sex],$EC$11,0)),MATCH(ROW(bhpc_data[sku]),ROW(bhpc_data[sku])),""),ROWS($A$15:A246)+$B$3)),INDEX(bhpc_data[sku],SMALL(IF(ISNUMBER(MATCH(bhpc_data[category],$EC$9,0)*MATCH(bhpc_data[sex],$EC$11,0)*MATCH(bhpc_data[size1],$EC$13,0)),MATCH(ROW(bhpc_data[sku]),ROW(bhpc_data[sku])),""),ROWS($A$15:A246)+$B$3))))),"")</f>
        <v/>
      </c>
      <c r="EF241" s="542" t="str" cm="1">
        <f t="array" ref="EF241">IFERROR(IF($EC$9="",IF($EC$11="",IF($EC$13="",INDEX(bhpc_data[description],SMALL(MATCH(ROW(bhpc_data[sku]),ROW(bhpc_data[sku])),ROWS($A$15:A246)+$B$3)),INDEX(bhpc_data[description],SMALL(IF(ISNUMBER(MATCH(bhpc_data[size1],$EC$13,0)),MATCH(ROW(bhpc_data[sku]),ROW(bhpc_data[sku])),""),ROWS($A$15:A246)+$B$3))),IF($EC$13="",INDEX(bhpc_data[description],SMALL(IF(ISNUMBER(MATCH(bhpc_data[sex],$EC$11,0)),MATCH(ROW(bhpc_data[sku]),ROW(bhpc_data[sku])),""),ROWS($A$15:A246)+$B$3)),INDEX(bhpc_data[description],SMALL(IF(ISNUMBER(MATCH(bhpc_data[sex],$EC$11,0)*MATCH(bhpc_data[size1],$EC$13,0)),MATCH(ROW(bhpc_data[sku]),ROW(bhpc_data[sku])),""),ROWS($A$15:A246)+$B$3)))),IF($EC$11="",IF($EC$13="",INDEX(bhpc_data[description],SMALL(IF(ISNUMBER(MATCH(bhpc_data[category],$EC$9,0)),MATCH(ROW(bhpc_data[sku]),ROW(bhpc_data[sku])),""),ROWS($A$15:A246)+$B$3)),INDEX(bhpc_data[description],SMALL(IF(ISNUMBER(MATCH(bhpc_data[category],$EC$9,0)*MATCH(bhpc_data[size1],$EC$13,0)),MATCH(ROW(bhpc_data[sku]),ROW(bhpc_data[sku])),""),ROWS($A$15:A246)+$B$3))),IF($EC$13="",INDEX(bhpc_data[description],SMALL(IF(ISNUMBER(MATCH(bhpc_data[category],$EC$9,0)*MATCH(bhpc_data[sex],$EC$11,0)),MATCH(ROW(bhpc_data[sku]),ROW(bhpc_data[sku])),""),ROWS($A$15:A246)+$B$3)),INDEX(bhpc_data[description],SMALL(IF(ISNUMBER(MATCH(bhpc_data[category],$EC$9,0)*MATCH(bhpc_data[sex],$EC$11,0)*MATCH(bhpc_data[size1],$EC$13,0)),MATCH(ROW(bhpc_data[sku]),ROW(bhpc_data[sku])),""),ROWS($A$15:A246)+$B$3))))),"")</f>
        <v/>
      </c>
      <c r="EG241" s="543" t="str">
        <f>IFERROR(IF('BHPC MANAGER'!$EE241="","",INDEX(inventory[ESISTENZA],MATCH('BHPC MANAGER'!$EE241,inventory[ARTICOLO],0))),0)</f>
        <v/>
      </c>
      <c r="EH241" s="544"/>
      <c r="EI241" s="544" t="str">
        <f t="shared" si="16"/>
        <v/>
      </c>
      <c r="EJ241" s="545"/>
      <c r="EK241" s="546" t="str">
        <f t="shared" si="17"/>
        <v/>
      </c>
    </row>
    <row r="242" spans="63:141" x14ac:dyDescent="0.35">
      <c r="BK242" s="366"/>
      <c r="BL242" s="367"/>
      <c r="BM242" s="368"/>
      <c r="BN242" s="367"/>
      <c r="BO242" s="368"/>
      <c r="EE242" s="547" t="str" cm="1">
        <f t="array" ref="EE242">IFERROR(IF($EC$9="",IF($EC$11="",IF($EC$13="",INDEX(bhpc_data[sku],SMALL(MATCH(ROW(bhpc_data[sku]),ROW(bhpc_data[sku])),ROWS($A$15:A247)+$B$3)),INDEX(bhpc_data[sku],SMALL(IF(ISNUMBER(MATCH(bhpc_data[size1],$EC$13,0)),MATCH(ROW(bhpc_data[sku]),ROW(bhpc_data[sku])),""),ROWS($A$15:A247)+$B$3))),IF($EC$13="",INDEX(bhpc_data[sku],SMALL(IF(ISNUMBER(MATCH(bhpc_data[sex],$EC$11,0)),MATCH(ROW(bhpc_data[sku]),ROW(bhpc_data[sku])),""),ROWS($A$15:A247)+$B$3)),INDEX(bhpc_data[sku],SMALL(IF(ISNUMBER(MATCH(bhpc_data[sex],$EC$11,0)*MATCH(bhpc_data[size1],$EC$13,0)),MATCH(ROW(bhpc_data[sku]),ROW(bhpc_data[sku])),""),ROWS($A$15:A247)+$B$3)))),IF($EC$11="",IF($EC$13="",INDEX(bhpc_data[sku],SMALL(IF(ISNUMBER(MATCH(bhpc_data[category],$EC$9,0)),MATCH(ROW(bhpc_data[sku]),ROW(bhpc_data[sku])),""),ROWS($A$15:A247)+$B$3)),INDEX(bhpc_data[sku],SMALL(IF(ISNUMBER(MATCH(bhpc_data[category],$EC$9,0)*MATCH(bhpc_data[size1],$EC$13,0)),MATCH(ROW(bhpc_data[sku]),ROW(bhpc_data[sku])),""),ROWS($A$15:A247)+$B$3))),IF($EC$13="",INDEX(bhpc_data[sku],SMALL(IF(ISNUMBER(MATCH(bhpc_data[category],$EC$9,0)*MATCH(bhpc_data[sex],$EC$11,0)),MATCH(ROW(bhpc_data[sku]),ROW(bhpc_data[sku])),""),ROWS($A$15:A247)+$B$3)),INDEX(bhpc_data[sku],SMALL(IF(ISNUMBER(MATCH(bhpc_data[category],$EC$9,0)*MATCH(bhpc_data[sex],$EC$11,0)*MATCH(bhpc_data[size1],$EC$13,0)),MATCH(ROW(bhpc_data[sku]),ROW(bhpc_data[sku])),""),ROWS($A$15:A247)+$B$3))))),"")</f>
        <v/>
      </c>
      <c r="EF242" s="548" t="str" cm="1">
        <f t="array" ref="EF242">IFERROR(IF($EC$9="",IF($EC$11="",IF($EC$13="",INDEX(bhpc_data[description],SMALL(MATCH(ROW(bhpc_data[sku]),ROW(bhpc_data[sku])),ROWS($A$15:A247)+$B$3)),INDEX(bhpc_data[description],SMALL(IF(ISNUMBER(MATCH(bhpc_data[size1],$EC$13,0)),MATCH(ROW(bhpc_data[sku]),ROW(bhpc_data[sku])),""),ROWS($A$15:A247)+$B$3))),IF($EC$13="",INDEX(bhpc_data[description],SMALL(IF(ISNUMBER(MATCH(bhpc_data[sex],$EC$11,0)),MATCH(ROW(bhpc_data[sku]),ROW(bhpc_data[sku])),""),ROWS($A$15:A247)+$B$3)),INDEX(bhpc_data[description],SMALL(IF(ISNUMBER(MATCH(bhpc_data[sex],$EC$11,0)*MATCH(bhpc_data[size1],$EC$13,0)),MATCH(ROW(bhpc_data[sku]),ROW(bhpc_data[sku])),""),ROWS($A$15:A247)+$B$3)))),IF($EC$11="",IF($EC$13="",INDEX(bhpc_data[description],SMALL(IF(ISNUMBER(MATCH(bhpc_data[category],$EC$9,0)),MATCH(ROW(bhpc_data[sku]),ROW(bhpc_data[sku])),""),ROWS($A$15:A247)+$B$3)),INDEX(bhpc_data[description],SMALL(IF(ISNUMBER(MATCH(bhpc_data[category],$EC$9,0)*MATCH(bhpc_data[size1],$EC$13,0)),MATCH(ROW(bhpc_data[sku]),ROW(bhpc_data[sku])),""),ROWS($A$15:A247)+$B$3))),IF($EC$13="",INDEX(bhpc_data[description],SMALL(IF(ISNUMBER(MATCH(bhpc_data[category],$EC$9,0)*MATCH(bhpc_data[sex],$EC$11,0)),MATCH(ROW(bhpc_data[sku]),ROW(bhpc_data[sku])),""),ROWS($A$15:A247)+$B$3)),INDEX(bhpc_data[description],SMALL(IF(ISNUMBER(MATCH(bhpc_data[category],$EC$9,0)*MATCH(bhpc_data[sex],$EC$11,0)*MATCH(bhpc_data[size1],$EC$13,0)),MATCH(ROW(bhpc_data[sku]),ROW(bhpc_data[sku])),""),ROWS($A$15:A247)+$B$3))))),"")</f>
        <v/>
      </c>
      <c r="EG242" s="549" t="str">
        <f>IFERROR(IF('BHPC MANAGER'!$EE242="","",INDEX(inventory[ESISTENZA],MATCH('BHPC MANAGER'!$EE242,inventory[ARTICOLO],0))),0)</f>
        <v/>
      </c>
      <c r="EH242" s="550"/>
      <c r="EI242" s="550" t="str">
        <f t="shared" si="16"/>
        <v/>
      </c>
      <c r="EJ242" s="551"/>
      <c r="EK242" s="552" t="str">
        <f t="shared" si="17"/>
        <v/>
      </c>
    </row>
    <row r="243" spans="63:141" x14ac:dyDescent="0.35">
      <c r="BK243" s="366"/>
      <c r="BL243" s="367"/>
      <c r="BM243" s="368"/>
      <c r="BN243" s="367"/>
      <c r="BO243" s="368"/>
      <c r="EE243" s="541" t="str" cm="1">
        <f t="array" ref="EE243">IFERROR(IF($EC$9="",IF($EC$11="",IF($EC$13="",INDEX(bhpc_data[sku],SMALL(MATCH(ROW(bhpc_data[sku]),ROW(bhpc_data[sku])),ROWS($A$15:A248)+$B$3)),INDEX(bhpc_data[sku],SMALL(IF(ISNUMBER(MATCH(bhpc_data[size1],$EC$13,0)),MATCH(ROW(bhpc_data[sku]),ROW(bhpc_data[sku])),""),ROWS($A$15:A248)+$B$3))),IF($EC$13="",INDEX(bhpc_data[sku],SMALL(IF(ISNUMBER(MATCH(bhpc_data[sex],$EC$11,0)),MATCH(ROW(bhpc_data[sku]),ROW(bhpc_data[sku])),""),ROWS($A$15:A248)+$B$3)),INDEX(bhpc_data[sku],SMALL(IF(ISNUMBER(MATCH(bhpc_data[sex],$EC$11,0)*MATCH(bhpc_data[size1],$EC$13,0)),MATCH(ROW(bhpc_data[sku]),ROW(bhpc_data[sku])),""),ROWS($A$15:A248)+$B$3)))),IF($EC$11="",IF($EC$13="",INDEX(bhpc_data[sku],SMALL(IF(ISNUMBER(MATCH(bhpc_data[category],$EC$9,0)),MATCH(ROW(bhpc_data[sku]),ROW(bhpc_data[sku])),""),ROWS($A$15:A248)+$B$3)),INDEX(bhpc_data[sku],SMALL(IF(ISNUMBER(MATCH(bhpc_data[category],$EC$9,0)*MATCH(bhpc_data[size1],$EC$13,0)),MATCH(ROW(bhpc_data[sku]),ROW(bhpc_data[sku])),""),ROWS($A$15:A248)+$B$3))),IF($EC$13="",INDEX(bhpc_data[sku],SMALL(IF(ISNUMBER(MATCH(bhpc_data[category],$EC$9,0)*MATCH(bhpc_data[sex],$EC$11,0)),MATCH(ROW(bhpc_data[sku]),ROW(bhpc_data[sku])),""),ROWS($A$15:A248)+$B$3)),INDEX(bhpc_data[sku],SMALL(IF(ISNUMBER(MATCH(bhpc_data[category],$EC$9,0)*MATCH(bhpc_data[sex],$EC$11,0)*MATCH(bhpc_data[size1],$EC$13,0)),MATCH(ROW(bhpc_data[sku]),ROW(bhpc_data[sku])),""),ROWS($A$15:A248)+$B$3))))),"")</f>
        <v/>
      </c>
      <c r="EF243" s="542" t="str" cm="1">
        <f t="array" ref="EF243">IFERROR(IF($EC$9="",IF($EC$11="",IF($EC$13="",INDEX(bhpc_data[description],SMALL(MATCH(ROW(bhpc_data[sku]),ROW(bhpc_data[sku])),ROWS($A$15:A248)+$B$3)),INDEX(bhpc_data[description],SMALL(IF(ISNUMBER(MATCH(bhpc_data[size1],$EC$13,0)),MATCH(ROW(bhpc_data[sku]),ROW(bhpc_data[sku])),""),ROWS($A$15:A248)+$B$3))),IF($EC$13="",INDEX(bhpc_data[description],SMALL(IF(ISNUMBER(MATCH(bhpc_data[sex],$EC$11,0)),MATCH(ROW(bhpc_data[sku]),ROW(bhpc_data[sku])),""),ROWS($A$15:A248)+$B$3)),INDEX(bhpc_data[description],SMALL(IF(ISNUMBER(MATCH(bhpc_data[sex],$EC$11,0)*MATCH(bhpc_data[size1],$EC$13,0)),MATCH(ROW(bhpc_data[sku]),ROW(bhpc_data[sku])),""),ROWS($A$15:A248)+$B$3)))),IF($EC$11="",IF($EC$13="",INDEX(bhpc_data[description],SMALL(IF(ISNUMBER(MATCH(bhpc_data[category],$EC$9,0)),MATCH(ROW(bhpc_data[sku]),ROW(bhpc_data[sku])),""),ROWS($A$15:A248)+$B$3)),INDEX(bhpc_data[description],SMALL(IF(ISNUMBER(MATCH(bhpc_data[category],$EC$9,0)*MATCH(bhpc_data[size1],$EC$13,0)),MATCH(ROW(bhpc_data[sku]),ROW(bhpc_data[sku])),""),ROWS($A$15:A248)+$B$3))),IF($EC$13="",INDEX(bhpc_data[description],SMALL(IF(ISNUMBER(MATCH(bhpc_data[category],$EC$9,0)*MATCH(bhpc_data[sex],$EC$11,0)),MATCH(ROW(bhpc_data[sku]),ROW(bhpc_data[sku])),""),ROWS($A$15:A248)+$B$3)),INDEX(bhpc_data[description],SMALL(IF(ISNUMBER(MATCH(bhpc_data[category],$EC$9,0)*MATCH(bhpc_data[sex],$EC$11,0)*MATCH(bhpc_data[size1],$EC$13,0)),MATCH(ROW(bhpc_data[sku]),ROW(bhpc_data[sku])),""),ROWS($A$15:A248)+$B$3))))),"")</f>
        <v/>
      </c>
      <c r="EG243" s="543" t="str">
        <f>IFERROR(IF('BHPC MANAGER'!$EE243="","",INDEX(inventory[ESISTENZA],MATCH('BHPC MANAGER'!$EE243,inventory[ARTICOLO],0))),0)</f>
        <v/>
      </c>
      <c r="EH243" s="544"/>
      <c r="EI243" s="544" t="str">
        <f t="shared" si="16"/>
        <v/>
      </c>
      <c r="EJ243" s="545"/>
      <c r="EK243" s="546" t="str">
        <f t="shared" si="17"/>
        <v/>
      </c>
    </row>
    <row r="244" spans="63:141" x14ac:dyDescent="0.35">
      <c r="BK244" s="366"/>
      <c r="BL244" s="367"/>
      <c r="BM244" s="368"/>
      <c r="BN244" s="367"/>
      <c r="BO244" s="368"/>
      <c r="EE244" s="547" t="str" cm="1">
        <f t="array" ref="EE244">IFERROR(IF($EC$9="",IF($EC$11="",IF($EC$13="",INDEX(bhpc_data[sku],SMALL(MATCH(ROW(bhpc_data[sku]),ROW(bhpc_data[sku])),ROWS($A$15:A249)+$B$3)),INDEX(bhpc_data[sku],SMALL(IF(ISNUMBER(MATCH(bhpc_data[size1],$EC$13,0)),MATCH(ROW(bhpc_data[sku]),ROW(bhpc_data[sku])),""),ROWS($A$15:A249)+$B$3))),IF($EC$13="",INDEX(bhpc_data[sku],SMALL(IF(ISNUMBER(MATCH(bhpc_data[sex],$EC$11,0)),MATCH(ROW(bhpc_data[sku]),ROW(bhpc_data[sku])),""),ROWS($A$15:A249)+$B$3)),INDEX(bhpc_data[sku],SMALL(IF(ISNUMBER(MATCH(bhpc_data[sex],$EC$11,0)*MATCH(bhpc_data[size1],$EC$13,0)),MATCH(ROW(bhpc_data[sku]),ROW(bhpc_data[sku])),""),ROWS($A$15:A249)+$B$3)))),IF($EC$11="",IF($EC$13="",INDEX(bhpc_data[sku],SMALL(IF(ISNUMBER(MATCH(bhpc_data[category],$EC$9,0)),MATCH(ROW(bhpc_data[sku]),ROW(bhpc_data[sku])),""),ROWS($A$15:A249)+$B$3)),INDEX(bhpc_data[sku],SMALL(IF(ISNUMBER(MATCH(bhpc_data[category],$EC$9,0)*MATCH(bhpc_data[size1],$EC$13,0)),MATCH(ROW(bhpc_data[sku]),ROW(bhpc_data[sku])),""),ROWS($A$15:A249)+$B$3))),IF($EC$13="",INDEX(bhpc_data[sku],SMALL(IF(ISNUMBER(MATCH(bhpc_data[category],$EC$9,0)*MATCH(bhpc_data[sex],$EC$11,0)),MATCH(ROW(bhpc_data[sku]),ROW(bhpc_data[sku])),""),ROWS($A$15:A249)+$B$3)),INDEX(bhpc_data[sku],SMALL(IF(ISNUMBER(MATCH(bhpc_data[category],$EC$9,0)*MATCH(bhpc_data[sex],$EC$11,0)*MATCH(bhpc_data[size1],$EC$13,0)),MATCH(ROW(bhpc_data[sku]),ROW(bhpc_data[sku])),""),ROWS($A$15:A249)+$B$3))))),"")</f>
        <v/>
      </c>
      <c r="EF244" s="548" t="str" cm="1">
        <f t="array" ref="EF244">IFERROR(IF($EC$9="",IF($EC$11="",IF($EC$13="",INDEX(bhpc_data[description],SMALL(MATCH(ROW(bhpc_data[sku]),ROW(bhpc_data[sku])),ROWS($A$15:A249)+$B$3)),INDEX(bhpc_data[description],SMALL(IF(ISNUMBER(MATCH(bhpc_data[size1],$EC$13,0)),MATCH(ROW(bhpc_data[sku]),ROW(bhpc_data[sku])),""),ROWS($A$15:A249)+$B$3))),IF($EC$13="",INDEX(bhpc_data[description],SMALL(IF(ISNUMBER(MATCH(bhpc_data[sex],$EC$11,0)),MATCH(ROW(bhpc_data[sku]),ROW(bhpc_data[sku])),""),ROWS($A$15:A249)+$B$3)),INDEX(bhpc_data[description],SMALL(IF(ISNUMBER(MATCH(bhpc_data[sex],$EC$11,0)*MATCH(bhpc_data[size1],$EC$13,0)),MATCH(ROW(bhpc_data[sku]),ROW(bhpc_data[sku])),""),ROWS($A$15:A249)+$B$3)))),IF($EC$11="",IF($EC$13="",INDEX(bhpc_data[description],SMALL(IF(ISNUMBER(MATCH(bhpc_data[category],$EC$9,0)),MATCH(ROW(bhpc_data[sku]),ROW(bhpc_data[sku])),""),ROWS($A$15:A249)+$B$3)),INDEX(bhpc_data[description],SMALL(IF(ISNUMBER(MATCH(bhpc_data[category],$EC$9,0)*MATCH(bhpc_data[size1],$EC$13,0)),MATCH(ROW(bhpc_data[sku]),ROW(bhpc_data[sku])),""),ROWS($A$15:A249)+$B$3))),IF($EC$13="",INDEX(bhpc_data[description],SMALL(IF(ISNUMBER(MATCH(bhpc_data[category],$EC$9,0)*MATCH(bhpc_data[sex],$EC$11,0)),MATCH(ROW(bhpc_data[sku]),ROW(bhpc_data[sku])),""),ROWS($A$15:A249)+$B$3)),INDEX(bhpc_data[description],SMALL(IF(ISNUMBER(MATCH(bhpc_data[category],$EC$9,0)*MATCH(bhpc_data[sex],$EC$11,0)*MATCH(bhpc_data[size1],$EC$13,0)),MATCH(ROW(bhpc_data[sku]),ROW(bhpc_data[sku])),""),ROWS($A$15:A249)+$B$3))))),"")</f>
        <v/>
      </c>
      <c r="EG244" s="549" t="str">
        <f>IFERROR(IF('BHPC MANAGER'!$EE244="","",INDEX(inventory[ESISTENZA],MATCH('BHPC MANAGER'!$EE244,inventory[ARTICOLO],0))),0)</f>
        <v/>
      </c>
      <c r="EH244" s="550"/>
      <c r="EI244" s="550" t="str">
        <f t="shared" si="16"/>
        <v/>
      </c>
      <c r="EJ244" s="551"/>
      <c r="EK244" s="552" t="str">
        <f t="shared" si="17"/>
        <v/>
      </c>
    </row>
    <row r="245" spans="63:141" x14ac:dyDescent="0.35">
      <c r="BK245" s="366"/>
      <c r="BL245" s="367"/>
      <c r="BM245" s="368"/>
      <c r="BN245" s="367"/>
      <c r="BO245" s="368"/>
      <c r="EE245" s="541" t="str" cm="1">
        <f t="array" ref="EE245">IFERROR(IF($EC$9="",IF($EC$11="",IF($EC$13="",INDEX(bhpc_data[sku],SMALL(MATCH(ROW(bhpc_data[sku]),ROW(bhpc_data[sku])),ROWS($A$15:A250)+$B$3)),INDEX(bhpc_data[sku],SMALL(IF(ISNUMBER(MATCH(bhpc_data[size1],$EC$13,0)),MATCH(ROW(bhpc_data[sku]),ROW(bhpc_data[sku])),""),ROWS($A$15:A250)+$B$3))),IF($EC$13="",INDEX(bhpc_data[sku],SMALL(IF(ISNUMBER(MATCH(bhpc_data[sex],$EC$11,0)),MATCH(ROW(bhpc_data[sku]),ROW(bhpc_data[sku])),""),ROWS($A$15:A250)+$B$3)),INDEX(bhpc_data[sku],SMALL(IF(ISNUMBER(MATCH(bhpc_data[sex],$EC$11,0)*MATCH(bhpc_data[size1],$EC$13,0)),MATCH(ROW(bhpc_data[sku]),ROW(bhpc_data[sku])),""),ROWS($A$15:A250)+$B$3)))),IF($EC$11="",IF($EC$13="",INDEX(bhpc_data[sku],SMALL(IF(ISNUMBER(MATCH(bhpc_data[category],$EC$9,0)),MATCH(ROW(bhpc_data[sku]),ROW(bhpc_data[sku])),""),ROWS($A$15:A250)+$B$3)),INDEX(bhpc_data[sku],SMALL(IF(ISNUMBER(MATCH(bhpc_data[category],$EC$9,0)*MATCH(bhpc_data[size1],$EC$13,0)),MATCH(ROW(bhpc_data[sku]),ROW(bhpc_data[sku])),""),ROWS($A$15:A250)+$B$3))),IF($EC$13="",INDEX(bhpc_data[sku],SMALL(IF(ISNUMBER(MATCH(bhpc_data[category],$EC$9,0)*MATCH(bhpc_data[sex],$EC$11,0)),MATCH(ROW(bhpc_data[sku]),ROW(bhpc_data[sku])),""),ROWS($A$15:A250)+$B$3)),INDEX(bhpc_data[sku],SMALL(IF(ISNUMBER(MATCH(bhpc_data[category],$EC$9,0)*MATCH(bhpc_data[sex],$EC$11,0)*MATCH(bhpc_data[size1],$EC$13,0)),MATCH(ROW(bhpc_data[sku]),ROW(bhpc_data[sku])),""),ROWS($A$15:A250)+$B$3))))),"")</f>
        <v/>
      </c>
      <c r="EF245" s="542" t="str" cm="1">
        <f t="array" ref="EF245">IFERROR(IF($EC$9="",IF($EC$11="",IF($EC$13="",INDEX(bhpc_data[description],SMALL(MATCH(ROW(bhpc_data[sku]),ROW(bhpc_data[sku])),ROWS($A$15:A250)+$B$3)),INDEX(bhpc_data[description],SMALL(IF(ISNUMBER(MATCH(bhpc_data[size1],$EC$13,0)),MATCH(ROW(bhpc_data[sku]),ROW(bhpc_data[sku])),""),ROWS($A$15:A250)+$B$3))),IF($EC$13="",INDEX(bhpc_data[description],SMALL(IF(ISNUMBER(MATCH(bhpc_data[sex],$EC$11,0)),MATCH(ROW(bhpc_data[sku]),ROW(bhpc_data[sku])),""),ROWS($A$15:A250)+$B$3)),INDEX(bhpc_data[description],SMALL(IF(ISNUMBER(MATCH(bhpc_data[sex],$EC$11,0)*MATCH(bhpc_data[size1],$EC$13,0)),MATCH(ROW(bhpc_data[sku]),ROW(bhpc_data[sku])),""),ROWS($A$15:A250)+$B$3)))),IF($EC$11="",IF($EC$13="",INDEX(bhpc_data[description],SMALL(IF(ISNUMBER(MATCH(bhpc_data[category],$EC$9,0)),MATCH(ROW(bhpc_data[sku]),ROW(bhpc_data[sku])),""),ROWS($A$15:A250)+$B$3)),INDEX(bhpc_data[description],SMALL(IF(ISNUMBER(MATCH(bhpc_data[category],$EC$9,0)*MATCH(bhpc_data[size1],$EC$13,0)),MATCH(ROW(bhpc_data[sku]),ROW(bhpc_data[sku])),""),ROWS($A$15:A250)+$B$3))),IF($EC$13="",INDEX(bhpc_data[description],SMALL(IF(ISNUMBER(MATCH(bhpc_data[category],$EC$9,0)*MATCH(bhpc_data[sex],$EC$11,0)),MATCH(ROW(bhpc_data[sku]),ROW(bhpc_data[sku])),""),ROWS($A$15:A250)+$B$3)),INDEX(bhpc_data[description],SMALL(IF(ISNUMBER(MATCH(bhpc_data[category],$EC$9,0)*MATCH(bhpc_data[sex],$EC$11,0)*MATCH(bhpc_data[size1],$EC$13,0)),MATCH(ROW(bhpc_data[sku]),ROW(bhpc_data[sku])),""),ROWS($A$15:A250)+$B$3))))),"")</f>
        <v/>
      </c>
      <c r="EG245" s="543" t="str">
        <f>IFERROR(IF('BHPC MANAGER'!$EE245="","",INDEX(inventory[ESISTENZA],MATCH('BHPC MANAGER'!$EE245,inventory[ARTICOLO],0))),0)</f>
        <v/>
      </c>
      <c r="EH245" s="544"/>
      <c r="EI245" s="544" t="str">
        <f t="shared" si="16"/>
        <v/>
      </c>
      <c r="EJ245" s="545"/>
      <c r="EK245" s="546" t="str">
        <f t="shared" si="17"/>
        <v/>
      </c>
    </row>
    <row r="246" spans="63:141" x14ac:dyDescent="0.35">
      <c r="BK246" s="366"/>
      <c r="BL246" s="367"/>
      <c r="BM246" s="368"/>
      <c r="BN246" s="367"/>
      <c r="BO246" s="368"/>
      <c r="EE246" s="547" t="str" cm="1">
        <f t="array" ref="EE246">IFERROR(IF($EC$9="",IF($EC$11="",IF($EC$13="",INDEX(bhpc_data[sku],SMALL(MATCH(ROW(bhpc_data[sku]),ROW(bhpc_data[sku])),ROWS($A$15:A251)+$B$3)),INDEX(bhpc_data[sku],SMALL(IF(ISNUMBER(MATCH(bhpc_data[size1],$EC$13,0)),MATCH(ROW(bhpc_data[sku]),ROW(bhpc_data[sku])),""),ROWS($A$15:A251)+$B$3))),IF($EC$13="",INDEX(bhpc_data[sku],SMALL(IF(ISNUMBER(MATCH(bhpc_data[sex],$EC$11,0)),MATCH(ROW(bhpc_data[sku]),ROW(bhpc_data[sku])),""),ROWS($A$15:A251)+$B$3)),INDEX(bhpc_data[sku],SMALL(IF(ISNUMBER(MATCH(bhpc_data[sex],$EC$11,0)*MATCH(bhpc_data[size1],$EC$13,0)),MATCH(ROW(bhpc_data[sku]),ROW(bhpc_data[sku])),""),ROWS($A$15:A251)+$B$3)))),IF($EC$11="",IF($EC$13="",INDEX(bhpc_data[sku],SMALL(IF(ISNUMBER(MATCH(bhpc_data[category],$EC$9,0)),MATCH(ROW(bhpc_data[sku]),ROW(bhpc_data[sku])),""),ROWS($A$15:A251)+$B$3)),INDEX(bhpc_data[sku],SMALL(IF(ISNUMBER(MATCH(bhpc_data[category],$EC$9,0)*MATCH(bhpc_data[size1],$EC$13,0)),MATCH(ROW(bhpc_data[sku]),ROW(bhpc_data[sku])),""),ROWS($A$15:A251)+$B$3))),IF($EC$13="",INDEX(bhpc_data[sku],SMALL(IF(ISNUMBER(MATCH(bhpc_data[category],$EC$9,0)*MATCH(bhpc_data[sex],$EC$11,0)),MATCH(ROW(bhpc_data[sku]),ROW(bhpc_data[sku])),""),ROWS($A$15:A251)+$B$3)),INDEX(bhpc_data[sku],SMALL(IF(ISNUMBER(MATCH(bhpc_data[category],$EC$9,0)*MATCH(bhpc_data[sex],$EC$11,0)*MATCH(bhpc_data[size1],$EC$13,0)),MATCH(ROW(bhpc_data[sku]),ROW(bhpc_data[sku])),""),ROWS($A$15:A251)+$B$3))))),"")</f>
        <v/>
      </c>
      <c r="EF246" s="548" t="str" cm="1">
        <f t="array" ref="EF246">IFERROR(IF($EC$9="",IF($EC$11="",IF($EC$13="",INDEX(bhpc_data[description],SMALL(MATCH(ROW(bhpc_data[sku]),ROW(bhpc_data[sku])),ROWS($A$15:A251)+$B$3)),INDEX(bhpc_data[description],SMALL(IF(ISNUMBER(MATCH(bhpc_data[size1],$EC$13,0)),MATCH(ROW(bhpc_data[sku]),ROW(bhpc_data[sku])),""),ROWS($A$15:A251)+$B$3))),IF($EC$13="",INDEX(bhpc_data[description],SMALL(IF(ISNUMBER(MATCH(bhpc_data[sex],$EC$11,0)),MATCH(ROW(bhpc_data[sku]),ROW(bhpc_data[sku])),""),ROWS($A$15:A251)+$B$3)),INDEX(bhpc_data[description],SMALL(IF(ISNUMBER(MATCH(bhpc_data[sex],$EC$11,0)*MATCH(bhpc_data[size1],$EC$13,0)),MATCH(ROW(bhpc_data[sku]),ROW(bhpc_data[sku])),""),ROWS($A$15:A251)+$B$3)))),IF($EC$11="",IF($EC$13="",INDEX(bhpc_data[description],SMALL(IF(ISNUMBER(MATCH(bhpc_data[category],$EC$9,0)),MATCH(ROW(bhpc_data[sku]),ROW(bhpc_data[sku])),""),ROWS($A$15:A251)+$B$3)),INDEX(bhpc_data[description],SMALL(IF(ISNUMBER(MATCH(bhpc_data[category],$EC$9,0)*MATCH(bhpc_data[size1],$EC$13,0)),MATCH(ROW(bhpc_data[sku]),ROW(bhpc_data[sku])),""),ROWS($A$15:A251)+$B$3))),IF($EC$13="",INDEX(bhpc_data[description],SMALL(IF(ISNUMBER(MATCH(bhpc_data[category],$EC$9,0)*MATCH(bhpc_data[sex],$EC$11,0)),MATCH(ROW(bhpc_data[sku]),ROW(bhpc_data[sku])),""),ROWS($A$15:A251)+$B$3)),INDEX(bhpc_data[description],SMALL(IF(ISNUMBER(MATCH(bhpc_data[category],$EC$9,0)*MATCH(bhpc_data[sex],$EC$11,0)*MATCH(bhpc_data[size1],$EC$13,0)),MATCH(ROW(bhpc_data[sku]),ROW(bhpc_data[sku])),""),ROWS($A$15:A251)+$B$3))))),"")</f>
        <v/>
      </c>
      <c r="EG246" s="549" t="str">
        <f>IFERROR(IF('BHPC MANAGER'!$EE246="","",INDEX(inventory[ESISTENZA],MATCH('BHPC MANAGER'!$EE246,inventory[ARTICOLO],0))),0)</f>
        <v/>
      </c>
      <c r="EH246" s="550"/>
      <c r="EI246" s="550" t="str">
        <f t="shared" si="16"/>
        <v/>
      </c>
      <c r="EJ246" s="551"/>
      <c r="EK246" s="552" t="str">
        <f t="shared" si="17"/>
        <v/>
      </c>
    </row>
    <row r="247" spans="63:141" x14ac:dyDescent="0.35">
      <c r="BK247" s="366"/>
      <c r="BL247" s="367"/>
      <c r="BM247" s="368"/>
      <c r="BN247" s="367"/>
      <c r="BO247" s="368"/>
      <c r="EE247" s="541" t="str" cm="1">
        <f t="array" ref="EE247">IFERROR(IF($EC$9="",IF($EC$11="",IF($EC$13="",INDEX(bhpc_data[sku],SMALL(MATCH(ROW(bhpc_data[sku]),ROW(bhpc_data[sku])),ROWS($A$15:A252)+$B$3)),INDEX(bhpc_data[sku],SMALL(IF(ISNUMBER(MATCH(bhpc_data[size1],$EC$13,0)),MATCH(ROW(bhpc_data[sku]),ROW(bhpc_data[sku])),""),ROWS($A$15:A252)+$B$3))),IF($EC$13="",INDEX(bhpc_data[sku],SMALL(IF(ISNUMBER(MATCH(bhpc_data[sex],$EC$11,0)),MATCH(ROW(bhpc_data[sku]),ROW(bhpc_data[sku])),""),ROWS($A$15:A252)+$B$3)),INDEX(bhpc_data[sku],SMALL(IF(ISNUMBER(MATCH(bhpc_data[sex],$EC$11,0)*MATCH(bhpc_data[size1],$EC$13,0)),MATCH(ROW(bhpc_data[sku]),ROW(bhpc_data[sku])),""),ROWS($A$15:A252)+$B$3)))),IF($EC$11="",IF($EC$13="",INDEX(bhpc_data[sku],SMALL(IF(ISNUMBER(MATCH(bhpc_data[category],$EC$9,0)),MATCH(ROW(bhpc_data[sku]),ROW(bhpc_data[sku])),""),ROWS($A$15:A252)+$B$3)),INDEX(bhpc_data[sku],SMALL(IF(ISNUMBER(MATCH(bhpc_data[category],$EC$9,0)*MATCH(bhpc_data[size1],$EC$13,0)),MATCH(ROW(bhpc_data[sku]),ROW(bhpc_data[sku])),""),ROWS($A$15:A252)+$B$3))),IF($EC$13="",INDEX(bhpc_data[sku],SMALL(IF(ISNUMBER(MATCH(bhpc_data[category],$EC$9,0)*MATCH(bhpc_data[sex],$EC$11,0)),MATCH(ROW(bhpc_data[sku]),ROW(bhpc_data[sku])),""),ROWS($A$15:A252)+$B$3)),INDEX(bhpc_data[sku],SMALL(IF(ISNUMBER(MATCH(bhpc_data[category],$EC$9,0)*MATCH(bhpc_data[sex],$EC$11,0)*MATCH(bhpc_data[size1],$EC$13,0)),MATCH(ROW(bhpc_data[sku]),ROW(bhpc_data[sku])),""),ROWS($A$15:A252)+$B$3))))),"")</f>
        <v/>
      </c>
      <c r="EF247" s="542" t="str" cm="1">
        <f t="array" ref="EF247">IFERROR(IF($EC$9="",IF($EC$11="",IF($EC$13="",INDEX(bhpc_data[description],SMALL(MATCH(ROW(bhpc_data[sku]),ROW(bhpc_data[sku])),ROWS($A$15:A252)+$B$3)),INDEX(bhpc_data[description],SMALL(IF(ISNUMBER(MATCH(bhpc_data[size1],$EC$13,0)),MATCH(ROW(bhpc_data[sku]),ROW(bhpc_data[sku])),""),ROWS($A$15:A252)+$B$3))),IF($EC$13="",INDEX(bhpc_data[description],SMALL(IF(ISNUMBER(MATCH(bhpc_data[sex],$EC$11,0)),MATCH(ROW(bhpc_data[sku]),ROW(bhpc_data[sku])),""),ROWS($A$15:A252)+$B$3)),INDEX(bhpc_data[description],SMALL(IF(ISNUMBER(MATCH(bhpc_data[sex],$EC$11,0)*MATCH(bhpc_data[size1],$EC$13,0)),MATCH(ROW(bhpc_data[sku]),ROW(bhpc_data[sku])),""),ROWS($A$15:A252)+$B$3)))),IF($EC$11="",IF($EC$13="",INDEX(bhpc_data[description],SMALL(IF(ISNUMBER(MATCH(bhpc_data[category],$EC$9,0)),MATCH(ROW(bhpc_data[sku]),ROW(bhpc_data[sku])),""),ROWS($A$15:A252)+$B$3)),INDEX(bhpc_data[description],SMALL(IF(ISNUMBER(MATCH(bhpc_data[category],$EC$9,0)*MATCH(bhpc_data[size1],$EC$13,0)),MATCH(ROW(bhpc_data[sku]),ROW(bhpc_data[sku])),""),ROWS($A$15:A252)+$B$3))),IF($EC$13="",INDEX(bhpc_data[description],SMALL(IF(ISNUMBER(MATCH(bhpc_data[category],$EC$9,0)*MATCH(bhpc_data[sex],$EC$11,0)),MATCH(ROW(bhpc_data[sku]),ROW(bhpc_data[sku])),""),ROWS($A$15:A252)+$B$3)),INDEX(bhpc_data[description],SMALL(IF(ISNUMBER(MATCH(bhpc_data[category],$EC$9,0)*MATCH(bhpc_data[sex],$EC$11,0)*MATCH(bhpc_data[size1],$EC$13,0)),MATCH(ROW(bhpc_data[sku]),ROW(bhpc_data[sku])),""),ROWS($A$15:A252)+$B$3))))),"")</f>
        <v/>
      </c>
      <c r="EG247" s="543" t="str">
        <f>IFERROR(IF('BHPC MANAGER'!$EE247="","",INDEX(inventory[ESISTENZA],MATCH('BHPC MANAGER'!$EE247,inventory[ARTICOLO],0))),0)</f>
        <v/>
      </c>
      <c r="EH247" s="544"/>
      <c r="EI247" s="544" t="str">
        <f t="shared" si="16"/>
        <v/>
      </c>
      <c r="EJ247" s="545"/>
      <c r="EK247" s="546" t="str">
        <f t="shared" si="17"/>
        <v/>
      </c>
    </row>
    <row r="248" spans="63:141" x14ac:dyDescent="0.35">
      <c r="BK248" s="366"/>
      <c r="BL248" s="367"/>
      <c r="BM248" s="368"/>
      <c r="BN248" s="367"/>
      <c r="BO248" s="368"/>
      <c r="EE248" s="547" t="str" cm="1">
        <f t="array" ref="EE248">IFERROR(IF($EC$9="",IF($EC$11="",IF($EC$13="",INDEX(bhpc_data[sku],SMALL(MATCH(ROW(bhpc_data[sku]),ROW(bhpc_data[sku])),ROWS($A$15:A253)+$B$3)),INDEX(bhpc_data[sku],SMALL(IF(ISNUMBER(MATCH(bhpc_data[size1],$EC$13,0)),MATCH(ROW(bhpc_data[sku]),ROW(bhpc_data[sku])),""),ROWS($A$15:A253)+$B$3))),IF($EC$13="",INDEX(bhpc_data[sku],SMALL(IF(ISNUMBER(MATCH(bhpc_data[sex],$EC$11,0)),MATCH(ROW(bhpc_data[sku]),ROW(bhpc_data[sku])),""),ROWS($A$15:A253)+$B$3)),INDEX(bhpc_data[sku],SMALL(IF(ISNUMBER(MATCH(bhpc_data[sex],$EC$11,0)*MATCH(bhpc_data[size1],$EC$13,0)),MATCH(ROW(bhpc_data[sku]),ROW(bhpc_data[sku])),""),ROWS($A$15:A253)+$B$3)))),IF($EC$11="",IF($EC$13="",INDEX(bhpc_data[sku],SMALL(IF(ISNUMBER(MATCH(bhpc_data[category],$EC$9,0)),MATCH(ROW(bhpc_data[sku]),ROW(bhpc_data[sku])),""),ROWS($A$15:A253)+$B$3)),INDEX(bhpc_data[sku],SMALL(IF(ISNUMBER(MATCH(bhpc_data[category],$EC$9,0)*MATCH(bhpc_data[size1],$EC$13,0)),MATCH(ROW(bhpc_data[sku]),ROW(bhpc_data[sku])),""),ROWS($A$15:A253)+$B$3))),IF($EC$13="",INDEX(bhpc_data[sku],SMALL(IF(ISNUMBER(MATCH(bhpc_data[category],$EC$9,0)*MATCH(bhpc_data[sex],$EC$11,0)),MATCH(ROW(bhpc_data[sku]),ROW(bhpc_data[sku])),""),ROWS($A$15:A253)+$B$3)),INDEX(bhpc_data[sku],SMALL(IF(ISNUMBER(MATCH(bhpc_data[category],$EC$9,0)*MATCH(bhpc_data[sex],$EC$11,0)*MATCH(bhpc_data[size1],$EC$13,0)),MATCH(ROW(bhpc_data[sku]),ROW(bhpc_data[sku])),""),ROWS($A$15:A253)+$B$3))))),"")</f>
        <v/>
      </c>
      <c r="EF248" s="548" t="str" cm="1">
        <f t="array" ref="EF248">IFERROR(IF($EC$9="",IF($EC$11="",IF($EC$13="",INDEX(bhpc_data[description],SMALL(MATCH(ROW(bhpc_data[sku]),ROW(bhpc_data[sku])),ROWS($A$15:A253)+$B$3)),INDEX(bhpc_data[description],SMALL(IF(ISNUMBER(MATCH(bhpc_data[size1],$EC$13,0)),MATCH(ROW(bhpc_data[sku]),ROW(bhpc_data[sku])),""),ROWS($A$15:A253)+$B$3))),IF($EC$13="",INDEX(bhpc_data[description],SMALL(IF(ISNUMBER(MATCH(bhpc_data[sex],$EC$11,0)),MATCH(ROW(bhpc_data[sku]),ROW(bhpc_data[sku])),""),ROWS($A$15:A253)+$B$3)),INDEX(bhpc_data[description],SMALL(IF(ISNUMBER(MATCH(bhpc_data[sex],$EC$11,0)*MATCH(bhpc_data[size1],$EC$13,0)),MATCH(ROW(bhpc_data[sku]),ROW(bhpc_data[sku])),""),ROWS($A$15:A253)+$B$3)))),IF($EC$11="",IF($EC$13="",INDEX(bhpc_data[description],SMALL(IF(ISNUMBER(MATCH(bhpc_data[category],$EC$9,0)),MATCH(ROW(bhpc_data[sku]),ROW(bhpc_data[sku])),""),ROWS($A$15:A253)+$B$3)),INDEX(bhpc_data[description],SMALL(IF(ISNUMBER(MATCH(bhpc_data[category],$EC$9,0)*MATCH(bhpc_data[size1],$EC$13,0)),MATCH(ROW(bhpc_data[sku]),ROW(bhpc_data[sku])),""),ROWS($A$15:A253)+$B$3))),IF($EC$13="",INDEX(bhpc_data[description],SMALL(IF(ISNUMBER(MATCH(bhpc_data[category],$EC$9,0)*MATCH(bhpc_data[sex],$EC$11,0)),MATCH(ROW(bhpc_data[sku]),ROW(bhpc_data[sku])),""),ROWS($A$15:A253)+$B$3)),INDEX(bhpc_data[description],SMALL(IF(ISNUMBER(MATCH(bhpc_data[category],$EC$9,0)*MATCH(bhpc_data[sex],$EC$11,0)*MATCH(bhpc_data[size1],$EC$13,0)),MATCH(ROW(bhpc_data[sku]),ROW(bhpc_data[sku])),""),ROWS($A$15:A253)+$B$3))))),"")</f>
        <v/>
      </c>
      <c r="EG248" s="549" t="str">
        <f>IFERROR(IF('BHPC MANAGER'!$EE248="","",INDEX(inventory[ESISTENZA],MATCH('BHPC MANAGER'!$EE248,inventory[ARTICOLO],0))),0)</f>
        <v/>
      </c>
      <c r="EH248" s="550"/>
      <c r="EI248" s="550" t="str">
        <f t="shared" si="16"/>
        <v/>
      </c>
      <c r="EJ248" s="551"/>
      <c r="EK248" s="552" t="str">
        <f t="shared" si="17"/>
        <v/>
      </c>
    </row>
    <row r="249" spans="63:141" x14ac:dyDescent="0.35">
      <c r="BK249" s="366"/>
      <c r="BL249" s="367"/>
      <c r="BM249" s="368"/>
      <c r="BN249" s="367"/>
      <c r="BO249" s="368"/>
      <c r="EE249" s="541" t="str" cm="1">
        <f t="array" ref="EE249">IFERROR(IF($EC$9="",IF($EC$11="",IF($EC$13="",INDEX(bhpc_data[sku],SMALL(MATCH(ROW(bhpc_data[sku]),ROW(bhpc_data[sku])),ROWS($A$15:A254)+$B$3)),INDEX(bhpc_data[sku],SMALL(IF(ISNUMBER(MATCH(bhpc_data[size1],$EC$13,0)),MATCH(ROW(bhpc_data[sku]),ROW(bhpc_data[sku])),""),ROWS($A$15:A254)+$B$3))),IF($EC$13="",INDEX(bhpc_data[sku],SMALL(IF(ISNUMBER(MATCH(bhpc_data[sex],$EC$11,0)),MATCH(ROW(bhpc_data[sku]),ROW(bhpc_data[sku])),""),ROWS($A$15:A254)+$B$3)),INDEX(bhpc_data[sku],SMALL(IF(ISNUMBER(MATCH(bhpc_data[sex],$EC$11,0)*MATCH(bhpc_data[size1],$EC$13,0)),MATCH(ROW(bhpc_data[sku]),ROW(bhpc_data[sku])),""),ROWS($A$15:A254)+$B$3)))),IF($EC$11="",IF($EC$13="",INDEX(bhpc_data[sku],SMALL(IF(ISNUMBER(MATCH(bhpc_data[category],$EC$9,0)),MATCH(ROW(bhpc_data[sku]),ROW(bhpc_data[sku])),""),ROWS($A$15:A254)+$B$3)),INDEX(bhpc_data[sku],SMALL(IF(ISNUMBER(MATCH(bhpc_data[category],$EC$9,0)*MATCH(bhpc_data[size1],$EC$13,0)),MATCH(ROW(bhpc_data[sku]),ROW(bhpc_data[sku])),""),ROWS($A$15:A254)+$B$3))),IF($EC$13="",INDEX(bhpc_data[sku],SMALL(IF(ISNUMBER(MATCH(bhpc_data[category],$EC$9,0)*MATCH(bhpc_data[sex],$EC$11,0)),MATCH(ROW(bhpc_data[sku]),ROW(bhpc_data[sku])),""),ROWS($A$15:A254)+$B$3)),INDEX(bhpc_data[sku],SMALL(IF(ISNUMBER(MATCH(bhpc_data[category],$EC$9,0)*MATCH(bhpc_data[sex],$EC$11,0)*MATCH(bhpc_data[size1],$EC$13,0)),MATCH(ROW(bhpc_data[sku]),ROW(bhpc_data[sku])),""),ROWS($A$15:A254)+$B$3))))),"")</f>
        <v/>
      </c>
      <c r="EF249" s="542" t="str" cm="1">
        <f t="array" ref="EF249">IFERROR(IF($EC$9="",IF($EC$11="",IF($EC$13="",INDEX(bhpc_data[description],SMALL(MATCH(ROW(bhpc_data[sku]),ROW(bhpc_data[sku])),ROWS($A$15:A254)+$B$3)),INDEX(bhpc_data[description],SMALL(IF(ISNUMBER(MATCH(bhpc_data[size1],$EC$13,0)),MATCH(ROW(bhpc_data[sku]),ROW(bhpc_data[sku])),""),ROWS($A$15:A254)+$B$3))),IF($EC$13="",INDEX(bhpc_data[description],SMALL(IF(ISNUMBER(MATCH(bhpc_data[sex],$EC$11,0)),MATCH(ROW(bhpc_data[sku]),ROW(bhpc_data[sku])),""),ROWS($A$15:A254)+$B$3)),INDEX(bhpc_data[description],SMALL(IF(ISNUMBER(MATCH(bhpc_data[sex],$EC$11,0)*MATCH(bhpc_data[size1],$EC$13,0)),MATCH(ROW(bhpc_data[sku]),ROW(bhpc_data[sku])),""),ROWS($A$15:A254)+$B$3)))),IF($EC$11="",IF($EC$13="",INDEX(bhpc_data[description],SMALL(IF(ISNUMBER(MATCH(bhpc_data[category],$EC$9,0)),MATCH(ROW(bhpc_data[sku]),ROW(bhpc_data[sku])),""),ROWS($A$15:A254)+$B$3)),INDEX(bhpc_data[description],SMALL(IF(ISNUMBER(MATCH(bhpc_data[category],$EC$9,0)*MATCH(bhpc_data[size1],$EC$13,0)),MATCH(ROW(bhpc_data[sku]),ROW(bhpc_data[sku])),""),ROWS($A$15:A254)+$B$3))),IF($EC$13="",INDEX(bhpc_data[description],SMALL(IF(ISNUMBER(MATCH(bhpc_data[category],$EC$9,0)*MATCH(bhpc_data[sex],$EC$11,0)),MATCH(ROW(bhpc_data[sku]),ROW(bhpc_data[sku])),""),ROWS($A$15:A254)+$B$3)),INDEX(bhpc_data[description],SMALL(IF(ISNUMBER(MATCH(bhpc_data[category],$EC$9,0)*MATCH(bhpc_data[sex],$EC$11,0)*MATCH(bhpc_data[size1],$EC$13,0)),MATCH(ROW(bhpc_data[sku]),ROW(bhpc_data[sku])),""),ROWS($A$15:A254)+$B$3))))),"")</f>
        <v/>
      </c>
      <c r="EG249" s="543" t="str">
        <f>IFERROR(IF('BHPC MANAGER'!$EE249="","",INDEX(inventory[ESISTENZA],MATCH('BHPC MANAGER'!$EE249,inventory[ARTICOLO],0))),0)</f>
        <v/>
      </c>
      <c r="EH249" s="544"/>
      <c r="EI249" s="544" t="str">
        <f t="shared" si="16"/>
        <v/>
      </c>
      <c r="EJ249" s="545"/>
      <c r="EK249" s="546" t="str">
        <f t="shared" si="17"/>
        <v/>
      </c>
    </row>
    <row r="250" spans="63:141" ht="15" thickBot="1" x14ac:dyDescent="0.4">
      <c r="BK250" s="369"/>
      <c r="BL250" s="370"/>
      <c r="BM250" s="371"/>
      <c r="BN250" s="370"/>
      <c r="BO250" s="371"/>
      <c r="EE250" s="553" t="str" cm="1">
        <f t="array" ref="EE250">IFERROR(IF($EC$9="",IF($EC$11="",IF($EC$13="",INDEX(bhpc_data[sku],SMALL(MATCH(ROW(bhpc_data[sku]),ROW(bhpc_data[sku])),ROWS($A$15:A255)+$B$3)),INDEX(bhpc_data[sku],SMALL(IF(ISNUMBER(MATCH(bhpc_data[size1],$EC$13,0)),MATCH(ROW(bhpc_data[sku]),ROW(bhpc_data[sku])),""),ROWS($A$15:A255)+$B$3))),IF($EC$13="",INDEX(bhpc_data[sku],SMALL(IF(ISNUMBER(MATCH(bhpc_data[sex],$EC$11,0)),MATCH(ROW(bhpc_data[sku]),ROW(bhpc_data[sku])),""),ROWS($A$15:A255)+$B$3)),INDEX(bhpc_data[sku],SMALL(IF(ISNUMBER(MATCH(bhpc_data[sex],$EC$11,0)*MATCH(bhpc_data[size1],$EC$13,0)),MATCH(ROW(bhpc_data[sku]),ROW(bhpc_data[sku])),""),ROWS($A$15:A255)+$B$3)))),IF($EC$11="",IF($EC$13="",INDEX(bhpc_data[sku],SMALL(IF(ISNUMBER(MATCH(bhpc_data[category],$EC$9,0)),MATCH(ROW(bhpc_data[sku]),ROW(bhpc_data[sku])),""),ROWS($A$15:A255)+$B$3)),INDEX(bhpc_data[sku],SMALL(IF(ISNUMBER(MATCH(bhpc_data[category],$EC$9,0)*MATCH(bhpc_data[size1],$EC$13,0)),MATCH(ROW(bhpc_data[sku]),ROW(bhpc_data[sku])),""),ROWS($A$15:A255)+$B$3))),IF($EC$13="",INDEX(bhpc_data[sku],SMALL(IF(ISNUMBER(MATCH(bhpc_data[category],$EC$9,0)*MATCH(bhpc_data[sex],$EC$11,0)),MATCH(ROW(bhpc_data[sku]),ROW(bhpc_data[sku])),""),ROWS($A$15:A255)+$B$3)),INDEX(bhpc_data[sku],SMALL(IF(ISNUMBER(MATCH(bhpc_data[category],$EC$9,0)*MATCH(bhpc_data[sex],$EC$11,0)*MATCH(bhpc_data[size1],$EC$13,0)),MATCH(ROW(bhpc_data[sku]),ROW(bhpc_data[sku])),""),ROWS($A$15:A255)+$B$3))))),"")</f>
        <v/>
      </c>
      <c r="EF250" s="554" t="str" cm="1">
        <f t="array" ref="EF250">IFERROR(IF($EC$9="",IF($EC$11="",IF($EC$13="",INDEX(bhpc_data[description],SMALL(MATCH(ROW(bhpc_data[sku]),ROW(bhpc_data[sku])),ROWS($A$15:A255)+$B$3)),INDEX(bhpc_data[description],SMALL(IF(ISNUMBER(MATCH(bhpc_data[size1],$EC$13,0)),MATCH(ROW(bhpc_data[sku]),ROW(bhpc_data[sku])),""),ROWS($A$15:A255)+$B$3))),IF($EC$13="",INDEX(bhpc_data[description],SMALL(IF(ISNUMBER(MATCH(bhpc_data[sex],$EC$11,0)),MATCH(ROW(bhpc_data[sku]),ROW(bhpc_data[sku])),""),ROWS($A$15:A255)+$B$3)),INDEX(bhpc_data[description],SMALL(IF(ISNUMBER(MATCH(bhpc_data[sex],$EC$11,0)*MATCH(bhpc_data[size1],$EC$13,0)),MATCH(ROW(bhpc_data[sku]),ROW(bhpc_data[sku])),""),ROWS($A$15:A255)+$B$3)))),IF($EC$11="",IF($EC$13="",INDEX(bhpc_data[description],SMALL(IF(ISNUMBER(MATCH(bhpc_data[category],$EC$9,0)),MATCH(ROW(bhpc_data[sku]),ROW(bhpc_data[sku])),""),ROWS($A$15:A255)+$B$3)),INDEX(bhpc_data[description],SMALL(IF(ISNUMBER(MATCH(bhpc_data[category],$EC$9,0)*MATCH(bhpc_data[size1],$EC$13,0)),MATCH(ROW(bhpc_data[sku]),ROW(bhpc_data[sku])),""),ROWS($A$15:A255)+$B$3))),IF($EC$13="",INDEX(bhpc_data[description],SMALL(IF(ISNUMBER(MATCH(bhpc_data[category],$EC$9,0)*MATCH(bhpc_data[sex],$EC$11,0)),MATCH(ROW(bhpc_data[sku]),ROW(bhpc_data[sku])),""),ROWS($A$15:A255)+$B$3)),INDEX(bhpc_data[description],SMALL(IF(ISNUMBER(MATCH(bhpc_data[category],$EC$9,0)*MATCH(bhpc_data[sex],$EC$11,0)*MATCH(bhpc_data[size1],$EC$13,0)),MATCH(ROW(bhpc_data[sku]),ROW(bhpc_data[sku])),""),ROWS($A$15:A255)+$B$3))))),"")</f>
        <v/>
      </c>
      <c r="EG250" s="555" t="str">
        <f>IFERROR(IF('BHPC MANAGER'!$EE250="","",INDEX(inventory[ESISTENZA],MATCH('BHPC MANAGER'!$EE250,inventory[ARTICOLO],0))),0)</f>
        <v/>
      </c>
      <c r="EH250" s="556"/>
      <c r="EI250" s="556" t="str">
        <f t="shared" si="16"/>
        <v/>
      </c>
      <c r="EJ250" s="557"/>
      <c r="EK250" s="558" t="str">
        <f t="shared" si="17"/>
        <v/>
      </c>
    </row>
  </sheetData>
  <sortState xmlns:xlrd2="http://schemas.microsoft.com/office/spreadsheetml/2017/richdata2" ref="BZ10:CS110">
    <sortCondition ref="BZ10"/>
  </sortState>
  <dataConsolidate/>
  <mergeCells count="36">
    <mergeCell ref="G30:I41"/>
    <mergeCell ref="N6:O6"/>
    <mergeCell ref="N7:O7"/>
    <mergeCell ref="BB32:BD32"/>
    <mergeCell ref="BB31:BD31"/>
    <mergeCell ref="AR38:AT38"/>
    <mergeCell ref="AX27:AY27"/>
    <mergeCell ref="AR33:AT34"/>
    <mergeCell ref="BB27:BH30"/>
    <mergeCell ref="AX29:AY29"/>
    <mergeCell ref="AR25:AT26"/>
    <mergeCell ref="AT20:AT21"/>
    <mergeCell ref="AS20:AS21"/>
    <mergeCell ref="G10:I10"/>
    <mergeCell ref="G27:I27"/>
    <mergeCell ref="G28:I28"/>
    <mergeCell ref="G24:I24"/>
    <mergeCell ref="G26:I26"/>
    <mergeCell ref="G14:I16"/>
    <mergeCell ref="G20:I20"/>
    <mergeCell ref="G18:I18"/>
    <mergeCell ref="G12:I12"/>
    <mergeCell ref="ZQ9:ZZ9"/>
    <mergeCell ref="ZF9:ZO9"/>
    <mergeCell ref="BD22:BH23"/>
    <mergeCell ref="BD19:BH20"/>
    <mergeCell ref="BX18:BX19"/>
    <mergeCell ref="G22:I22"/>
    <mergeCell ref="G23:I23"/>
    <mergeCell ref="EG8:EG9"/>
    <mergeCell ref="EH8:EH9"/>
    <mergeCell ref="EI8:EI9"/>
    <mergeCell ref="EJ8:EJ9"/>
    <mergeCell ref="EK8:EK9"/>
    <mergeCell ref="EF8:EF9"/>
    <mergeCell ref="EE8:EE9"/>
  </mergeCells>
  <phoneticPr fontId="60" type="noConversion"/>
  <conditionalFormatting sqref="L10:O60 R10:V60">
    <cfRule type="expression" dxfId="26" priority="10">
      <formula>$B$2=ROW()</formula>
    </cfRule>
  </conditionalFormatting>
  <conditionalFormatting sqref="V10:V60">
    <cfRule type="cellIs" dxfId="25" priority="11" operator="equal">
      <formula>"ALL READY"</formula>
    </cfRule>
    <cfRule type="cellIs" dxfId="24" priority="33" operator="equal">
      <formula>"SHIPPED"</formula>
    </cfRule>
    <cfRule type="cellIs" dxfId="23" priority="34" operator="equal">
      <formula>"ON WAITING"</formula>
    </cfRule>
    <cfRule type="cellIs" dxfId="22" priority="35" operator="equal">
      <formula>"PREPARING"</formula>
    </cfRule>
    <cfRule type="cellIs" dxfId="21" priority="39" operator="equal">
      <formula>"TO LOAD"</formula>
    </cfRule>
    <cfRule type="cellIs" dxfId="20" priority="47" operator="equal">
      <formula>"IN TRANSIT"</formula>
    </cfRule>
    <cfRule type="cellIs" dxfId="19" priority="52" operator="equal">
      <formula>"DELIVERED"</formula>
    </cfRule>
  </conditionalFormatting>
  <conditionalFormatting sqref="D19:D21 G20:I20 G22:I24 G26:I28">
    <cfRule type="cellIs" dxfId="18" priority="53" operator="equal">
      <formula>0</formula>
    </cfRule>
  </conditionalFormatting>
  <conditionalFormatting sqref="N10:N60">
    <cfRule type="cellIs" dxfId="17" priority="6" operator="equal">
      <formula>"PRODUCTION"</formula>
    </cfRule>
    <cfRule type="cellIs" dxfId="16" priority="14" operator="equal">
      <formula>"SUPPLY"</formula>
    </cfRule>
    <cfRule type="cellIs" dxfId="15" priority="16" operator="equal">
      <formula>"SAMPLING"</formula>
    </cfRule>
    <cfRule type="cellIs" dxfId="14" priority="17" operator="equal">
      <formula>"SALE"</formula>
    </cfRule>
  </conditionalFormatting>
  <conditionalFormatting sqref="D24:D27">
    <cfRule type="cellIs" dxfId="13" priority="55" operator="equal">
      <formula>0</formula>
    </cfRule>
    <cfRule type="containsErrors" dxfId="12" priority="56">
      <formula>ISERROR(D24)</formula>
    </cfRule>
  </conditionalFormatting>
  <conditionalFormatting sqref="G30:I41 G14 G18 G10">
    <cfRule type="cellIs" dxfId="11" priority="57" operator="equal">
      <formula>0</formula>
    </cfRule>
  </conditionalFormatting>
  <conditionalFormatting sqref="EK10:EK250">
    <cfRule type="cellIs" dxfId="10" priority="1" operator="equal">
      <formula>0</formula>
    </cfRule>
    <cfRule type="cellIs" dxfId="9" priority="5" operator="lessThan">
      <formula>0</formula>
    </cfRule>
  </conditionalFormatting>
  <conditionalFormatting sqref="CT10:CT110">
    <cfRule type="dataBar" priority="2">
      <dataBar>
        <cfvo type="min"/>
        <cfvo type="max"/>
        <color rgb="FF00B050"/>
      </dataBar>
    </cfRule>
    <cfRule type="cellIs" dxfId="8" priority="3" operator="equal">
      <formula>"NO"</formula>
    </cfRule>
    <cfRule type="cellIs" dxfId="7" priority="4" operator="equal">
      <formula>"OK"</formula>
    </cfRule>
  </conditionalFormatting>
  <conditionalFormatting sqref="S10:T60">
    <cfRule type="cellIs" dxfId="6" priority="18" operator="equal">
      <formula>FALSE</formula>
    </cfRule>
  </conditionalFormatting>
  <conditionalFormatting sqref="P10:V60">
    <cfRule type="expression" dxfId="5" priority="8">
      <formula>AND($B$2=ROW(), $P10=0)</formula>
    </cfRule>
  </conditionalFormatting>
  <conditionalFormatting sqref="P10:Q60">
    <cfRule type="expression" dxfId="4" priority="9">
      <formula>AND($B$2=ROW(), $P10&lt;&gt;0)</formula>
    </cfRule>
    <cfRule type="expression" dxfId="3" priority="13">
      <formula>$P10=0</formula>
    </cfRule>
  </conditionalFormatting>
  <conditionalFormatting sqref="S10:S60">
    <cfRule type="expression" dxfId="2" priority="7">
      <formula>AND($B$2=ROW(), S10&lt;&gt;0)</formula>
    </cfRule>
  </conditionalFormatting>
  <conditionalFormatting sqref="S10:S110">
    <cfRule type="expression" dxfId="1" priority="12">
      <formula>S10=0</formula>
    </cfRule>
  </conditionalFormatting>
  <conditionalFormatting sqref="S10:T110">
    <cfRule type="cellIs" dxfId="0" priority="29" operator="equal">
      <formula>TRUE</formula>
    </cfRule>
  </conditionalFormatting>
  <dataValidations count="25">
    <dataValidation type="list" allowBlank="1" showInputMessage="1" showErrorMessage="1" sqref="N7" xr:uid="{00000000-0002-0000-0F00-000000000000}">
      <formula1>"Ascending,Descending"</formula1>
    </dataValidation>
    <dataValidation type="list" allowBlank="1" showInputMessage="1" showErrorMessage="1" sqref="N6" xr:uid="{00000000-0002-0000-0F00-000001000000}">
      <formula1>$L$9:$V$9</formula1>
    </dataValidation>
    <dataValidation type="list" allowBlank="1" showInputMessage="1" showErrorMessage="1" sqref="CW35" xr:uid="{00000000-0002-0000-0F00-000002000000}">
      <formula1>"NO PALLET,CONSOLIDATO,PER CATEGORIA,PER SKU,PER SESSO"</formula1>
    </dataValidation>
    <dataValidation type="list" allowBlank="1" showInputMessage="1" showErrorMessage="1" sqref="CW36" xr:uid="{00000000-0002-0000-0F00-000003000000}">
      <formula1>"80x120,100x120"</formula1>
    </dataValidation>
    <dataValidation type="list" allowBlank="1" showInputMessage="1" showErrorMessage="1" sqref="ZF9:ZO9 ZQ9:ZZ9" xr:uid="{00000000-0002-0000-0F00-000004000000}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 xr:uid="{00000000-0002-0000-0F00-000005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F00-000006000000}">
      <formula1>"BY ROAD,BY SEA,BY AIR"</formula1>
    </dataValidation>
    <dataValidation type="list" allowBlank="1" showInputMessage="1" showErrorMessage="1" sqref="AX29:AY29" xr:uid="{00000000-0002-0000-0F00-000007000000}">
      <formula1>$AR$51:$AR$59</formula1>
    </dataValidation>
    <dataValidation type="list" allowBlank="1" showInputMessage="1" showErrorMessage="1" sqref="AR13" xr:uid="{00000000-0002-0000-0F00-000008000000}">
      <formula1>"EUR,USD,GBP"</formula1>
    </dataValidation>
    <dataValidation type="list" allowBlank="1" showInputMessage="1" showErrorMessage="1" sqref="AR28" xr:uid="{00000000-0002-0000-0F00-000009000000}">
      <formula1>"80x120,100x120,NO PALLET"</formula1>
    </dataValidation>
    <dataValidation type="list" allowBlank="1" showInputMessage="1" showErrorMessage="1" sqref="D11" xr:uid="{00000000-0002-0000-0F00-00000A000000}">
      <formula1>"ON WAITING,PREPARING,ALL READY,SHIPPED,TO LOAD,IN TRANSIT,DELIVERED"</formula1>
    </dataValidation>
    <dataValidation type="list" allowBlank="1" showInputMessage="1" showErrorMessage="1" sqref="AX32 AT14 AT39" xr:uid="{00000000-0002-0000-0F00-00000B000000}">
      <formula1>"VERO,FALSO"</formula1>
    </dataValidation>
    <dataValidation type="list" allowBlank="1" showInputMessage="1" showErrorMessage="1" sqref="AZ7" xr:uid="{00000000-0002-0000-0F00-00000C000000}">
      <formula1>$AW$49:$BH$49</formula1>
    </dataValidation>
    <dataValidation type="list" allowBlank="1" showInputMessage="1" showErrorMessage="1" sqref="P5" xr:uid="{00000000-0002-0000-0F00-00000D000000}">
      <formula1>yearSelDist</formula1>
    </dataValidation>
    <dataValidation type="list" allowBlank="1" showInputMessage="1" showErrorMessage="1" sqref="D9" xr:uid="{00000000-0002-0000-0F00-00000E000000}">
      <formula1>clientName</formula1>
    </dataValidation>
    <dataValidation type="list" allowBlank="1" showInputMessage="1" showErrorMessage="1" sqref="AT13" xr:uid="{00000000-0002-0000-0F00-00000F000000}">
      <formula1>"SALE,SAMPLE,SUPPLY"</formula1>
    </dataValidation>
    <dataValidation type="list" allowBlank="1" showInputMessage="1" showErrorMessage="1" sqref="AT18" xr:uid="{00000000-0002-0000-0F00-000010000000}">
      <formula1>"IN ADVANCE,30 DAYS FROM INVOICE,60 DAYS FROM INVOICE,90 DAYS FROM INVOICE,120 DAYS FROM INVOICE,AGAINST SHIPPING DOCS"</formula1>
    </dataValidation>
    <dataValidation type="list" allowBlank="1" showInputMessage="1" showErrorMessage="1" sqref="D13" xr:uid="{00000000-0002-0000-0F00-000011000000}">
      <formula1>"SALE,SUPPLY,SAMPLING,PRODUCTION"</formula1>
    </dataValidation>
    <dataValidation type="list" allowBlank="1" showInputMessage="1" showErrorMessage="1" sqref="EC13" xr:uid="{00000000-0002-0000-0F00-000012000000}">
      <formula1>"50,100,150,175,200,300"</formula1>
    </dataValidation>
    <dataValidation type="list" allowBlank="1" showInputMessage="1" showErrorMessage="1" sqref="EC11" xr:uid="{00000000-0002-0000-0F00-000013000000}">
      <formula1>"MAN,WOMAN"</formula1>
    </dataValidation>
    <dataValidation type="list" allowBlank="1" showInputMessage="1" showErrorMessage="1" sqref="AX27:AY27" xr:uid="{00000000-0002-0000-0F00-000014000000}">
      <formula1>"ON WAITING, PREPARING,SHIPPED"</formula1>
    </dataValidation>
    <dataValidation type="list" allowBlank="1" showInputMessage="1" showErrorMessage="1" sqref="D15" xr:uid="{00000000-0002-0000-0F00-000015000000}">
      <formula1>"2023,2024,2025"</formula1>
    </dataValidation>
    <dataValidation type="list" allowBlank="1" showInputMessage="1" showErrorMessage="1" sqref="BH11" xr:uid="{00000000-0002-0000-0F00-000016000000}">
      <formula1>"20',40',40' HC"</formula1>
    </dataValidation>
    <dataValidation type="list" allowBlank="1" showInputMessage="1" showErrorMessage="1" sqref="EC9" xr:uid="{00000000-0002-0000-0F00-000017000000}">
      <formula1>"MASSTIGE,PRESTIGE,DEODORANT,GIFTSET,BODYMIST,HAIRMIST,ROLL-ON,TESTER,MATERIAL"</formula1>
    </dataValidation>
    <dataValidation type="list" allowBlank="1" showInputMessage="1" showErrorMessage="1" sqref="FG9:FG39" xr:uid="{00000000-0002-0000-0F00-000018000000}">
      <formula1>giftSetSku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9" r:id="rId4" name="barraScorrimentoOrdini">
              <controlPr defaultSize="0" autoPict="0">
                <anchor>
                  <from>
                    <xdr:col>23</xdr:col>
                    <xdr:colOff>57150</xdr:colOff>
                    <xdr:row>9</xdr:row>
                    <xdr:rowOff>0</xdr:rowOff>
                  </from>
                  <to>
                    <xdr:col>23</xdr:col>
                    <xdr:colOff>57150</xdr:colOff>
                    <xdr:row>59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"/>
  <dimension ref="A1:H1"/>
  <sheetViews>
    <sheetView workbookViewId="0">
      <selection activeCell="B2" sqref="B2"/>
    </sheetView>
  </sheetViews>
  <sheetFormatPr defaultRowHeight="14.5" x14ac:dyDescent="0.35"/>
  <cols>
    <col min="1" max="1" width="17.1796875" bestFit="1" customWidth="1"/>
    <col min="2" max="2" width="14.7265625" bestFit="1" customWidth="1"/>
    <col min="3" max="7" width="19.81640625" bestFit="1" customWidth="1"/>
    <col min="8" max="8" width="14.54296875" bestFit="1" customWidth="1"/>
  </cols>
  <sheetData>
    <row r="1" spans="1:8" s="5" customFormat="1" x14ac:dyDescent="0.35">
      <c r="A1" s="5" t="s">
        <v>1056</v>
      </c>
      <c r="B1" s="5" t="s">
        <v>6</v>
      </c>
      <c r="C1" s="5" t="s">
        <v>1057</v>
      </c>
      <c r="D1" s="5" t="s">
        <v>1058</v>
      </c>
      <c r="E1" s="5" t="s">
        <v>1059</v>
      </c>
      <c r="F1" s="5" t="s">
        <v>1060</v>
      </c>
      <c r="G1" s="5" t="s">
        <v>1061</v>
      </c>
      <c r="H1" s="5" t="s">
        <v>1062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3"/>
  <dimension ref="A1:O87"/>
  <sheetViews>
    <sheetView topLeftCell="B1" workbookViewId="0">
      <selection activeCell="G3" sqref="G3"/>
    </sheetView>
  </sheetViews>
  <sheetFormatPr defaultRowHeight="14.5" x14ac:dyDescent="0.35"/>
  <cols>
    <col min="1" max="1" width="18.453125" style="61" customWidth="1"/>
    <col min="2" max="2" width="53.26953125" style="1" bestFit="1" customWidth="1"/>
    <col min="3" max="3" width="79.81640625" style="1" bestFit="1" customWidth="1"/>
    <col min="4" max="4" width="14.54296875" style="1" customWidth="1"/>
    <col min="5" max="5" width="17.81640625" style="1" customWidth="1"/>
    <col min="6" max="6" width="18.81640625" style="1" customWidth="1"/>
    <col min="7" max="7" width="11.453125" style="1" customWidth="1"/>
    <col min="8" max="11" width="8.7265625" style="1"/>
    <col min="12" max="12" width="8.7265625" style="6"/>
    <col min="13" max="15" width="8.7265625" style="1"/>
  </cols>
  <sheetData>
    <row r="1" spans="1:13" ht="30" customHeight="1" x14ac:dyDescent="0.35">
      <c r="A1" s="220" t="s">
        <v>1066</v>
      </c>
      <c r="B1" s="220" t="s">
        <v>1073</v>
      </c>
      <c r="C1" s="220" t="s">
        <v>1074</v>
      </c>
      <c r="D1" s="220" t="s">
        <v>466</v>
      </c>
      <c r="E1" s="220" t="s">
        <v>1078</v>
      </c>
      <c r="F1" s="564" t="s">
        <v>1159</v>
      </c>
      <c r="G1" s="5" t="s">
        <v>1160</v>
      </c>
      <c r="H1" s="220"/>
      <c r="I1" s="220"/>
      <c r="J1" s="220"/>
      <c r="L1" s="302"/>
      <c r="M1" s="220" t="s">
        <v>1079</v>
      </c>
    </row>
    <row r="2" spans="1:13" x14ac:dyDescent="0.35">
      <c r="A2" s="61" t="s">
        <v>167</v>
      </c>
      <c r="B2" s="54" t="s">
        <v>1075</v>
      </c>
      <c r="C2" s="1" t="s">
        <v>271</v>
      </c>
      <c r="D2" s="1" t="s">
        <v>245</v>
      </c>
      <c r="E2" s="1" t="s">
        <v>818</v>
      </c>
      <c r="F2" s="565" t="str">
        <f t="array" ref="F2">IFERROR(INDEX(orderHistory[order_no],SMALL(IF(ISNUMBER(MATCH(orderHistory[status],$G$2,0)*MATCH(orderHistory[order_type],$G$3,0)*MATCH(orderHistory[lock_goods],$G$4,0)),MATCH(ROW(orderHistory[customer]),ROW(orderHistory[customer])),""),ROWS($A$1:A1))),"")</f>
        <v/>
      </c>
      <c r="G2" s="4" t="s">
        <v>939</v>
      </c>
      <c r="L2" s="6" t="s">
        <v>1066</v>
      </c>
    </row>
    <row r="3" spans="1:13" x14ac:dyDescent="0.35">
      <c r="A3" s="61" t="s">
        <v>169</v>
      </c>
      <c r="B3" s="54" t="s">
        <v>976</v>
      </c>
      <c r="C3" s="1" t="s">
        <v>912</v>
      </c>
      <c r="D3" s="1" t="s">
        <v>266</v>
      </c>
      <c r="E3" s="1" t="s">
        <v>1064</v>
      </c>
      <c r="F3" s="565" t="str">
        <f t="array" ref="F3">IFERROR(INDEX(orderHistory[order_no],SMALL(IF(ISNUMBER(MATCH(orderHistory[status],$G$2,0)*MATCH(orderHistory[order_type],$G$3,0)*MATCH(orderHistory[lock_goods],$G$4,0)),MATCH(ROW(orderHistory[customer]),ROW(orderHistory[customer])),""),ROWS($A$1:A2))),"")</f>
        <v/>
      </c>
      <c r="G3" s="4" t="s">
        <v>702</v>
      </c>
      <c r="L3" s="6" t="s">
        <v>1073</v>
      </c>
      <c r="M3" s="1">
        <f ca="1">COUNTA(payment_method)</f>
        <v>9</v>
      </c>
    </row>
    <row r="4" spans="1:13" x14ac:dyDescent="0.35">
      <c r="A4" s="61" t="s">
        <v>171</v>
      </c>
      <c r="B4" s="54" t="s">
        <v>919</v>
      </c>
      <c r="C4" s="1" t="s">
        <v>334</v>
      </c>
      <c r="D4" s="1" t="s">
        <v>641</v>
      </c>
      <c r="E4" s="1" t="s">
        <v>1063</v>
      </c>
      <c r="F4" s="565" t="str">
        <f t="array" ref="F4">IFERROR(INDEX(orderHistory[order_no],SMALL(IF(ISNUMBER(MATCH(orderHistory[status],$G$2,0)*MATCH(orderHistory[order_type],$G$3,0)*MATCH(orderHistory[lock_goods],$G$4,0)),MATCH(ROW(orderHistory[customer]),ROW(orderHistory[customer])),""),ROWS($A$1:A3))),"")</f>
        <v/>
      </c>
      <c r="G4" s="4" t="b">
        <v>1</v>
      </c>
      <c r="L4" s="6" t="s">
        <v>1074</v>
      </c>
    </row>
    <row r="5" spans="1:13" x14ac:dyDescent="0.35">
      <c r="A5" s="61" t="s">
        <v>173</v>
      </c>
      <c r="B5" s="54" t="s">
        <v>984</v>
      </c>
      <c r="E5" s="1" t="s">
        <v>1065</v>
      </c>
      <c r="F5" s="565" t="str">
        <f t="array" ref="F5">IFERROR(INDEX(orderHistory[order_no],SMALL(IF(ISNUMBER(MATCH(orderHistory[status],$G$2,0)*MATCH(orderHistory[order_type],$G$3,0)*MATCH(orderHistory[lock_goods],$G$4,0)),MATCH(ROW(orderHistory[customer]),ROW(orderHistory[customer])),""),ROWS($A$1:A4))),"")</f>
        <v/>
      </c>
      <c r="G5" s="4"/>
      <c r="L5" s="6" t="s">
        <v>466</v>
      </c>
    </row>
    <row r="6" spans="1:13" x14ac:dyDescent="0.35">
      <c r="A6" s="61" t="s">
        <v>98</v>
      </c>
      <c r="B6" s="54" t="s">
        <v>982</v>
      </c>
      <c r="F6" s="565" t="str">
        <f t="array" ref="F6">IFERROR(INDEX(orderHistory[order_no],SMALL(IF(ISNUMBER(MATCH(orderHistory[status],$G$2,0)*MATCH(orderHistory[order_type],$G$3,0)*MATCH(orderHistory[lock_goods],$G$4,0)),MATCH(ROW(orderHistory[customer]),ROW(orderHistory[customer])),""),ROWS($A$1:A5))),"")</f>
        <v/>
      </c>
      <c r="G6" s="4"/>
      <c r="L6" s="6" t="s">
        <v>1078</v>
      </c>
    </row>
    <row r="7" spans="1:13" x14ac:dyDescent="0.35">
      <c r="A7" s="61" t="s">
        <v>100</v>
      </c>
      <c r="B7" s="54" t="s">
        <v>1076</v>
      </c>
      <c r="F7" s="565" t="str">
        <f t="array" ref="F7">IFERROR(INDEX(orderHistory[order_no],SMALL(IF(ISNUMBER(MATCH(orderHistory[status],$G$2,0)*MATCH(orderHistory[order_type],$G$3,0)*MATCH(orderHistory[lock_goods],$G$4,0)),MATCH(ROW(orderHistory[customer]),ROW(orderHistory[customer])),""),ROWS($A$1:A6))),"")</f>
        <v/>
      </c>
      <c r="G7" s="4"/>
    </row>
    <row r="8" spans="1:13" x14ac:dyDescent="0.35">
      <c r="A8" s="61" t="s">
        <v>102</v>
      </c>
      <c r="B8" s="54" t="s">
        <v>1077</v>
      </c>
      <c r="F8" s="565" t="str">
        <f t="array" ref="F8">IFERROR(INDEX(orderHistory[order_no],SMALL(IF(ISNUMBER(MATCH(orderHistory[status],$G$2,0)*MATCH(orderHistory[order_type],$G$3,0)*MATCH(orderHistory[lock_goods],$G$4,0)),MATCH(ROW(orderHistory[customer]),ROW(orderHistory[customer])),""),ROWS($A$1:A7))),"")</f>
        <v/>
      </c>
      <c r="G8" s="4"/>
    </row>
    <row r="9" spans="1:13" x14ac:dyDescent="0.35">
      <c r="A9" s="61" t="s">
        <v>104</v>
      </c>
      <c r="B9" s="54" t="s">
        <v>1118</v>
      </c>
      <c r="F9" s="565" t="str">
        <f t="array" ref="F9">IFERROR(INDEX(orderHistory[order_no],SMALL(IF(ISNUMBER(MATCH(orderHistory[status],$G$2,0)*MATCH(orderHistory[order_type],$G$3,0)*MATCH(orderHistory[lock_goods],$G$4,0)),MATCH(ROW(orderHistory[customer]),ROW(orderHistory[customer])),""),ROWS($A$1:A8))),"")</f>
        <v/>
      </c>
      <c r="G9" s="4"/>
    </row>
    <row r="10" spans="1:13" x14ac:dyDescent="0.35">
      <c r="A10" s="61" t="s">
        <v>61</v>
      </c>
      <c r="B10" s="54" t="s">
        <v>979</v>
      </c>
      <c r="F10" s="565" t="str">
        <f t="array" ref="F10">IFERROR(INDEX(orderHistory[order_no],SMALL(IF(ISNUMBER(MATCH(orderHistory[status],$G$2,0)*MATCH(orderHistory[order_type],$G$3,0)*MATCH(orderHistory[lock_goods],$G$4,0)),MATCH(ROW(orderHistory[customer]),ROW(orderHistory[customer])),""),ROWS($A$1:A9))),"")</f>
        <v/>
      </c>
      <c r="G10" s="4"/>
    </row>
    <row r="11" spans="1:13" x14ac:dyDescent="0.35">
      <c r="A11" s="61" t="s">
        <v>65</v>
      </c>
      <c r="F11" s="565" t="str">
        <f t="array" ref="F11">IFERROR(INDEX(orderHistory[order_no],SMALL(IF(ISNUMBER(MATCH(orderHistory[status],$G$2,0)*MATCH(orderHistory[order_type],$G$3,0)*MATCH(orderHistory[lock_goods],$G$4,0)),MATCH(ROW(orderHistory[customer]),ROW(orderHistory[customer])),""),ROWS($A$1:A10))),"")</f>
        <v/>
      </c>
      <c r="G11" s="4"/>
    </row>
    <row r="12" spans="1:13" x14ac:dyDescent="0.35">
      <c r="A12" s="61" t="s">
        <v>67</v>
      </c>
      <c r="F12" s="565" t="str">
        <f t="array" ref="F12">IFERROR(INDEX(orderHistory[order_no],SMALL(IF(ISNUMBER(MATCH(orderHistory[status],$G$2,0)*MATCH(orderHistory[order_type],$G$3,0)*MATCH(orderHistory[lock_goods],$G$4,0)),MATCH(ROW(orderHistory[customer]),ROW(orderHistory[customer])),""),ROWS($A$1:A11))),"")</f>
        <v/>
      </c>
      <c r="G12" s="4"/>
    </row>
    <row r="13" spans="1:13" x14ac:dyDescent="0.35">
      <c r="A13" s="61" t="s">
        <v>69</v>
      </c>
      <c r="F13" s="565" t="str">
        <f t="array" ref="F13">IFERROR(INDEX(orderHistory[order_no],SMALL(IF(ISNUMBER(MATCH(orderHistory[status],$G$2,0)*MATCH(orderHistory[order_type],$G$3,0)*MATCH(orderHistory[lock_goods],$G$4,0)),MATCH(ROW(orderHistory[customer]),ROW(orderHistory[customer])),""),ROWS($A$1:A12))),"")</f>
        <v/>
      </c>
      <c r="G13" s="4"/>
    </row>
    <row r="14" spans="1:13" x14ac:dyDescent="0.35">
      <c r="A14" s="61" t="s">
        <v>156</v>
      </c>
      <c r="F14" s="565" t="str">
        <f t="array" ref="F14">IFERROR(INDEX(orderHistory[order_no],SMALL(IF(ISNUMBER(MATCH(orderHistory[status],$G$2,0)*MATCH(orderHistory[order_type],$G$3,0)*MATCH(orderHistory[lock_goods],$G$4,0)),MATCH(ROW(orderHistory[customer]),ROW(orderHistory[customer])),""),ROWS($A$1:A13))),"")</f>
        <v/>
      </c>
      <c r="G14" s="4"/>
    </row>
    <row r="15" spans="1:13" x14ac:dyDescent="0.35">
      <c r="A15" s="61" t="s">
        <v>161</v>
      </c>
      <c r="F15" s="565" t="str">
        <f t="array" ref="F15">IFERROR(INDEX(orderHistory[order_no],SMALL(IF(ISNUMBER(MATCH(orderHistory[status],$G$2,0)*MATCH(orderHistory[order_type],$G$3,0)*MATCH(orderHistory[lock_goods],$G$4,0)),MATCH(ROW(orderHistory[customer]),ROW(orderHistory[customer])),""),ROWS($A$1:A14))),"")</f>
        <v/>
      </c>
      <c r="G15" s="4"/>
    </row>
    <row r="16" spans="1:13" x14ac:dyDescent="0.35">
      <c r="A16" s="61" t="s">
        <v>163</v>
      </c>
      <c r="F16" s="565" t="str">
        <f t="array" ref="F16">IFERROR(INDEX(orderHistory[order_no],SMALL(IF(ISNUMBER(MATCH(orderHistory[status],$G$2,0)*MATCH(orderHistory[order_type],$G$3,0)*MATCH(orderHistory[lock_goods],$G$4,0)),MATCH(ROW(orderHistory[customer]),ROW(orderHistory[customer])),""),ROWS($A$1:A15))),"")</f>
        <v/>
      </c>
      <c r="G16" s="4"/>
    </row>
    <row r="17" spans="1:7" x14ac:dyDescent="0.35">
      <c r="A17" s="61" t="s">
        <v>165</v>
      </c>
      <c r="F17" s="565" t="str">
        <f t="array" ref="F17">IFERROR(INDEX(orderHistory[order_no],SMALL(IF(ISNUMBER(MATCH(orderHistory[status],$G$2,0)*MATCH(orderHistory[order_type],$G$3,0)*MATCH(orderHistory[lock_goods],$G$4,0)),MATCH(ROW(orderHistory[customer]),ROW(orderHistory[customer])),""),ROWS($A$1:A16))),"")</f>
        <v/>
      </c>
      <c r="G17" s="4"/>
    </row>
    <row r="18" spans="1:7" x14ac:dyDescent="0.35">
      <c r="A18" s="61" t="s">
        <v>71</v>
      </c>
      <c r="F18" s="565" t="str">
        <f t="array" ref="F18">IFERROR(INDEX(orderHistory[order_no],SMALL(IF(ISNUMBER(MATCH(orderHistory[status],$G$2,0)*MATCH(orderHistory[order_type],$G$3,0)*MATCH(orderHistory[lock_goods],$G$4,0)),MATCH(ROW(orderHistory[customer]),ROW(orderHistory[customer])),""),ROWS($A$1:A17))),"")</f>
        <v/>
      </c>
      <c r="G18" s="4"/>
    </row>
    <row r="19" spans="1:7" x14ac:dyDescent="0.35">
      <c r="A19" s="61" t="s">
        <v>73</v>
      </c>
      <c r="F19" s="565" t="str">
        <f t="array" ref="F19">IFERROR(INDEX(orderHistory[order_no],SMALL(IF(ISNUMBER(MATCH(orderHistory[status],$G$2,0)*MATCH(orderHistory[order_type],$G$3,0)*MATCH(orderHistory[lock_goods],$G$4,0)),MATCH(ROW(orderHistory[customer]),ROW(orderHistory[customer])),""),ROWS($A$15:A32))),"")</f>
        <v/>
      </c>
      <c r="G19" s="4"/>
    </row>
    <row r="20" spans="1:7" x14ac:dyDescent="0.35">
      <c r="A20" s="61" t="s">
        <v>75</v>
      </c>
      <c r="F20" s="566" t="str">
        <f t="array" ref="F20">IFERROR(INDEX(orderHistory[order_no],SMALL(IF(ISNUMBER(MATCH(orderHistory[status],$G$2,0)*MATCH(orderHistory[order_type],$G$3,0)*MATCH(orderHistory[lock_goods],$G$4,0)),MATCH(ROW(orderHistory[customer]),ROW(orderHistory[customer])),""),ROWS($A$15:A33))),"")</f>
        <v/>
      </c>
      <c r="G20" s="4"/>
    </row>
    <row r="21" spans="1:7" x14ac:dyDescent="0.35">
      <c r="A21" s="61" t="s">
        <v>77</v>
      </c>
      <c r="G21" s="4"/>
    </row>
    <row r="22" spans="1:7" x14ac:dyDescent="0.35">
      <c r="A22" s="61" t="s">
        <v>106</v>
      </c>
      <c r="G22" s="4"/>
    </row>
    <row r="23" spans="1:7" x14ac:dyDescent="0.35">
      <c r="A23" s="61" t="s">
        <v>108</v>
      </c>
      <c r="G23" s="4"/>
    </row>
    <row r="24" spans="1:7" x14ac:dyDescent="0.35">
      <c r="A24" s="61" t="s">
        <v>110</v>
      </c>
      <c r="G24" s="4"/>
    </row>
    <row r="25" spans="1:7" x14ac:dyDescent="0.35">
      <c r="A25" s="61" t="s">
        <v>112</v>
      </c>
      <c r="G25" s="4"/>
    </row>
    <row r="26" spans="1:7" x14ac:dyDescent="0.35">
      <c r="A26" s="61" t="s">
        <v>114</v>
      </c>
      <c r="G26" s="4"/>
    </row>
    <row r="27" spans="1:7" x14ac:dyDescent="0.35">
      <c r="A27" s="61" t="s">
        <v>117</v>
      </c>
      <c r="G27" s="4"/>
    </row>
    <row r="28" spans="1:7" x14ac:dyDescent="0.35">
      <c r="A28" s="61" t="s">
        <v>119</v>
      </c>
      <c r="G28" s="4"/>
    </row>
    <row r="29" spans="1:7" x14ac:dyDescent="0.35">
      <c r="A29" s="61" t="s">
        <v>121</v>
      </c>
      <c r="G29" s="4"/>
    </row>
    <row r="30" spans="1:7" x14ac:dyDescent="0.35">
      <c r="A30" s="61" t="s">
        <v>123</v>
      </c>
      <c r="G30" s="4"/>
    </row>
    <row r="31" spans="1:7" x14ac:dyDescent="0.35">
      <c r="A31" s="61" t="s">
        <v>125</v>
      </c>
    </row>
    <row r="32" spans="1:7" x14ac:dyDescent="0.35">
      <c r="A32" s="61" t="s">
        <v>127</v>
      </c>
    </row>
    <row r="33" spans="1:1" x14ac:dyDescent="0.35">
      <c r="A33" s="61" t="s">
        <v>129</v>
      </c>
    </row>
    <row r="34" spans="1:1" x14ac:dyDescent="0.35">
      <c r="A34" s="61" t="s">
        <v>148</v>
      </c>
    </row>
    <row r="35" spans="1:1" x14ac:dyDescent="0.35">
      <c r="A35" s="61" t="s">
        <v>150</v>
      </c>
    </row>
    <row r="36" spans="1:1" x14ac:dyDescent="0.35">
      <c r="A36" s="61" t="s">
        <v>188</v>
      </c>
    </row>
    <row r="37" spans="1:1" x14ac:dyDescent="0.35">
      <c r="A37" s="61" t="s">
        <v>191</v>
      </c>
    </row>
    <row r="38" spans="1:1" x14ac:dyDescent="0.35">
      <c r="A38" s="61" t="s">
        <v>193</v>
      </c>
    </row>
    <row r="39" spans="1:1" x14ac:dyDescent="0.35">
      <c r="A39" s="61" t="s">
        <v>195</v>
      </c>
    </row>
    <row r="40" spans="1:1" x14ac:dyDescent="0.35">
      <c r="A40" s="61" t="s">
        <v>79</v>
      </c>
    </row>
    <row r="41" spans="1:1" x14ac:dyDescent="0.35">
      <c r="A41" s="61" t="s">
        <v>81</v>
      </c>
    </row>
    <row r="42" spans="1:1" x14ac:dyDescent="0.35">
      <c r="A42" s="61" t="s">
        <v>83</v>
      </c>
    </row>
    <row r="43" spans="1:1" x14ac:dyDescent="0.35">
      <c r="A43" s="61" t="s">
        <v>85</v>
      </c>
    </row>
    <row r="44" spans="1:1" x14ac:dyDescent="0.35">
      <c r="A44" s="61" t="s">
        <v>24</v>
      </c>
    </row>
    <row r="45" spans="1:1" x14ac:dyDescent="0.35">
      <c r="A45" s="61" t="s">
        <v>30</v>
      </c>
    </row>
    <row r="46" spans="1:1" x14ac:dyDescent="0.35">
      <c r="A46" s="61" t="s">
        <v>32</v>
      </c>
    </row>
    <row r="47" spans="1:1" x14ac:dyDescent="0.35">
      <c r="A47" s="61" t="s">
        <v>34</v>
      </c>
    </row>
    <row r="48" spans="1:1" x14ac:dyDescent="0.35">
      <c r="A48" s="61" t="s">
        <v>36</v>
      </c>
    </row>
    <row r="49" spans="1:1" x14ac:dyDescent="0.35">
      <c r="A49" s="61" t="s">
        <v>39</v>
      </c>
    </row>
    <row r="50" spans="1:1" x14ac:dyDescent="0.35">
      <c r="A50" s="61" t="s">
        <v>41</v>
      </c>
    </row>
    <row r="51" spans="1:1" x14ac:dyDescent="0.35">
      <c r="A51" s="61" t="s">
        <v>43</v>
      </c>
    </row>
    <row r="52" spans="1:1" x14ac:dyDescent="0.35">
      <c r="A52" s="61" t="s">
        <v>87</v>
      </c>
    </row>
    <row r="53" spans="1:1" x14ac:dyDescent="0.35">
      <c r="A53" s="61" t="s">
        <v>89</v>
      </c>
    </row>
    <row r="54" spans="1:1" x14ac:dyDescent="0.35">
      <c r="A54" s="61" t="s">
        <v>91</v>
      </c>
    </row>
    <row r="55" spans="1:1" x14ac:dyDescent="0.35">
      <c r="A55" s="61" t="s">
        <v>93</v>
      </c>
    </row>
    <row r="56" spans="1:1" x14ac:dyDescent="0.35">
      <c r="A56" s="61" t="s">
        <v>45</v>
      </c>
    </row>
    <row r="57" spans="1:1" x14ac:dyDescent="0.35">
      <c r="A57" s="61" t="s">
        <v>47</v>
      </c>
    </row>
    <row r="58" spans="1:1" x14ac:dyDescent="0.35">
      <c r="A58" s="61" t="s">
        <v>49</v>
      </c>
    </row>
    <row r="59" spans="1:1" x14ac:dyDescent="0.35">
      <c r="A59" s="61" t="s">
        <v>51</v>
      </c>
    </row>
    <row r="60" spans="1:1" x14ac:dyDescent="0.35">
      <c r="A60" s="61" t="s">
        <v>53</v>
      </c>
    </row>
    <row r="61" spans="1:1" x14ac:dyDescent="0.35">
      <c r="A61" s="61" t="s">
        <v>55</v>
      </c>
    </row>
    <row r="62" spans="1:1" x14ac:dyDescent="0.35">
      <c r="A62" s="61" t="s">
        <v>57</v>
      </c>
    </row>
    <row r="63" spans="1:1" x14ac:dyDescent="0.35">
      <c r="A63" s="61" t="s">
        <v>59</v>
      </c>
    </row>
    <row r="64" spans="1:1" x14ac:dyDescent="0.35">
      <c r="A64" s="61" t="s">
        <v>197</v>
      </c>
    </row>
    <row r="65" spans="1:1" x14ac:dyDescent="0.35">
      <c r="A65" s="61" t="s">
        <v>199</v>
      </c>
    </row>
    <row r="66" spans="1:1" x14ac:dyDescent="0.35">
      <c r="A66" s="61" t="s">
        <v>201</v>
      </c>
    </row>
    <row r="67" spans="1:1" x14ac:dyDescent="0.35">
      <c r="A67" s="61" t="s">
        <v>203</v>
      </c>
    </row>
    <row r="68" spans="1:1" x14ac:dyDescent="0.35">
      <c r="A68" s="61" t="s">
        <v>205</v>
      </c>
    </row>
    <row r="69" spans="1:1" x14ac:dyDescent="0.35">
      <c r="A69" s="61" t="s">
        <v>207</v>
      </c>
    </row>
    <row r="70" spans="1:1" x14ac:dyDescent="0.35">
      <c r="A70" s="61" t="s">
        <v>95</v>
      </c>
    </row>
    <row r="71" spans="1:1" x14ac:dyDescent="0.35">
      <c r="A71" s="61" t="s">
        <v>209</v>
      </c>
    </row>
    <row r="72" spans="1:1" x14ac:dyDescent="0.35">
      <c r="A72" s="61" t="s">
        <v>211</v>
      </c>
    </row>
    <row r="73" spans="1:1" x14ac:dyDescent="0.35">
      <c r="A73" s="61" t="s">
        <v>213</v>
      </c>
    </row>
    <row r="74" spans="1:1" x14ac:dyDescent="0.35">
      <c r="A74" s="61" t="s">
        <v>175</v>
      </c>
    </row>
    <row r="75" spans="1:1" x14ac:dyDescent="0.35">
      <c r="A75" s="61" t="s">
        <v>184</v>
      </c>
    </row>
    <row r="76" spans="1:1" x14ac:dyDescent="0.35">
      <c r="A76" s="61" t="s">
        <v>182</v>
      </c>
    </row>
    <row r="77" spans="1:1" x14ac:dyDescent="0.35">
      <c r="A77" s="61" t="s">
        <v>180</v>
      </c>
    </row>
    <row r="78" spans="1:1" x14ac:dyDescent="0.35">
      <c r="A78" s="61" t="s">
        <v>131</v>
      </c>
    </row>
    <row r="79" spans="1:1" x14ac:dyDescent="0.35">
      <c r="A79" s="61" t="s">
        <v>134</v>
      </c>
    </row>
    <row r="80" spans="1:1" x14ac:dyDescent="0.35">
      <c r="A80" s="61" t="s">
        <v>136</v>
      </c>
    </row>
    <row r="81" spans="1:1" x14ac:dyDescent="0.35">
      <c r="A81" s="61" t="s">
        <v>138</v>
      </c>
    </row>
    <row r="82" spans="1:1" x14ac:dyDescent="0.35">
      <c r="A82" s="61" t="s">
        <v>140</v>
      </c>
    </row>
    <row r="83" spans="1:1" x14ac:dyDescent="0.35">
      <c r="A83" s="61" t="s">
        <v>142</v>
      </c>
    </row>
    <row r="84" spans="1:1" x14ac:dyDescent="0.35">
      <c r="A84" s="61" t="s">
        <v>144</v>
      </c>
    </row>
    <row r="85" spans="1:1" x14ac:dyDescent="0.35">
      <c r="A85" s="61" t="s">
        <v>146</v>
      </c>
    </row>
    <row r="86" spans="1:1" x14ac:dyDescent="0.35">
      <c r="A86" s="61" t="s">
        <v>152</v>
      </c>
    </row>
    <row r="87" spans="1:1" x14ac:dyDescent="0.35">
      <c r="A87" s="61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24</vt:i4>
      </vt:variant>
    </vt:vector>
  </HeadingPairs>
  <TitlesOfParts>
    <vt:vector size="42" baseType="lpstr">
      <vt:lpstr>bhpc_data</vt:lpstr>
      <vt:lpstr>giftSet</vt:lpstr>
      <vt:lpstr>clientData</vt:lpstr>
      <vt:lpstr>dgn_class</vt:lpstr>
      <vt:lpstr>salesHistory</vt:lpstr>
      <vt:lpstr>orderHistory</vt:lpstr>
      <vt:lpstr>inventoryBHPC</vt:lpstr>
      <vt:lpstr>proformaModel1</vt:lpstr>
      <vt:lpstr>proformaModel12</vt:lpstr>
      <vt:lpstr>proformaModel2</vt:lpstr>
      <vt:lpstr>proformaModel22</vt:lpstr>
      <vt:lpstr>plModel1</vt:lpstr>
      <vt:lpstr>plModel12</vt:lpstr>
      <vt:lpstr>carrier_data</vt:lpstr>
      <vt:lpstr>dgnFinalModel</vt:lpstr>
      <vt:lpstr>BHPC MANAGER</vt:lpstr>
      <vt:lpstr>production</vt:lpstr>
      <vt:lpstr>utility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plModel12!bhpcSKU</vt:lpstr>
      <vt:lpstr>proformaModel1!bhpcSKU</vt:lpstr>
      <vt:lpstr>proformaModel12!bhpcSKU</vt:lpstr>
      <vt:lpstr>proformaModel2!bhpcSKU</vt:lpstr>
      <vt:lpstr>proformaModel22!bhpcSKU</vt:lpstr>
      <vt:lpstr>giftSetSku</vt:lpstr>
      <vt:lpstr>plModel12!proformaModel3</vt:lpstr>
      <vt:lpstr>proformaModel12!proformaModel3</vt:lpstr>
      <vt:lpstr>proformaModel22!proformaModel3</vt:lpstr>
      <vt:lpstr>plModel12!ss</vt:lpstr>
      <vt:lpstr>proformaModel1!ss</vt:lpstr>
      <vt:lpstr>proformaModel12!ss</vt:lpstr>
      <vt:lpstr>proformaModel22!ss</vt:lpstr>
      <vt:lpstr>plModel12!Titoli_stampa</vt:lpstr>
      <vt:lpstr>proformaModel1!Titoli_stampa</vt:lpstr>
      <vt:lpstr>proformaModel12!Titoli_stampa</vt:lpstr>
      <vt:lpstr>proformaModel22!Titoli_stampa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2024-06-22T19:08:04Z</cp:lastPrinted>
  <dcterms:created xsi:type="dcterms:W3CDTF">2016-09-21T06:55:08Z</dcterms:created>
  <dcterms:modified xsi:type="dcterms:W3CDTF">2024-07-15T17:44:56Z</dcterms:modified>
</cp:coreProperties>
</file>